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F:\GOM-A\Manutenção\DIVISÃO DE MANUTENÇÃO CIVIL\Contratos em processo de elaboração\Contrato 2026 - Manutenção Civil\"/>
    </mc:Choice>
  </mc:AlternateContent>
  <xr:revisionPtr revIDLastSave="0" documentId="13_ncr:1_{A3C00AE0-132B-450D-B1A1-1E0D3C69F4A2}" xr6:coauthVersionLast="47" xr6:coauthVersionMax="47" xr10:uidLastSave="{00000000-0000-0000-0000-000000000000}"/>
  <bookViews>
    <workbookView xWindow="28680" yWindow="-120" windowWidth="29040" windowHeight="15720" tabRatio="798" xr2:uid="{00000000-000D-0000-FFFF-FFFF00000000}"/>
  </bookViews>
  <sheets>
    <sheet name="PREENCHIMENTO" sheetId="13" r:id="rId1"/>
    <sheet name="Memória " sheetId="19" state="hidden" r:id="rId2"/>
    <sheet name="A IV.A" sheetId="1" r:id="rId3"/>
    <sheet name="A V." sheetId="2" r:id="rId4"/>
    <sheet name="A VI." sheetId="5" r:id="rId5"/>
    <sheet name="A VII." sheetId="6" r:id="rId6"/>
    <sheet name="A VIII." sheetId="24" r:id="rId7"/>
    <sheet name="A IX." sheetId="4" r:id="rId8"/>
    <sheet name="A X." sheetId="7" state="hidden" r:id="rId9"/>
    <sheet name="Comparativo" sheetId="23"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xlnm.Print_Area_3">#REF!</definedName>
    <definedName name="__xlnm.Print_Area_4">[1]AV!#REF!</definedName>
    <definedName name="_1Excel_BuiltIn_Print_Area_1_1_1_1">'A IV.A'!$B$25:$B$173</definedName>
    <definedName name="_2Excel_BuiltIn_Print_Area_3_1_1_1_1" localSheetId="6">#REF!</definedName>
    <definedName name="_2Excel_BuiltIn_Print_Area_3_1_1_1_1">#REF!</definedName>
    <definedName name="_4Excel_BuiltIn_Print_Area_3_1_1">#REF!</definedName>
    <definedName name="_xlnm._FilterDatabase" localSheetId="2" hidden="1">'A IV.A'!$A$11:$M$172</definedName>
    <definedName name="_xlnm._FilterDatabase" localSheetId="4" hidden="1">'A VI.'!$A$12:$F$5961</definedName>
    <definedName name="_xlnm._FilterDatabase" localSheetId="5" hidden="1">'A VII.'!$A$9:$IC$131</definedName>
    <definedName name="_xlnm._FilterDatabase" localSheetId="8" hidden="1">'A X.'!$A$10:$O$5655</definedName>
    <definedName name="_xlnm.Print_Area" localSheetId="2">'A IV.A'!$A$1:$M$212</definedName>
    <definedName name="_xlnm.Print_Area" localSheetId="7">'A IX.'!$A$1:$D$50</definedName>
    <definedName name="_xlnm.Print_Area" localSheetId="3">'A V.'!$B$1:$W$163</definedName>
    <definedName name="_xlnm.Print_Area" localSheetId="4">'A VI.'!$A$1:$F$5960</definedName>
    <definedName name="_xlnm.Print_Area" localSheetId="5">'A VII.'!$A$1:$D$203</definedName>
    <definedName name="_xlnm.Print_Area" localSheetId="6">'A VIII.'!$A$1:$C$46</definedName>
    <definedName name="_xlnm.Print_Area" localSheetId="8">'A X.'!$A$1:$J$5655</definedName>
    <definedName name="_xlnm.Print_Area" localSheetId="9">Comparativo!$A$1:$D$50</definedName>
    <definedName name="_xlnm.Print_Area" localSheetId="1">'Memória '!$A$1:$H$1379</definedName>
    <definedName name="_xlnm.Print_Area" localSheetId="0">PREENCHIMENTO!$A$1:$K$47</definedName>
    <definedName name="_xlnm.Print_Area">#REF!</definedName>
    <definedName name="_xlnm.Database" localSheetId="6">#REF!</definedName>
    <definedName name="_xlnm.Database">#REF!</definedName>
    <definedName name="CEOP" localSheetId="6">#REF!</definedName>
    <definedName name="CEOP">#REF!</definedName>
    <definedName name="COM">#REF!</definedName>
    <definedName name="CON">#REF!</definedName>
    <definedName name="CONC">[2]Dados!$K$2:$K$40</definedName>
    <definedName name="CRI" localSheetId="6">#REF!</definedName>
    <definedName name="CRI">#REF!</definedName>
    <definedName name="dasda" localSheetId="6">#REF!</definedName>
    <definedName name="dasda">#REF!</definedName>
    <definedName name="Database" localSheetId="6">#REF!</definedName>
    <definedName name="Database">#REF!</definedName>
    <definedName name="ÉServiço" localSheetId="6">[3]II.3!$E1&lt;&gt;""</definedName>
    <definedName name="ÉServiço">[4]II.3!$E1&lt;&gt;""</definedName>
    <definedName name="Excel_BuiltIn__FilterDatabase_2" localSheetId="6">#REF!</definedName>
    <definedName name="Excel_BuiltIn__FilterDatabase_2">#REF!</definedName>
    <definedName name="Excel_BuiltIn__FilterDatabase_8">#REF!</definedName>
    <definedName name="Excel_BuiltIn_Print_Area_1_1" localSheetId="6">#REF!</definedName>
    <definedName name="Excel_BuiltIn_Print_Area_1_1">#REF!</definedName>
    <definedName name="Excel_BuiltIn_Print_Area_1_1_1">'A IV.A'!$B$16:$C$156</definedName>
    <definedName name="Excel_BuiltIn_Print_Area_1_1_1_1">'A IV.A'!$A$1:$M$181</definedName>
    <definedName name="Excel_BuiltIn_Print_Area_1_1_1_1_1" localSheetId="6">'[5]Anexo II'!$A$12:$M$287,'[5]Anexo II'!$K$286</definedName>
    <definedName name="Excel_BuiltIn_Print_Area_1_1_1_1_1">'A IV.A'!$A$10:$M$176,'A IV.A'!$K$175</definedName>
    <definedName name="Excel_BuiltIn_Print_Area_1_1_1_1_1_1">'A IV.A'!$A$16:$B$156</definedName>
    <definedName name="Excel_BuiltIn_Print_Area_1_1_1_1_1_1_1" localSheetId="6">#REF!</definedName>
    <definedName name="Excel_BuiltIn_Print_Area_1_1_1_1_1_1_1">#REF!</definedName>
    <definedName name="Excel_BuiltIn_Print_Area_1_1_1_1_1_1_1_1" localSheetId="6">#REF!</definedName>
    <definedName name="Excel_BuiltIn_Print_Area_1_1_1_1_1_1_1_1">#REF!</definedName>
    <definedName name="Excel_BuiltIn_Print_Area_1_1_1_1_1_1_1_1_1" localSheetId="6">#REF!</definedName>
    <definedName name="Excel_BuiltIn_Print_Area_1_1_1_1_1_1_1_1_1">#REF!</definedName>
    <definedName name="Excel_BuiltIn_Print_Area_2_1">'A V.'!#REF!</definedName>
    <definedName name="Excel_BuiltIn_Print_Area_2_1_1">#REF!</definedName>
    <definedName name="Excel_BuiltIn_Print_Area_3_1" localSheetId="6">#REF!</definedName>
    <definedName name="Excel_BuiltIn_Print_Area_3_1">'A V.'!$A$10:$V$84</definedName>
    <definedName name="Excel_BuiltIn_Print_Area_3_1_1">#REF!</definedName>
    <definedName name="Excel_BuiltIn_Print_Area_3_1_1_1">#REF!</definedName>
    <definedName name="Excel_BuiltIn_Print_Area_3_1_1_1_1">#REF!</definedName>
    <definedName name="Excel_BuiltIn_Print_Area_3_1_1_1_1_1">#REF!</definedName>
    <definedName name="Excel_BuiltIn_Print_Area_5_1">#REF!</definedName>
    <definedName name="Excel_BuiltIn_Print_Area_6_1">'A VI.'!$A$1:$F$105</definedName>
    <definedName name="Excel_BuiltIn_Print_Area_7">#REF!</definedName>
    <definedName name="Excel_BuiltIn_Print_Area_7_1">'A VII.'!$B$141:$D$169</definedName>
    <definedName name="Excel_BuiltIn_Print_Area_7_1_1">#REF!</definedName>
    <definedName name="Excel_BuiltIn_Print_Titles_1_1">#REF!</definedName>
    <definedName name="Excel_BuiltIn_Print_Titles_3">#REF!</definedName>
    <definedName name="Excel_BuiltIn_Print_Titles_5">#REF!</definedName>
    <definedName name="Excel_BuiltIn_Print_Titles_8">#REF!</definedName>
    <definedName name="JOI">#REF!</definedName>
    <definedName name="JOSE">#REF!</definedName>
    <definedName name="MRIA">#REF!</definedName>
    <definedName name="RCH">#REF!</definedName>
    <definedName name="RCR">#REF!</definedName>
    <definedName name="RegimeExecucao">IF([6]DADOS!$A$32="Empreitada por Preço Global ou Integral","Global","Unitário")</definedName>
    <definedName name="RFL" localSheetId="6">#REF!</definedName>
    <definedName name="RFL">#REF!</definedName>
    <definedName name="RIJ" localSheetId="6">#REF!</definedName>
    <definedName name="RIJ">#REF!</definedName>
    <definedName name="RJO" localSheetId="6">#REF!</definedName>
    <definedName name="RJO">#REF!</definedName>
    <definedName name="RLA">#REF!</definedName>
    <definedName name="RRS">#REF!</definedName>
    <definedName name="RSM">#REF!</definedName>
    <definedName name="RTB">#REF!</definedName>
    <definedName name="RVI">#REF!</definedName>
    <definedName name="SAO">#REF!</definedName>
    <definedName name="SBL">#REF!</definedName>
    <definedName name="subbaciab1">#REF!</definedName>
    <definedName name="TESTE" localSheetId="6">'[7]A II.A'!#REF!</definedName>
    <definedName name="TESTE">'[7]A II.A'!#REF!</definedName>
    <definedName name="Título" localSheetId="6">#REF!</definedName>
    <definedName name="Título">#REF!</definedName>
    <definedName name="_xlnm.Print_Titles" localSheetId="2">'A IV.A'!$1:$12</definedName>
    <definedName name="_xlnm.Print_Titles" localSheetId="3">'A V.'!$1:$10</definedName>
    <definedName name="_xlnm.Print_Titles" localSheetId="4">'A VI.'!$1:$9</definedName>
    <definedName name="_xlnm.Print_Titles" localSheetId="5">'A VII.'!$1:$8</definedName>
    <definedName name="_xlnm.Print_Titles" localSheetId="8">'A X.'!$1:$5</definedName>
    <definedName name="_xlnm.Print_Titles" localSheetId="0">PREENCHIMENTO!$1:$4</definedName>
    <definedName name="VALAS">[2]Dados!$L$2:$P$40</definedName>
    <definedName name="Z_6D07A3BF_0D13_4DB8_B57D_B992E436750A_.wvu.PrintArea" localSheetId="6" hidden="1">'A VIII.'!$A$1:$C$37</definedName>
    <definedName name="Z_6D07A3BF_0D13_4DB8_B57D_B992E436750A_.wvu.PrintArea" localSheetId="0" hidden="1">PREENCHIMENTO!$A$3:$K$57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60" i="2" l="1"/>
  <c r="B158" i="2"/>
  <c r="A2" i="6"/>
  <c r="A6" i="4"/>
  <c r="A1" i="4"/>
  <c r="A2" i="24"/>
  <c r="A1" i="24"/>
  <c r="A1" i="6"/>
  <c r="B4" i="2"/>
  <c r="A3" i="5"/>
  <c r="A1" i="5"/>
  <c r="B1" i="2"/>
  <c r="A19" i="13"/>
  <c r="A18" i="13"/>
  <c r="A17" i="13"/>
  <c r="A16" i="13"/>
  <c r="A15" i="13"/>
  <c r="D109" i="1" l="1"/>
  <c r="D110" i="1"/>
  <c r="D108" i="1"/>
  <c r="D105" i="1"/>
  <c r="D106" i="1"/>
  <c r="D104" i="1"/>
  <c r="D103" i="1"/>
  <c r="D102" i="1"/>
  <c r="D101" i="1"/>
  <c r="D99" i="1"/>
  <c r="D98" i="1"/>
  <c r="D97" i="1"/>
  <c r="D96" i="1"/>
  <c r="D93" i="1"/>
  <c r="D94" i="1"/>
  <c r="D92" i="1"/>
  <c r="D90" i="1"/>
  <c r="D87" i="1"/>
  <c r="D88" i="1"/>
  <c r="D86" i="1"/>
  <c r="D81" i="1"/>
  <c r="D82" i="1"/>
  <c r="D83" i="1"/>
  <c r="D84" i="1"/>
  <c r="D80" i="1"/>
  <c r="D73" i="1"/>
  <c r="D74" i="1"/>
  <c r="D75" i="1"/>
  <c r="D76" i="1"/>
  <c r="D77" i="1"/>
  <c r="D78" i="1"/>
  <c r="D72" i="1"/>
  <c r="D63" i="1"/>
  <c r="D64" i="1"/>
  <c r="D65" i="1"/>
  <c r="D66" i="1"/>
  <c r="D67" i="1"/>
  <c r="D68" i="1"/>
  <c r="D69" i="1"/>
  <c r="D70" i="1"/>
  <c r="D62" i="1"/>
  <c r="D53" i="1"/>
  <c r="D54" i="1"/>
  <c r="D55" i="1"/>
  <c r="D56" i="1"/>
  <c r="D57" i="1"/>
  <c r="D58" i="1"/>
  <c r="D59" i="1"/>
  <c r="D60" i="1"/>
  <c r="D52" i="1"/>
  <c r="D51" i="1"/>
  <c r="D50" i="1"/>
  <c r="D47" i="1"/>
  <c r="D48" i="1"/>
  <c r="D46" i="1"/>
  <c r="D41" i="1"/>
  <c r="D40" i="1"/>
  <c r="D39" i="1"/>
  <c r="D38" i="1"/>
  <c r="D34" i="1"/>
  <c r="D35" i="1"/>
  <c r="D36" i="1"/>
  <c r="D33" i="1"/>
  <c r="D26" i="1"/>
  <c r="D27" i="1"/>
  <c r="D28" i="1"/>
  <c r="D29" i="1"/>
  <c r="D30" i="1"/>
  <c r="D31" i="1"/>
  <c r="D25" i="1"/>
  <c r="D17" i="1"/>
  <c r="D18" i="1"/>
  <c r="D19" i="1"/>
  <c r="D20" i="1"/>
  <c r="D16" i="1"/>
  <c r="D115" i="1"/>
  <c r="D116" i="1"/>
  <c r="D117" i="1"/>
  <c r="D118" i="1"/>
  <c r="D119" i="1"/>
  <c r="D120" i="1"/>
  <c r="D121" i="1"/>
  <c r="D122" i="1"/>
  <c r="D123" i="1"/>
  <c r="D124" i="1"/>
  <c r="D114" i="1"/>
  <c r="D129" i="1"/>
  <c r="D130" i="1"/>
  <c r="D131" i="1"/>
  <c r="D132" i="1"/>
  <c r="D128" i="1"/>
  <c r="D158" i="1"/>
  <c r="D159" i="1"/>
  <c r="D160" i="1"/>
  <c r="D161" i="1"/>
  <c r="D162" i="1"/>
  <c r="D163" i="1"/>
  <c r="D164" i="1"/>
  <c r="D165" i="1"/>
  <c r="D166" i="1"/>
  <c r="D167" i="1"/>
  <c r="D168" i="1"/>
  <c r="D169" i="1"/>
  <c r="D170" i="1"/>
  <c r="D171" i="1"/>
  <c r="D172" i="1"/>
  <c r="D157" i="1"/>
  <c r="D138" i="1"/>
  <c r="D139" i="1"/>
  <c r="D140" i="1"/>
  <c r="D141" i="1"/>
  <c r="D142" i="1"/>
  <c r="D143" i="1"/>
  <c r="D144" i="1"/>
  <c r="D145" i="1"/>
  <c r="D146" i="1"/>
  <c r="D147" i="1"/>
  <c r="D148" i="1"/>
  <c r="D149" i="1"/>
  <c r="D150" i="1"/>
  <c r="D151" i="1"/>
  <c r="D152" i="1"/>
  <c r="D153" i="1"/>
  <c r="D137" i="1"/>
  <c r="J2057" i="7" l="1"/>
  <c r="C2057" i="7"/>
  <c r="A2057" i="7"/>
  <c r="M2057" i="7" s="1"/>
  <c r="A2052" i="7"/>
  <c r="C2051" i="7"/>
  <c r="N2057" i="7" l="1"/>
  <c r="K2057" i="7"/>
  <c r="L2057" i="7" s="1"/>
  <c r="J2003" i="7"/>
  <c r="C2003" i="7"/>
  <c r="A2003" i="7"/>
  <c r="A4463" i="5" l="1"/>
  <c r="A4464" i="5"/>
  <c r="D4464" i="5" s="1"/>
  <c r="B4464" i="5" l="1"/>
  <c r="C1089" i="5" l="1"/>
  <c r="E1024" i="5"/>
  <c r="D1024" i="5"/>
  <c r="B1024" i="5"/>
  <c r="A1024" i="5"/>
  <c r="E1023" i="5"/>
  <c r="D1023" i="5"/>
  <c r="B1023" i="5"/>
  <c r="A1023" i="5"/>
  <c r="A5937" i="5" l="1"/>
  <c r="A5917" i="5"/>
  <c r="A5823" i="5"/>
  <c r="A5776" i="5"/>
  <c r="A5775" i="5"/>
  <c r="A5774" i="5"/>
  <c r="A5773" i="5"/>
  <c r="A5745" i="5"/>
  <c r="A5728" i="5"/>
  <c r="A5727" i="5"/>
  <c r="A5726" i="5"/>
  <c r="A5725" i="5"/>
  <c r="A5723" i="5"/>
  <c r="A5697" i="5"/>
  <c r="A5649" i="5"/>
  <c r="A5601" i="5"/>
  <c r="A5437" i="5"/>
  <c r="A5389" i="5"/>
  <c r="A5341" i="5"/>
  <c r="A5293" i="5"/>
  <c r="A5245" i="5"/>
  <c r="A5197" i="5"/>
  <c r="A5150" i="5"/>
  <c r="A5149" i="5"/>
  <c r="A5054" i="5"/>
  <c r="A5006" i="5"/>
  <c r="A4958" i="5"/>
  <c r="A4957" i="5"/>
  <c r="A4955" i="5"/>
  <c r="A4862" i="5"/>
  <c r="A4816" i="5"/>
  <c r="A4814" i="5"/>
  <c r="A4768" i="5"/>
  <c r="A4766" i="5"/>
  <c r="A4718" i="5"/>
  <c r="A4690" i="5"/>
  <c r="A4670" i="5"/>
  <c r="A4642" i="5"/>
  <c r="A4641" i="5"/>
  <c r="A4624" i="5"/>
  <c r="A4623" i="5"/>
  <c r="A4622" i="5"/>
  <c r="A4621" i="5"/>
  <c r="A4574" i="5"/>
  <c r="A4527" i="5"/>
  <c r="A4526" i="5"/>
  <c r="A4525" i="5"/>
  <c r="A4478" i="5"/>
  <c r="A4477" i="5"/>
  <c r="A4401" i="5"/>
  <c r="A4353" i="5"/>
  <c r="A4285" i="5"/>
  <c r="A4257" i="5"/>
  <c r="A4189" i="5"/>
  <c r="A4098" i="5"/>
  <c r="A4097" i="5"/>
  <c r="A4096" i="5"/>
  <c r="A4095" i="5"/>
  <c r="A4094" i="5"/>
  <c r="A4093" i="5"/>
  <c r="A4047" i="5"/>
  <c r="A4046" i="5"/>
  <c r="A4045" i="5"/>
  <c r="A4000" i="5"/>
  <c r="A3999" i="5"/>
  <c r="A3998" i="5"/>
  <c r="A3997" i="5"/>
  <c r="A3952" i="5"/>
  <c r="A3951" i="5"/>
  <c r="A3950" i="5"/>
  <c r="A3949" i="5"/>
  <c r="A3442" i="5"/>
  <c r="A3441" i="5"/>
  <c r="A3298" i="5"/>
  <c r="A3297" i="5"/>
  <c r="A2976" i="5"/>
  <c r="A2817" i="5"/>
  <c r="A2625" i="5"/>
  <c r="A2338" i="5"/>
  <c r="A2337" i="5"/>
  <c r="A1617" i="5"/>
  <c r="A1473" i="5"/>
  <c r="A827" i="5"/>
  <c r="A753" i="5"/>
  <c r="A38" i="5"/>
  <c r="A37" i="5"/>
  <c r="A36" i="5"/>
  <c r="A35" i="5"/>
  <c r="A1886" i="5"/>
  <c r="C5602" i="7"/>
  <c r="A5603" i="7"/>
  <c r="A5608" i="7"/>
  <c r="M5608" i="7" s="1"/>
  <c r="C5608" i="7"/>
  <c r="J5608" i="7"/>
  <c r="A47" i="5"/>
  <c r="J505" i="7"/>
  <c r="C505" i="7"/>
  <c r="A505" i="7"/>
  <c r="A3902" i="5"/>
  <c r="A3901" i="5"/>
  <c r="A3856" i="5"/>
  <c r="A3855" i="5"/>
  <c r="A3854" i="5"/>
  <c r="A3853" i="5"/>
  <c r="A3808" i="5"/>
  <c r="A3807" i="5"/>
  <c r="A3806" i="5"/>
  <c r="A3805" i="5"/>
  <c r="A3760" i="5"/>
  <c r="A3759" i="5"/>
  <c r="A3758" i="5"/>
  <c r="A3757" i="5"/>
  <c r="A3712" i="5"/>
  <c r="A3711" i="5"/>
  <c r="A3710" i="5"/>
  <c r="A3709" i="5"/>
  <c r="A3664" i="5"/>
  <c r="A3663" i="5"/>
  <c r="A3662" i="5"/>
  <c r="A3661" i="5"/>
  <c r="A3615" i="5"/>
  <c r="A3614" i="5"/>
  <c r="A3613" i="5"/>
  <c r="A3518" i="5"/>
  <c r="A3517" i="5"/>
  <c r="A3470" i="5"/>
  <c r="A3467" i="5"/>
  <c r="A3425" i="5"/>
  <c r="A3424" i="5"/>
  <c r="A3423" i="5"/>
  <c r="A3422" i="5"/>
  <c r="A3421" i="5"/>
  <c r="A3377" i="5"/>
  <c r="A3376" i="5"/>
  <c r="A3375" i="5"/>
  <c r="A3374" i="5"/>
  <c r="A3373" i="5"/>
  <c r="A3326" i="5"/>
  <c r="A3325" i="5"/>
  <c r="A3279" i="5"/>
  <c r="A3278" i="5"/>
  <c r="A3277" i="5"/>
  <c r="A3230" i="5"/>
  <c r="A3229" i="5"/>
  <c r="A3185" i="5"/>
  <c r="A3184" i="5"/>
  <c r="A3183" i="5"/>
  <c r="A3182" i="5"/>
  <c r="A3181" i="5"/>
  <c r="A3136" i="5"/>
  <c r="A3135" i="5"/>
  <c r="A3134" i="5"/>
  <c r="A3133" i="5"/>
  <c r="A3038" i="5"/>
  <c r="A3037" i="5"/>
  <c r="A2942" i="5"/>
  <c r="A2941" i="5"/>
  <c r="A2895" i="5"/>
  <c r="A2894" i="5"/>
  <c r="A2893" i="5"/>
  <c r="A2846" i="5"/>
  <c r="A2845" i="5"/>
  <c r="A2800" i="5"/>
  <c r="A2799" i="5"/>
  <c r="A2798" i="5"/>
  <c r="A2797" i="5"/>
  <c r="A2750" i="5"/>
  <c r="A2749" i="5"/>
  <c r="A2702" i="5"/>
  <c r="A2701" i="5"/>
  <c r="A2606" i="5"/>
  <c r="A2557" i="5"/>
  <c r="A2513" i="5"/>
  <c r="A2512" i="5"/>
  <c r="A2511" i="5"/>
  <c r="A2510" i="5"/>
  <c r="A2509" i="5"/>
  <c r="A2466" i="5"/>
  <c r="A2365" i="5"/>
  <c r="A2317" i="5"/>
  <c r="A1889" i="5"/>
  <c r="A1841" i="5"/>
  <c r="A1793" i="5"/>
  <c r="A1647" i="5"/>
  <c r="A1646" i="5"/>
  <c r="A1645" i="5"/>
  <c r="A1599" i="5"/>
  <c r="A1598" i="5"/>
  <c r="A1597" i="5"/>
  <c r="A1552" i="5"/>
  <c r="A1551" i="5"/>
  <c r="A1550" i="5"/>
  <c r="A1549" i="5"/>
  <c r="A1501" i="5"/>
  <c r="A1456" i="5"/>
  <c r="A1455" i="5"/>
  <c r="A1454" i="5"/>
  <c r="A1453" i="5"/>
  <c r="A1071" i="5"/>
  <c r="A1070" i="5"/>
  <c r="A5855" i="5"/>
  <c r="A5808" i="5"/>
  <c r="A5807" i="5"/>
  <c r="A5472" i="5"/>
  <c r="A5424" i="5"/>
  <c r="A5376" i="5"/>
  <c r="A5328" i="5"/>
  <c r="A5280" i="5"/>
  <c r="A4175" i="5"/>
  <c r="A4128" i="5"/>
  <c r="A4080" i="5"/>
  <c r="A4032" i="5"/>
  <c r="A3984" i="5"/>
  <c r="A3936" i="5"/>
  <c r="A3888" i="5"/>
  <c r="A3840" i="5"/>
  <c r="A3792" i="5"/>
  <c r="A3744" i="5"/>
  <c r="A3696" i="5"/>
  <c r="A3648" i="5"/>
  <c r="A3456" i="5"/>
  <c r="A3408" i="5"/>
  <c r="A3360" i="5"/>
  <c r="A3359" i="5"/>
  <c r="A3312" i="5"/>
  <c r="A3264" i="5"/>
  <c r="A3263" i="5"/>
  <c r="A3216" i="5"/>
  <c r="A3215" i="5"/>
  <c r="A2843" i="5"/>
  <c r="A2784" i="5"/>
  <c r="A2736" i="5"/>
  <c r="A2688" i="5"/>
  <c r="A2687" i="5"/>
  <c r="A2640" i="5"/>
  <c r="A2545" i="5"/>
  <c r="A2497" i="5"/>
  <c r="A2016" i="5"/>
  <c r="A1583" i="5"/>
  <c r="A1547" i="5"/>
  <c r="A1536" i="5"/>
  <c r="A1487" i="5"/>
  <c r="A1391" i="5"/>
  <c r="A1355" i="5"/>
  <c r="A1307" i="5"/>
  <c r="A1211" i="5"/>
  <c r="A1163" i="5"/>
  <c r="A1103" i="5"/>
  <c r="A1067" i="5"/>
  <c r="A1019" i="5"/>
  <c r="A875" i="5"/>
  <c r="A5567" i="5"/>
  <c r="A5471" i="5"/>
  <c r="A5423" i="5"/>
  <c r="A5375" i="5"/>
  <c r="A5327" i="5"/>
  <c r="A5279" i="5"/>
  <c r="A5231" i="5"/>
  <c r="A5183" i="5"/>
  <c r="A4991" i="5"/>
  <c r="A4703" i="5"/>
  <c r="A4559" i="5"/>
  <c r="A4512" i="5"/>
  <c r="A4511" i="5"/>
  <c r="A4319" i="5"/>
  <c r="A4223" i="5"/>
  <c r="A4127" i="5"/>
  <c r="A4079" i="5"/>
  <c r="A4031" i="5"/>
  <c r="A3983" i="5"/>
  <c r="A3935" i="5"/>
  <c r="A3887" i="5"/>
  <c r="A3839" i="5"/>
  <c r="A3791" i="5"/>
  <c r="A3743" i="5"/>
  <c r="A3695" i="5"/>
  <c r="A3647" i="5"/>
  <c r="A3563" i="5"/>
  <c r="A3515" i="5"/>
  <c r="A3455" i="5"/>
  <c r="A3419" i="5"/>
  <c r="A3371" i="5"/>
  <c r="A3323" i="5"/>
  <c r="A3227" i="5"/>
  <c r="A3217" i="5"/>
  <c r="A3168" i="5"/>
  <c r="A3071" i="5"/>
  <c r="A2975" i="5"/>
  <c r="A2831" i="5"/>
  <c r="A2880" i="5"/>
  <c r="A2352" i="5"/>
  <c r="A2065" i="5"/>
  <c r="D2065" i="5" s="1"/>
  <c r="A1633" i="5"/>
  <c r="A1632" i="5"/>
  <c r="A1631" i="5"/>
  <c r="C2069" i="5"/>
  <c r="A2069" i="5"/>
  <c r="D2069" i="5" s="1"/>
  <c r="C2068" i="5"/>
  <c r="A2068" i="5"/>
  <c r="B2068" i="5" s="1"/>
  <c r="C2067" i="5"/>
  <c r="A2067" i="5"/>
  <c r="D2067" i="5" s="1"/>
  <c r="C2066" i="5"/>
  <c r="A2066" i="5"/>
  <c r="B2066" i="5" s="1"/>
  <c r="C2065" i="5"/>
  <c r="C2064" i="5"/>
  <c r="A2064" i="5"/>
  <c r="B2064" i="5" s="1"/>
  <c r="F2059" i="5"/>
  <c r="F2056" i="5"/>
  <c r="C2055" i="5"/>
  <c r="A2055" i="5"/>
  <c r="B2055" i="5" s="1"/>
  <c r="C2054" i="5"/>
  <c r="A2054" i="5"/>
  <c r="D2054" i="5" s="1"/>
  <c r="C2047" i="5"/>
  <c r="A2047" i="5"/>
  <c r="C2046" i="5"/>
  <c r="A2046" i="5"/>
  <c r="C2045" i="5"/>
  <c r="A2045" i="5"/>
  <c r="C2044" i="5"/>
  <c r="A2044" i="5"/>
  <c r="D2044" i="5" s="1"/>
  <c r="C2043" i="5"/>
  <c r="A2043" i="5"/>
  <c r="B2043" i="5" s="1"/>
  <c r="C2042" i="5"/>
  <c r="A2042" i="5"/>
  <c r="D2042" i="5" s="1"/>
  <c r="C2041" i="5"/>
  <c r="A2041" i="5"/>
  <c r="B2041" i="5" s="1"/>
  <c r="C2040" i="5"/>
  <c r="A2040" i="5"/>
  <c r="D2040" i="5" s="1"/>
  <c r="C2039" i="5"/>
  <c r="A2039" i="5"/>
  <c r="B2039" i="5" s="1"/>
  <c r="C2038" i="5"/>
  <c r="A2038" i="5"/>
  <c r="D2038" i="5" s="1"/>
  <c r="C2037" i="5"/>
  <c r="A2037" i="5"/>
  <c r="B2037" i="5" s="1"/>
  <c r="C2036" i="5"/>
  <c r="A2036" i="5"/>
  <c r="D2036" i="5" s="1"/>
  <c r="C2035" i="5"/>
  <c r="A2035" i="5"/>
  <c r="B2035" i="5" s="1"/>
  <c r="C2034" i="5"/>
  <c r="A2034" i="5"/>
  <c r="D2034" i="5" s="1"/>
  <c r="C2033" i="5"/>
  <c r="A2033" i="5"/>
  <c r="B2033" i="5" s="1"/>
  <c r="C2032" i="5"/>
  <c r="A2032" i="5"/>
  <c r="D2032" i="5" s="1"/>
  <c r="C2031" i="5"/>
  <c r="A2031" i="5"/>
  <c r="B2031" i="5" s="1"/>
  <c r="C2030" i="5"/>
  <c r="A2030" i="5"/>
  <c r="D2030" i="5" s="1"/>
  <c r="C2029" i="5"/>
  <c r="A2029" i="5"/>
  <c r="B2029" i="5" s="1"/>
  <c r="E2027" i="5"/>
  <c r="B2027" i="5"/>
  <c r="A2027" i="5"/>
  <c r="A2075" i="5"/>
  <c r="B2075" i="5"/>
  <c r="E2075" i="5"/>
  <c r="F2021" i="5"/>
  <c r="F2020" i="5"/>
  <c r="F2019" i="5"/>
  <c r="C2018" i="5"/>
  <c r="A2018" i="5"/>
  <c r="C2017" i="5"/>
  <c r="A2017" i="5"/>
  <c r="B2017" i="5" s="1"/>
  <c r="C2016" i="5"/>
  <c r="C2015" i="5"/>
  <c r="A2015" i="5"/>
  <c r="F2010" i="5"/>
  <c r="F2009" i="5"/>
  <c r="F2008" i="5"/>
  <c r="F2007" i="5"/>
  <c r="F2006" i="5"/>
  <c r="F2005" i="5"/>
  <c r="F2004" i="5"/>
  <c r="C2003" i="5"/>
  <c r="A2003" i="5"/>
  <c r="B2003" i="5" s="1"/>
  <c r="C2002" i="5"/>
  <c r="A2002" i="5"/>
  <c r="D2002" i="5" s="1"/>
  <c r="C2001" i="5"/>
  <c r="A2001" i="5"/>
  <c r="B2001" i="5" s="1"/>
  <c r="F1996" i="5"/>
  <c r="F1995" i="5"/>
  <c r="F1994" i="5"/>
  <c r="F1993" i="5"/>
  <c r="F1992" i="5"/>
  <c r="C1991" i="5"/>
  <c r="A1991" i="5"/>
  <c r="E1991" i="5" s="1"/>
  <c r="C1990" i="5"/>
  <c r="A1990" i="5"/>
  <c r="C1989" i="5"/>
  <c r="A1989" i="5"/>
  <c r="E1989" i="5" s="1"/>
  <c r="C1988" i="5"/>
  <c r="A1988" i="5"/>
  <c r="C1987" i="5"/>
  <c r="A1987" i="5"/>
  <c r="E1987" i="5" s="1"/>
  <c r="C1986" i="5"/>
  <c r="A1986" i="5"/>
  <c r="C1985" i="5"/>
  <c r="A1985" i="5"/>
  <c r="E1985" i="5" s="1"/>
  <c r="C1984" i="5"/>
  <c r="A1984" i="5"/>
  <c r="B1984" i="5" s="1"/>
  <c r="C1983" i="5"/>
  <c r="A1983" i="5"/>
  <c r="E1983" i="5" s="1"/>
  <c r="C1982" i="5"/>
  <c r="A1982" i="5"/>
  <c r="B1982" i="5" s="1"/>
  <c r="C1981" i="5"/>
  <c r="A1981" i="5"/>
  <c r="E1981" i="5" s="1"/>
  <c r="E1979" i="5"/>
  <c r="B1979" i="5"/>
  <c r="A1979" i="5"/>
  <c r="K5608" i="7" l="1"/>
  <c r="L5608" i="7" s="1"/>
  <c r="N5608" i="7"/>
  <c r="D2046" i="5"/>
  <c r="B2045" i="5"/>
  <c r="B2047" i="5"/>
  <c r="D2029" i="5"/>
  <c r="B2030" i="5"/>
  <c r="D2031" i="5"/>
  <c r="B2032" i="5"/>
  <c r="D2033" i="5"/>
  <c r="B2034" i="5"/>
  <c r="D2035" i="5"/>
  <c r="B2036" i="5"/>
  <c r="D2037" i="5"/>
  <c r="B2038" i="5"/>
  <c r="D2039" i="5"/>
  <c r="B2040" i="5"/>
  <c r="D2041" i="5"/>
  <c r="B2042" i="5"/>
  <c r="D2043" i="5"/>
  <c r="B2044" i="5"/>
  <c r="D2045" i="5"/>
  <c r="B2046" i="5"/>
  <c r="D2047" i="5"/>
  <c r="B2054" i="5"/>
  <c r="D2055" i="5"/>
  <c r="D2064" i="5"/>
  <c r="B2065" i="5"/>
  <c r="D2066" i="5"/>
  <c r="B2067" i="5"/>
  <c r="D2068" i="5"/>
  <c r="B2069" i="5"/>
  <c r="E2032" i="5"/>
  <c r="F2032" i="5" s="1"/>
  <c r="E2040" i="5"/>
  <c r="F2040" i="5" s="1"/>
  <c r="E2044" i="5"/>
  <c r="F2044" i="5" s="1"/>
  <c r="E2046" i="5"/>
  <c r="E2054" i="5"/>
  <c r="E2029" i="5"/>
  <c r="F2029" i="5" s="1"/>
  <c r="E2031" i="5"/>
  <c r="F2031" i="5" s="1"/>
  <c r="E2033" i="5"/>
  <c r="F2033" i="5" s="1"/>
  <c r="E2035" i="5"/>
  <c r="F2035" i="5" s="1"/>
  <c r="E2037" i="5"/>
  <c r="F2037" i="5" s="1"/>
  <c r="E2039" i="5"/>
  <c r="F2039" i="5" s="1"/>
  <c r="E2041" i="5"/>
  <c r="E2043" i="5"/>
  <c r="F2043" i="5" s="1"/>
  <c r="E2045" i="5"/>
  <c r="E2047" i="5"/>
  <c r="E2055" i="5"/>
  <c r="E2034" i="5"/>
  <c r="F2034" i="5" s="1"/>
  <c r="E2036" i="5"/>
  <c r="F2036" i="5" s="1"/>
  <c r="E2038" i="5"/>
  <c r="E2042" i="5"/>
  <c r="F2042" i="5" s="1"/>
  <c r="D1985" i="5"/>
  <c r="D2015" i="5"/>
  <c r="F1981" i="5"/>
  <c r="F1983" i="5"/>
  <c r="D1989" i="5"/>
  <c r="D2001" i="5"/>
  <c r="D1986" i="5"/>
  <c r="D1988" i="5"/>
  <c r="D2003" i="5"/>
  <c r="D2017" i="5"/>
  <c r="D1981" i="5"/>
  <c r="B1985" i="5"/>
  <c r="D1987" i="5"/>
  <c r="D2016" i="5"/>
  <c r="B1983" i="5"/>
  <c r="B1991" i="5"/>
  <c r="B1981" i="5"/>
  <c r="D1984" i="5"/>
  <c r="B1989" i="5"/>
  <c r="D1982" i="5"/>
  <c r="D1983" i="5"/>
  <c r="B1987" i="5"/>
  <c r="D1990" i="5"/>
  <c r="D1991" i="5"/>
  <c r="B2015" i="5"/>
  <c r="D2018" i="5"/>
  <c r="F1989" i="5"/>
  <c r="F1987" i="5"/>
  <c r="F1985" i="5"/>
  <c r="F1991" i="5"/>
  <c r="E1988" i="5"/>
  <c r="E1990" i="5"/>
  <c r="F1990" i="5" s="1"/>
  <c r="B2002" i="5"/>
  <c r="B1986" i="5"/>
  <c r="E2001" i="5"/>
  <c r="E2003" i="5"/>
  <c r="F2003" i="5" s="1"/>
  <c r="B2016" i="5"/>
  <c r="B2018" i="5"/>
  <c r="E2002" i="5"/>
  <c r="F2002" i="5" s="1"/>
  <c r="E1982" i="5"/>
  <c r="F1982" i="5" s="1"/>
  <c r="E1984" i="5"/>
  <c r="F1984" i="5" s="1"/>
  <c r="E1986" i="5"/>
  <c r="F1986" i="5" s="1"/>
  <c r="B1988" i="5"/>
  <c r="B1990" i="5"/>
  <c r="F2047" i="5" l="1"/>
  <c r="F2046" i="5"/>
  <c r="F2045" i="5"/>
  <c r="F2038" i="5"/>
  <c r="F2055" i="5"/>
  <c r="F2041" i="5"/>
  <c r="F2054" i="5"/>
  <c r="F1988" i="5"/>
  <c r="F2001" i="5"/>
  <c r="F2060" i="5" l="1"/>
  <c r="F2011" i="5"/>
  <c r="F1997" i="5"/>
  <c r="F7" i="5" l="1"/>
  <c r="B47" i="2"/>
  <c r="C143" i="2" l="1"/>
  <c r="B143" i="2"/>
  <c r="C140" i="2"/>
  <c r="B140" i="2"/>
  <c r="C137" i="2"/>
  <c r="B137" i="2"/>
  <c r="C134" i="2"/>
  <c r="B134" i="2"/>
  <c r="C131" i="2"/>
  <c r="B131" i="2"/>
  <c r="C128" i="2"/>
  <c r="B128" i="2"/>
  <c r="C125" i="2"/>
  <c r="B125" i="2"/>
  <c r="C106" i="2"/>
  <c r="B106" i="2"/>
  <c r="C103" i="2"/>
  <c r="B103" i="2"/>
  <c r="C100" i="2"/>
  <c r="B100" i="2"/>
  <c r="C97" i="2"/>
  <c r="B97" i="2"/>
  <c r="C94" i="2"/>
  <c r="B94" i="2"/>
  <c r="C91" i="2"/>
  <c r="B91" i="2"/>
  <c r="C88" i="2"/>
  <c r="B88" i="2"/>
  <c r="B7" i="2" l="1"/>
  <c r="B14" i="2"/>
  <c r="C14" i="2"/>
  <c r="B17" i="2"/>
  <c r="C17" i="2"/>
  <c r="B20" i="2"/>
  <c r="C20" i="2"/>
  <c r="B23" i="2"/>
  <c r="C23" i="2"/>
  <c r="B26" i="2"/>
  <c r="C26" i="2"/>
  <c r="B29" i="2"/>
  <c r="C29" i="2"/>
  <c r="B32" i="2"/>
  <c r="C32" i="2"/>
  <c r="B51" i="2"/>
  <c r="C51" i="2"/>
  <c r="B54" i="2"/>
  <c r="C54" i="2"/>
  <c r="B57" i="2"/>
  <c r="C57" i="2"/>
  <c r="B60" i="2"/>
  <c r="C60" i="2"/>
  <c r="B63" i="2"/>
  <c r="C63" i="2"/>
  <c r="B66" i="2"/>
  <c r="C66" i="2"/>
  <c r="B69" i="2"/>
  <c r="C69" i="2"/>
  <c r="C48" i="5" l="1"/>
  <c r="C47" i="5"/>
  <c r="C38" i="5" l="1"/>
  <c r="C37" i="5"/>
  <c r="C33" i="5"/>
  <c r="C34" i="5"/>
  <c r="C336" i="5"/>
  <c r="A336" i="5"/>
  <c r="D336" i="5" s="1"/>
  <c r="C335" i="5"/>
  <c r="C321" i="5"/>
  <c r="C322" i="5"/>
  <c r="C288" i="5"/>
  <c r="C287" i="5"/>
  <c r="C36" i="5"/>
  <c r="C35" i="5"/>
  <c r="C2832" i="5" l="1"/>
  <c r="C2831" i="5"/>
  <c r="C1823" i="5"/>
  <c r="J781" i="7" l="1"/>
  <c r="C781" i="7"/>
  <c r="A781" i="7"/>
  <c r="E38" i="5" l="1"/>
  <c r="E37" i="5"/>
  <c r="D38" i="5"/>
  <c r="B37" i="5"/>
  <c r="E731" i="5"/>
  <c r="B731" i="5"/>
  <c r="A731" i="5"/>
  <c r="F773" i="5"/>
  <c r="F772" i="5"/>
  <c r="F771" i="5"/>
  <c r="F770" i="5"/>
  <c r="F769" i="5"/>
  <c r="F768" i="5"/>
  <c r="F767" i="5"/>
  <c r="F762" i="5"/>
  <c r="F761" i="5"/>
  <c r="F760" i="5"/>
  <c r="F759" i="5"/>
  <c r="F758" i="5"/>
  <c r="F757" i="5"/>
  <c r="F756" i="5"/>
  <c r="F755" i="5"/>
  <c r="E753" i="5"/>
  <c r="F753" i="5" s="1"/>
  <c r="F754" i="5"/>
  <c r="F748" i="5"/>
  <c r="F747" i="5"/>
  <c r="F746" i="5"/>
  <c r="F745" i="5"/>
  <c r="F744" i="5"/>
  <c r="F743" i="5"/>
  <c r="F742" i="5"/>
  <c r="F741" i="5"/>
  <c r="F740" i="5"/>
  <c r="F739" i="5"/>
  <c r="F738" i="5"/>
  <c r="F737" i="5"/>
  <c r="F736" i="5"/>
  <c r="F735" i="5"/>
  <c r="F734" i="5"/>
  <c r="F733" i="5"/>
  <c r="F749" i="5" l="1"/>
  <c r="F774" i="5"/>
  <c r="B38" i="5"/>
  <c r="D37" i="5"/>
  <c r="F763" i="5"/>
  <c r="B753" i="5"/>
  <c r="D753" i="5"/>
  <c r="E775" i="19" l="1"/>
  <c r="D708" i="19"/>
  <c r="D593" i="19"/>
  <c r="D428" i="19" l="1"/>
  <c r="F314" i="19"/>
  <c r="D316" i="19" s="1"/>
  <c r="D284" i="19"/>
  <c r="D296" i="19" s="1"/>
  <c r="D273" i="19"/>
  <c r="D1222" i="19" l="1"/>
  <c r="D1214" i="19"/>
  <c r="D1208" i="19"/>
  <c r="D1202" i="19"/>
  <c r="D1186" i="19"/>
  <c r="E1177" i="19"/>
  <c r="D1166" i="19"/>
  <c r="D1156" i="19"/>
  <c r="D1147" i="19"/>
  <c r="D1129" i="19"/>
  <c r="E1123" i="19"/>
  <c r="D1114" i="19"/>
  <c r="D1105" i="19"/>
  <c r="D1089" i="19"/>
  <c r="D1077" i="19"/>
  <c r="F37" i="5" l="1"/>
  <c r="E766" i="19"/>
  <c r="E764" i="19"/>
  <c r="J5286" i="7" l="1"/>
  <c r="C5286" i="7"/>
  <c r="A5286" i="7"/>
  <c r="K5286" i="7" s="1"/>
  <c r="J5232" i="7"/>
  <c r="C5232" i="7"/>
  <c r="A5232" i="7"/>
  <c r="M5232" i="7" s="1"/>
  <c r="A5281" i="7"/>
  <c r="C5280" i="7"/>
  <c r="A5227" i="7"/>
  <c r="C5226" i="7"/>
  <c r="E5920" i="5"/>
  <c r="E5919" i="5"/>
  <c r="J4483" i="7"/>
  <c r="C4483" i="7"/>
  <c r="A4483" i="7"/>
  <c r="C4207" i="7"/>
  <c r="C4211" i="7"/>
  <c r="A4207" i="7"/>
  <c r="A4211" i="7"/>
  <c r="J4211" i="7"/>
  <c r="J4207" i="7"/>
  <c r="J4046" i="7"/>
  <c r="C4046" i="7"/>
  <c r="A4046" i="7"/>
  <c r="K4046" i="7" s="1"/>
  <c r="A4041" i="7"/>
  <c r="C4040" i="7"/>
  <c r="J122" i="7"/>
  <c r="J177" i="7"/>
  <c r="J232" i="7"/>
  <c r="C232" i="7"/>
  <c r="C177" i="7"/>
  <c r="M232" i="7"/>
  <c r="K232" i="7"/>
  <c r="A227" i="7"/>
  <c r="C226" i="7"/>
  <c r="M177" i="7"/>
  <c r="K177" i="7"/>
  <c r="A172" i="7"/>
  <c r="C171" i="7"/>
  <c r="C122" i="7"/>
  <c r="M122" i="7"/>
  <c r="K122" i="7"/>
  <c r="A117" i="7"/>
  <c r="C116" i="7"/>
  <c r="E36" i="5"/>
  <c r="E35" i="5"/>
  <c r="C5649" i="5"/>
  <c r="B5650" i="5"/>
  <c r="E2030" i="5" l="1"/>
  <c r="F2030" i="5" s="1"/>
  <c r="M5286" i="7"/>
  <c r="N5286" i="7" s="1"/>
  <c r="L5286" i="7"/>
  <c r="M4046" i="7"/>
  <c r="N4046" i="7" s="1"/>
  <c r="K5232" i="7"/>
  <c r="L5232" i="7" s="1"/>
  <c r="N5232" i="7"/>
  <c r="L4046" i="7"/>
  <c r="L232" i="7"/>
  <c r="N232" i="7"/>
  <c r="L177" i="7"/>
  <c r="N177" i="7"/>
  <c r="N122" i="7"/>
  <c r="L122" i="7"/>
  <c r="D95" i="19"/>
  <c r="D136" i="19"/>
  <c r="F2050" i="5" l="1"/>
  <c r="F36" i="5" l="1"/>
  <c r="F35" i="5"/>
  <c r="D5697" i="5" l="1"/>
  <c r="B5677" i="5"/>
  <c r="F5711" i="5"/>
  <c r="E5711" i="5"/>
  <c r="D5711" i="5"/>
  <c r="B5711" i="5"/>
  <c r="F5663" i="5"/>
  <c r="E5663" i="5"/>
  <c r="D5663" i="5"/>
  <c r="B5663" i="5"/>
  <c r="E5649" i="5"/>
  <c r="F5649" i="5" s="1"/>
  <c r="D5649" i="5"/>
  <c r="B5649" i="5"/>
  <c r="F5629" i="5"/>
  <c r="E5629" i="5"/>
  <c r="D5629" i="5"/>
  <c r="B5629" i="5"/>
  <c r="E4257" i="5"/>
  <c r="B4272" i="5"/>
  <c r="D4272" i="5"/>
  <c r="E4272" i="5"/>
  <c r="F4272" i="5"/>
  <c r="B4273" i="5"/>
  <c r="D4273" i="5"/>
  <c r="E4273" i="5"/>
  <c r="F4273" i="5"/>
  <c r="B4274" i="5"/>
  <c r="D4274" i="5"/>
  <c r="E4274" i="5"/>
  <c r="F4274" i="5"/>
  <c r="B4275" i="5"/>
  <c r="D4275" i="5"/>
  <c r="E4275" i="5"/>
  <c r="F4275" i="5"/>
  <c r="B4276" i="5"/>
  <c r="D4276" i="5"/>
  <c r="E4276" i="5"/>
  <c r="F4276" i="5"/>
  <c r="B4277" i="5"/>
  <c r="D4277" i="5"/>
  <c r="E4277" i="5"/>
  <c r="F4277" i="5"/>
  <c r="B4258" i="5"/>
  <c r="D4258" i="5"/>
  <c r="E4258" i="5"/>
  <c r="F4258" i="5"/>
  <c r="B4259" i="5"/>
  <c r="D4259" i="5"/>
  <c r="E4259" i="5"/>
  <c r="F4259" i="5"/>
  <c r="B4260" i="5"/>
  <c r="D4260" i="5"/>
  <c r="E4260" i="5"/>
  <c r="F4260" i="5"/>
  <c r="B4261" i="5"/>
  <c r="D4261" i="5"/>
  <c r="E4261" i="5"/>
  <c r="F4261" i="5"/>
  <c r="B4262" i="5"/>
  <c r="D4262" i="5"/>
  <c r="E4262" i="5"/>
  <c r="F4262" i="5"/>
  <c r="B4263" i="5"/>
  <c r="D4263" i="5"/>
  <c r="E4263" i="5"/>
  <c r="F4263" i="5"/>
  <c r="B4264" i="5"/>
  <c r="D4264" i="5"/>
  <c r="E4264" i="5"/>
  <c r="F4264" i="5"/>
  <c r="B4265" i="5"/>
  <c r="D4265" i="5"/>
  <c r="E4265" i="5"/>
  <c r="F4265" i="5"/>
  <c r="B4266" i="5"/>
  <c r="D4266" i="5"/>
  <c r="E4266" i="5"/>
  <c r="F4266" i="5"/>
  <c r="B4238" i="5"/>
  <c r="D4238" i="5"/>
  <c r="E4238" i="5"/>
  <c r="F4238" i="5"/>
  <c r="B4239" i="5"/>
  <c r="D4239" i="5"/>
  <c r="E4239" i="5"/>
  <c r="F4239" i="5"/>
  <c r="B4240" i="5"/>
  <c r="D4240" i="5"/>
  <c r="E4240" i="5"/>
  <c r="F4240" i="5"/>
  <c r="B4241" i="5"/>
  <c r="D4241" i="5"/>
  <c r="E4241" i="5"/>
  <c r="F4241" i="5"/>
  <c r="B4242" i="5"/>
  <c r="D4242" i="5"/>
  <c r="E4242" i="5"/>
  <c r="F4242" i="5"/>
  <c r="B4243" i="5"/>
  <c r="D4243" i="5"/>
  <c r="E4243" i="5"/>
  <c r="F4243" i="5"/>
  <c r="B4244" i="5"/>
  <c r="D4244" i="5"/>
  <c r="E4244" i="5"/>
  <c r="F4244" i="5"/>
  <c r="B4245" i="5"/>
  <c r="D4245" i="5"/>
  <c r="E4245" i="5"/>
  <c r="F4245" i="5"/>
  <c r="B4246" i="5"/>
  <c r="D4246" i="5"/>
  <c r="E4246" i="5"/>
  <c r="F4246" i="5"/>
  <c r="B4247" i="5"/>
  <c r="D4247" i="5"/>
  <c r="E4247" i="5"/>
  <c r="F4247" i="5"/>
  <c r="B4248" i="5"/>
  <c r="D4248" i="5"/>
  <c r="E4248" i="5"/>
  <c r="F4248" i="5"/>
  <c r="B4249" i="5"/>
  <c r="D4249" i="5"/>
  <c r="E4249" i="5"/>
  <c r="F4249" i="5"/>
  <c r="B4250" i="5"/>
  <c r="D4250" i="5"/>
  <c r="E4250" i="5"/>
  <c r="F4250" i="5"/>
  <c r="B4251" i="5"/>
  <c r="D4251" i="5"/>
  <c r="E4251" i="5"/>
  <c r="F4251" i="5"/>
  <c r="B4252" i="5"/>
  <c r="D4252" i="5"/>
  <c r="E4252" i="5"/>
  <c r="F4252" i="5"/>
  <c r="E4271" i="5"/>
  <c r="F4271" i="5" s="1"/>
  <c r="D4271" i="5"/>
  <c r="B4271" i="5"/>
  <c r="E4237" i="5"/>
  <c r="F4237" i="5" s="1"/>
  <c r="D4237" i="5"/>
  <c r="B4237" i="5"/>
  <c r="E4235" i="5"/>
  <c r="B4235" i="5"/>
  <c r="A4235" i="5"/>
  <c r="E5697" i="5" l="1"/>
  <c r="F5697" i="5" s="1"/>
  <c r="B5697" i="5"/>
  <c r="D5677" i="5"/>
  <c r="E5677" i="5"/>
  <c r="F5677" i="5" s="1"/>
  <c r="B4257" i="5"/>
  <c r="F4257" i="5"/>
  <c r="F4267" i="5" s="1"/>
  <c r="D4257" i="5"/>
  <c r="F4278" i="5"/>
  <c r="F4253" i="5"/>
  <c r="A5531" i="5" l="1"/>
  <c r="B5698" i="5"/>
  <c r="D5698" i="5"/>
  <c r="E5698" i="5"/>
  <c r="F5698" i="5"/>
  <c r="B5699" i="5"/>
  <c r="D5699" i="5"/>
  <c r="E5699" i="5"/>
  <c r="F5699" i="5"/>
  <c r="B5700" i="5"/>
  <c r="D5700" i="5"/>
  <c r="E5700" i="5"/>
  <c r="F5700" i="5"/>
  <c r="B5701" i="5"/>
  <c r="D5701" i="5"/>
  <c r="E5701" i="5"/>
  <c r="F5701" i="5"/>
  <c r="B5702" i="5"/>
  <c r="D5702" i="5"/>
  <c r="E5702" i="5"/>
  <c r="F5702" i="5"/>
  <c r="B5703" i="5"/>
  <c r="D5703" i="5"/>
  <c r="E5703" i="5"/>
  <c r="F5703" i="5"/>
  <c r="B5704" i="5"/>
  <c r="D5704" i="5"/>
  <c r="E5704" i="5"/>
  <c r="F5704" i="5"/>
  <c r="B5705" i="5"/>
  <c r="D5705" i="5"/>
  <c r="E5705" i="5"/>
  <c r="F5705" i="5"/>
  <c r="B5706" i="5"/>
  <c r="D5706" i="5"/>
  <c r="E5706" i="5"/>
  <c r="F5706" i="5"/>
  <c r="B5678" i="5"/>
  <c r="D5678" i="5"/>
  <c r="E5678" i="5"/>
  <c r="F5678" i="5"/>
  <c r="B5679" i="5"/>
  <c r="D5679" i="5"/>
  <c r="E5679" i="5"/>
  <c r="F5679" i="5"/>
  <c r="B5680" i="5"/>
  <c r="D5680" i="5"/>
  <c r="E5680" i="5"/>
  <c r="F5680" i="5"/>
  <c r="B5681" i="5"/>
  <c r="D5681" i="5"/>
  <c r="E5681" i="5"/>
  <c r="F5681" i="5"/>
  <c r="B5682" i="5"/>
  <c r="D5682" i="5"/>
  <c r="E5682" i="5"/>
  <c r="F5682" i="5"/>
  <c r="B5683" i="5"/>
  <c r="D5683" i="5"/>
  <c r="E5683" i="5"/>
  <c r="F5683" i="5"/>
  <c r="B5684" i="5"/>
  <c r="D5684" i="5"/>
  <c r="E5684" i="5"/>
  <c r="F5684" i="5"/>
  <c r="B5685" i="5"/>
  <c r="D5685" i="5"/>
  <c r="E5685" i="5"/>
  <c r="F5685" i="5"/>
  <c r="B5686" i="5"/>
  <c r="D5686" i="5"/>
  <c r="E5686" i="5"/>
  <c r="F5686" i="5"/>
  <c r="B5687" i="5"/>
  <c r="D5687" i="5"/>
  <c r="E5687" i="5"/>
  <c r="F5687" i="5"/>
  <c r="B5688" i="5"/>
  <c r="D5688" i="5"/>
  <c r="E5688" i="5"/>
  <c r="F5688" i="5"/>
  <c r="B5689" i="5"/>
  <c r="D5689" i="5"/>
  <c r="E5689" i="5"/>
  <c r="F5689" i="5"/>
  <c r="B5690" i="5"/>
  <c r="D5690" i="5"/>
  <c r="E5690" i="5"/>
  <c r="F5690" i="5"/>
  <c r="B5691" i="5"/>
  <c r="D5691" i="5"/>
  <c r="E5691" i="5"/>
  <c r="F5691" i="5"/>
  <c r="B5692" i="5"/>
  <c r="D5692" i="5"/>
  <c r="E5692" i="5"/>
  <c r="F5692" i="5"/>
  <c r="D5664" i="5"/>
  <c r="E5664" i="5"/>
  <c r="F5664" i="5"/>
  <c r="D5665" i="5"/>
  <c r="E5665" i="5"/>
  <c r="F5665" i="5"/>
  <c r="D5666" i="5"/>
  <c r="E5666" i="5"/>
  <c r="F5666" i="5"/>
  <c r="D5667" i="5"/>
  <c r="E5667" i="5"/>
  <c r="F5667" i="5"/>
  <c r="D5668" i="5"/>
  <c r="E5668" i="5"/>
  <c r="F5668" i="5"/>
  <c r="D5669" i="5"/>
  <c r="E5669" i="5"/>
  <c r="F5669" i="5"/>
  <c r="D5650" i="5"/>
  <c r="E5650" i="5"/>
  <c r="F5650" i="5"/>
  <c r="D5651" i="5"/>
  <c r="E5651" i="5"/>
  <c r="F5651" i="5"/>
  <c r="D5652" i="5"/>
  <c r="E5652" i="5"/>
  <c r="F5652" i="5"/>
  <c r="D5653" i="5"/>
  <c r="E5653" i="5"/>
  <c r="F5653" i="5"/>
  <c r="D5654" i="5"/>
  <c r="E5654" i="5"/>
  <c r="F5654" i="5"/>
  <c r="D5655" i="5"/>
  <c r="E5655" i="5"/>
  <c r="F5655" i="5"/>
  <c r="D5656" i="5"/>
  <c r="E5656" i="5"/>
  <c r="F5656" i="5"/>
  <c r="D5657" i="5"/>
  <c r="E5657" i="5"/>
  <c r="F5657" i="5"/>
  <c r="D5658" i="5"/>
  <c r="E5658" i="5"/>
  <c r="F5658" i="5"/>
  <c r="F5630" i="5"/>
  <c r="F5631" i="5"/>
  <c r="F5632" i="5"/>
  <c r="F5633" i="5"/>
  <c r="F5634" i="5"/>
  <c r="F5635" i="5"/>
  <c r="F5636" i="5"/>
  <c r="F5637" i="5"/>
  <c r="F5638" i="5"/>
  <c r="F5639" i="5"/>
  <c r="F5640" i="5"/>
  <c r="F5641" i="5"/>
  <c r="F5642" i="5"/>
  <c r="F5643" i="5"/>
  <c r="F5644" i="5"/>
  <c r="E5630" i="5"/>
  <c r="E5631" i="5"/>
  <c r="E5632" i="5"/>
  <c r="E5633" i="5"/>
  <c r="E5634" i="5"/>
  <c r="E5635" i="5"/>
  <c r="E5636" i="5"/>
  <c r="E5637" i="5"/>
  <c r="E5638" i="5"/>
  <c r="E5639" i="5"/>
  <c r="E5640" i="5"/>
  <c r="E5641" i="5"/>
  <c r="E5642" i="5"/>
  <c r="E5643" i="5"/>
  <c r="E5644" i="5"/>
  <c r="D5630" i="5"/>
  <c r="D5631" i="5"/>
  <c r="D5632" i="5"/>
  <c r="D5633" i="5"/>
  <c r="D5634" i="5"/>
  <c r="D5635" i="5"/>
  <c r="D5636" i="5"/>
  <c r="D5637" i="5"/>
  <c r="D5638" i="5"/>
  <c r="D5639" i="5"/>
  <c r="D5640" i="5"/>
  <c r="D5641" i="5"/>
  <c r="D5642" i="5"/>
  <c r="D5643" i="5"/>
  <c r="E5627" i="5"/>
  <c r="B5627" i="5"/>
  <c r="A5627" i="5"/>
  <c r="B5675" i="5"/>
  <c r="E5675" i="5"/>
  <c r="A5675" i="5"/>
  <c r="F5717" i="5"/>
  <c r="F5716" i="5"/>
  <c r="F5715" i="5"/>
  <c r="F5714" i="5"/>
  <c r="F5713" i="5"/>
  <c r="F5712" i="5"/>
  <c r="A4449" i="5" l="1"/>
  <c r="E4427" i="5"/>
  <c r="B4427" i="5"/>
  <c r="A4427" i="5"/>
  <c r="F4469" i="5"/>
  <c r="F4468" i="5"/>
  <c r="F4467" i="5"/>
  <c r="F4466" i="5"/>
  <c r="F4465" i="5"/>
  <c r="F4458" i="5"/>
  <c r="F4457" i="5"/>
  <c r="F4456" i="5"/>
  <c r="F4455" i="5"/>
  <c r="F4454" i="5"/>
  <c r="F4453" i="5"/>
  <c r="F4452" i="5"/>
  <c r="F4451" i="5"/>
  <c r="F4450" i="5"/>
  <c r="F4444" i="5"/>
  <c r="F4443" i="5"/>
  <c r="F4442" i="5"/>
  <c r="F4441" i="5"/>
  <c r="F4440" i="5"/>
  <c r="F4439" i="5"/>
  <c r="F4438" i="5"/>
  <c r="F4437" i="5"/>
  <c r="F4436" i="5"/>
  <c r="F4435" i="5"/>
  <c r="F4434" i="5"/>
  <c r="F4433" i="5"/>
  <c r="F4432" i="5"/>
  <c r="F4431" i="5"/>
  <c r="F4430" i="5"/>
  <c r="F4429" i="5"/>
  <c r="E4379" i="5"/>
  <c r="B4379" i="5"/>
  <c r="A4379" i="5"/>
  <c r="F5645" i="5" l="1"/>
  <c r="F5693" i="5"/>
  <c r="E4449" i="5"/>
  <c r="F4449" i="5" s="1"/>
  <c r="F4459" i="5" s="1"/>
  <c r="D4463" i="5"/>
  <c r="B4463" i="5"/>
  <c r="D4449" i="5"/>
  <c r="F4445" i="5"/>
  <c r="B4449" i="5"/>
  <c r="F5659" i="5" l="1"/>
  <c r="F5670" i="5"/>
  <c r="F5707" i="5"/>
  <c r="F246" i="5" l="1"/>
  <c r="F221" i="5"/>
  <c r="A225" i="5"/>
  <c r="B225" i="5" s="1"/>
  <c r="E225" i="5"/>
  <c r="F225" i="5" s="1"/>
  <c r="F235" i="5" s="1"/>
  <c r="F198" i="5"/>
  <c r="F173" i="5"/>
  <c r="F139" i="5"/>
  <c r="F125" i="5"/>
  <c r="E203" i="5"/>
  <c r="B203" i="5"/>
  <c r="A203" i="5"/>
  <c r="B143" i="5"/>
  <c r="A143" i="5"/>
  <c r="E177" i="5"/>
  <c r="F177" i="5" s="1"/>
  <c r="F187" i="5" s="1"/>
  <c r="A177" i="5"/>
  <c r="B177" i="5" s="1"/>
  <c r="E155" i="5"/>
  <c r="B155" i="5"/>
  <c r="A155" i="5"/>
  <c r="E107" i="5"/>
  <c r="B107" i="5"/>
  <c r="A107" i="5"/>
  <c r="A251" i="5"/>
  <c r="D225" i="5" l="1"/>
  <c r="D177" i="5"/>
  <c r="E4641" i="5" l="1"/>
  <c r="D4641" i="5"/>
  <c r="B4641" i="5"/>
  <c r="C26" i="24" l="1"/>
  <c r="C23" i="24"/>
  <c r="C19" i="24"/>
  <c r="C29" i="24" l="1"/>
  <c r="F9" i="1" s="1"/>
  <c r="E4715" i="5"/>
  <c r="A4751" i="5"/>
  <c r="E4737" i="5"/>
  <c r="A4737" i="5"/>
  <c r="B5856" i="5"/>
  <c r="B5855" i="5"/>
  <c r="B5904" i="5"/>
  <c r="B5903" i="5"/>
  <c r="B5952" i="5"/>
  <c r="B5951" i="5"/>
  <c r="D8" i="5" l="1"/>
  <c r="C2072" i="5" s="1"/>
  <c r="C2061" i="5"/>
  <c r="F2061" i="5" s="1"/>
  <c r="F2062" i="5" s="1"/>
  <c r="G70" i="1" s="1"/>
  <c r="J70" i="1" s="1"/>
  <c r="C2051" i="5"/>
  <c r="C2024" i="5"/>
  <c r="C2012" i="5"/>
  <c r="F2012" i="5" s="1"/>
  <c r="F2013" i="5" s="1"/>
  <c r="G69" i="1" s="1"/>
  <c r="J69" i="1" s="1"/>
  <c r="C1998" i="5"/>
  <c r="F1998" i="5" s="1"/>
  <c r="F1999" i="5" s="1"/>
  <c r="F69" i="1" s="1"/>
  <c r="I69" i="1" s="1"/>
  <c r="C764" i="5"/>
  <c r="F764" i="5" s="1"/>
  <c r="C776" i="5"/>
  <c r="C750" i="5"/>
  <c r="C4268" i="5"/>
  <c r="F4268" i="5" s="1"/>
  <c r="C4254" i="5"/>
  <c r="C4280" i="5"/>
  <c r="C5660" i="5"/>
  <c r="F5660" i="5" s="1"/>
  <c r="C5646" i="5"/>
  <c r="C5672" i="5"/>
  <c r="C5708" i="5"/>
  <c r="F5708" i="5" s="1"/>
  <c r="C5694" i="5"/>
  <c r="C5720" i="5"/>
  <c r="C4460" i="5"/>
  <c r="F4460" i="5" s="1"/>
  <c r="C4446" i="5"/>
  <c r="C4472" i="5"/>
  <c r="C248" i="5"/>
  <c r="C236" i="5"/>
  <c r="F236" i="5" s="1"/>
  <c r="C174" i="5"/>
  <c r="C140" i="5"/>
  <c r="F140" i="5" s="1"/>
  <c r="C200" i="5"/>
  <c r="C188" i="5"/>
  <c r="F188" i="5" s="1"/>
  <c r="C126" i="5"/>
  <c r="C222" i="5"/>
  <c r="C152" i="5"/>
  <c r="D62" i="19"/>
  <c r="A2928" i="5"/>
  <c r="A5759" i="5"/>
  <c r="A5615" i="5"/>
  <c r="A4992" i="5"/>
  <c r="A4752" i="5"/>
  <c r="A4704" i="5"/>
  <c r="A4655" i="5"/>
  <c r="A4560" i="5"/>
  <c r="A4320" i="5"/>
  <c r="A4224" i="5"/>
  <c r="A3407" i="5"/>
  <c r="A3311" i="5"/>
  <c r="A3218" i="5"/>
  <c r="A3167" i="5"/>
  <c r="A3072" i="5"/>
  <c r="A2879" i="5"/>
  <c r="A2832" i="5"/>
  <c r="A2447" i="5"/>
  <c r="A2111" i="5"/>
  <c r="A1584" i="5"/>
  <c r="A1535" i="5"/>
  <c r="A1488" i="5"/>
  <c r="A1104" i="5"/>
  <c r="E2625" i="5"/>
  <c r="B36" i="5"/>
  <c r="F2051" i="5" l="1"/>
  <c r="F750" i="5"/>
  <c r="F765" i="5"/>
  <c r="G36" i="1" s="1"/>
  <c r="F4254" i="5"/>
  <c r="F4269" i="5"/>
  <c r="G130" i="1" s="1"/>
  <c r="F5646" i="5"/>
  <c r="F5661" i="5"/>
  <c r="G166" i="1" s="1"/>
  <c r="F5694" i="5"/>
  <c r="F5709" i="5"/>
  <c r="G167" i="1" s="1"/>
  <c r="F222" i="5"/>
  <c r="F141" i="5"/>
  <c r="G18" i="1" s="1"/>
  <c r="F126" i="5"/>
  <c r="F174" i="5"/>
  <c r="F4446" i="5"/>
  <c r="F189" i="5"/>
  <c r="G19" i="1" s="1"/>
  <c r="F237" i="5"/>
  <c r="G20" i="1" s="1"/>
  <c r="F4461" i="5"/>
  <c r="G138" i="1" s="1"/>
  <c r="D36" i="5"/>
  <c r="C2379" i="7"/>
  <c r="A2379" i="7"/>
  <c r="M2379" i="7" s="1"/>
  <c r="J2379" i="7"/>
  <c r="A2374" i="7"/>
  <c r="C2373" i="7"/>
  <c r="D669" i="19"/>
  <c r="D671" i="19" s="1"/>
  <c r="B661" i="19"/>
  <c r="A661" i="19"/>
  <c r="A673" i="19"/>
  <c r="B673" i="19"/>
  <c r="A674" i="19"/>
  <c r="B674" i="19"/>
  <c r="B2365" i="5"/>
  <c r="E2363" i="5"/>
  <c r="B2363" i="5"/>
  <c r="A2363" i="5"/>
  <c r="F2405" i="5"/>
  <c r="F2404" i="5"/>
  <c r="F2403" i="5"/>
  <c r="F2402" i="5"/>
  <c r="F2401" i="5"/>
  <c r="A2399" i="5"/>
  <c r="D2399" i="5" s="1"/>
  <c r="F2394" i="5"/>
  <c r="F2393" i="5"/>
  <c r="F2392" i="5"/>
  <c r="F2391" i="5"/>
  <c r="F2390" i="5"/>
  <c r="F2389" i="5"/>
  <c r="F2388" i="5"/>
  <c r="F2387" i="5"/>
  <c r="F2380" i="5"/>
  <c r="F2379" i="5"/>
  <c r="F2378" i="5"/>
  <c r="F2377" i="5"/>
  <c r="F2376" i="5"/>
  <c r="F2375" i="5"/>
  <c r="F2374" i="5"/>
  <c r="F2373" i="5"/>
  <c r="F2372" i="5"/>
  <c r="F2371" i="5"/>
  <c r="F2370" i="5"/>
  <c r="F2369" i="5"/>
  <c r="F2368" i="5"/>
  <c r="F2367" i="5"/>
  <c r="F2366" i="5"/>
  <c r="F2052" i="5" l="1"/>
  <c r="F70" i="1" s="1"/>
  <c r="I70" i="1" s="1"/>
  <c r="F751" i="5"/>
  <c r="F36" i="1" s="1"/>
  <c r="J18" i="1"/>
  <c r="J20" i="1"/>
  <c r="J19" i="1"/>
  <c r="J166" i="1"/>
  <c r="J130" i="1"/>
  <c r="J167" i="1"/>
  <c r="F4255" i="5"/>
  <c r="F130" i="1" s="1"/>
  <c r="F5647" i="5"/>
  <c r="F166" i="1" s="1"/>
  <c r="F5695" i="5"/>
  <c r="F167" i="1" s="1"/>
  <c r="F175" i="5"/>
  <c r="F4447" i="5"/>
  <c r="F138" i="1" s="1"/>
  <c r="F127" i="5"/>
  <c r="F223" i="5"/>
  <c r="N2379" i="7"/>
  <c r="K2379" i="7"/>
  <c r="L2379" i="7" s="1"/>
  <c r="D2365" i="5"/>
  <c r="E2365" i="5"/>
  <c r="F2365" i="5" s="1"/>
  <c r="F2385" i="5"/>
  <c r="F2386" i="5"/>
  <c r="I167" i="1" l="1"/>
  <c r="I166" i="1"/>
  <c r="I130" i="1"/>
  <c r="F19" i="1"/>
  <c r="F20" i="1"/>
  <c r="F18" i="1"/>
  <c r="F2381" i="5"/>
  <c r="F2400" i="5"/>
  <c r="F2395" i="5"/>
  <c r="I20" i="1" l="1"/>
  <c r="I18" i="1"/>
  <c r="I19" i="1"/>
  <c r="D2352" i="5"/>
  <c r="D2338" i="5"/>
  <c r="B2337" i="5"/>
  <c r="E2317" i="5"/>
  <c r="E2509" i="5"/>
  <c r="E2513" i="5"/>
  <c r="B2513" i="5"/>
  <c r="D2513" i="5"/>
  <c r="C2543" i="5"/>
  <c r="C2544" i="5"/>
  <c r="E1332" i="19"/>
  <c r="E3325" i="5"/>
  <c r="B3360" i="5"/>
  <c r="B3359" i="5"/>
  <c r="D2337" i="5" l="1"/>
  <c r="E2337" i="5"/>
  <c r="B2338" i="5"/>
  <c r="D2317" i="5"/>
  <c r="E2338" i="5"/>
  <c r="B2352" i="5"/>
  <c r="B2317" i="5"/>
  <c r="B2509" i="5"/>
  <c r="J1067" i="19"/>
  <c r="J1089" i="19"/>
  <c r="J1129" i="19"/>
  <c r="J1147" i="19"/>
  <c r="J1222" i="19"/>
  <c r="C1104" i="5" l="1"/>
  <c r="C1103" i="5"/>
  <c r="C1071" i="5"/>
  <c r="C1070" i="5"/>
  <c r="E1071" i="5"/>
  <c r="F1071" i="5" s="1"/>
  <c r="E1070" i="5"/>
  <c r="D1104" i="5"/>
  <c r="B1103" i="5"/>
  <c r="B1071" i="5" l="1"/>
  <c r="B1104" i="5"/>
  <c r="D1103" i="5"/>
  <c r="D1070" i="5"/>
  <c r="B1070" i="5"/>
  <c r="D1071" i="5"/>
  <c r="F1070" i="5"/>
  <c r="J3076" i="7"/>
  <c r="A1089" i="5"/>
  <c r="D1089" i="5" s="1"/>
  <c r="D1224" i="19"/>
  <c r="E1158" i="19"/>
  <c r="D1069" i="19"/>
  <c r="D645" i="19"/>
  <c r="D222" i="19"/>
  <c r="H222" i="19" s="1"/>
  <c r="D221" i="19"/>
  <c r="H221" i="19" s="1"/>
  <c r="B41" i="19"/>
  <c r="D219" i="19"/>
  <c r="H219" i="19" s="1"/>
  <c r="D204" i="19"/>
  <c r="B2" i="19"/>
  <c r="B1045" i="19"/>
  <c r="B1089" i="5" l="1"/>
  <c r="E1069" i="5"/>
  <c r="A1069" i="5"/>
  <c r="B1069" i="5" s="1"/>
  <c r="C4704" i="5"/>
  <c r="C4703" i="5"/>
  <c r="E4141" i="5"/>
  <c r="A4141" i="5"/>
  <c r="E1089" i="5" l="1"/>
  <c r="D1069" i="5"/>
  <c r="E2510" i="5"/>
  <c r="A1441" i="5" l="1"/>
  <c r="A1440" i="5"/>
  <c r="A1439" i="5"/>
  <c r="E1425" i="5"/>
  <c r="A1425" i="5"/>
  <c r="E1409" i="5"/>
  <c r="E1408" i="5"/>
  <c r="E1407" i="5"/>
  <c r="E1406" i="5"/>
  <c r="E1405" i="5"/>
  <c r="A1408" i="5"/>
  <c r="A1407" i="5"/>
  <c r="A1406" i="5"/>
  <c r="A1405" i="5"/>
  <c r="A1392" i="5"/>
  <c r="A1359" i="5"/>
  <c r="A1358" i="5"/>
  <c r="E1359" i="5"/>
  <c r="E1358" i="5"/>
  <c r="E1357" i="5"/>
  <c r="A1357" i="5"/>
  <c r="D1344" i="5"/>
  <c r="B1344" i="5"/>
  <c r="A1344" i="5"/>
  <c r="D1343" i="5"/>
  <c r="B1343" i="5"/>
  <c r="A1343" i="5"/>
  <c r="E1311" i="5"/>
  <c r="D1311" i="5"/>
  <c r="B1311" i="5"/>
  <c r="A1311" i="5"/>
  <c r="E1310" i="5"/>
  <c r="D1310" i="5"/>
  <c r="B1310" i="5"/>
  <c r="A1310" i="5"/>
  <c r="E1309" i="5"/>
  <c r="D1309" i="5"/>
  <c r="B1309" i="5"/>
  <c r="A1309" i="5"/>
  <c r="A1297" i="5"/>
  <c r="A1298" i="5"/>
  <c r="A1296" i="5"/>
  <c r="A1295" i="5"/>
  <c r="A1264" i="5"/>
  <c r="A1273" i="5"/>
  <c r="A1268" i="5"/>
  <c r="A1271" i="5"/>
  <c r="A1270" i="5"/>
  <c r="A1269" i="5"/>
  <c r="A1267" i="5"/>
  <c r="A1272" i="5"/>
  <c r="A1266" i="5"/>
  <c r="A1265" i="5"/>
  <c r="A1263" i="5"/>
  <c r="E1272" i="5"/>
  <c r="E1266" i="5"/>
  <c r="E1265" i="5"/>
  <c r="E1263" i="5"/>
  <c r="E1262" i="5"/>
  <c r="E1261" i="5"/>
  <c r="A1262" i="5"/>
  <c r="A1261" i="5"/>
  <c r="D1248" i="5"/>
  <c r="B1248" i="5"/>
  <c r="A1248" i="5"/>
  <c r="D1247" i="5"/>
  <c r="B1247" i="5"/>
  <c r="A1247" i="5"/>
  <c r="D1199" i="5"/>
  <c r="B1199" i="5"/>
  <c r="A1199" i="5"/>
  <c r="E1169" i="5"/>
  <c r="D1169" i="5"/>
  <c r="B1169" i="5"/>
  <c r="A1169" i="5"/>
  <c r="E1168" i="5"/>
  <c r="D1168" i="5"/>
  <c r="B1168" i="5"/>
  <c r="A1168" i="5"/>
  <c r="E1167" i="5"/>
  <c r="D1167" i="5"/>
  <c r="B1167" i="5"/>
  <c r="A1167" i="5"/>
  <c r="E1166" i="5"/>
  <c r="D1166" i="5"/>
  <c r="B1166" i="5"/>
  <c r="A1166" i="5"/>
  <c r="E1165" i="5"/>
  <c r="D1165" i="5"/>
  <c r="B1165" i="5"/>
  <c r="A1165" i="5"/>
  <c r="E1120" i="5"/>
  <c r="A1120" i="5"/>
  <c r="D1056" i="5"/>
  <c r="B1056" i="5"/>
  <c r="A1056" i="5"/>
  <c r="D1055" i="5"/>
  <c r="B1055" i="5"/>
  <c r="A1055" i="5"/>
  <c r="E1041" i="5"/>
  <c r="D1041" i="5"/>
  <c r="B1041" i="5"/>
  <c r="A1041" i="5"/>
  <c r="E1022" i="5"/>
  <c r="D1022" i="5"/>
  <c r="B1022" i="5"/>
  <c r="A1022" i="5"/>
  <c r="E1021" i="5"/>
  <c r="D1021" i="5"/>
  <c r="B1021" i="5"/>
  <c r="A1021" i="5"/>
  <c r="A1008" i="5"/>
  <c r="A1007" i="5"/>
  <c r="A980" i="5"/>
  <c r="A977" i="5"/>
  <c r="D959" i="5"/>
  <c r="B959" i="5"/>
  <c r="A959" i="5"/>
  <c r="E930" i="5"/>
  <c r="D930" i="5"/>
  <c r="B930" i="5"/>
  <c r="A930" i="5"/>
  <c r="E929" i="5"/>
  <c r="D929" i="5"/>
  <c r="B929" i="5"/>
  <c r="A929" i="5"/>
  <c r="E928" i="5"/>
  <c r="D928" i="5"/>
  <c r="A928" i="5"/>
  <c r="B928" i="5"/>
  <c r="E927" i="5"/>
  <c r="D927" i="5"/>
  <c r="B927" i="5"/>
  <c r="A927" i="5"/>
  <c r="E926" i="5"/>
  <c r="D926" i="5"/>
  <c r="B926" i="5"/>
  <c r="A926" i="5"/>
  <c r="E925" i="5"/>
  <c r="D925" i="5"/>
  <c r="B925" i="5"/>
  <c r="A925" i="5"/>
  <c r="D912" i="5"/>
  <c r="B912" i="5"/>
  <c r="A912" i="5"/>
  <c r="D911" i="5"/>
  <c r="B911" i="5"/>
  <c r="A911" i="5"/>
  <c r="E878" i="5"/>
  <c r="D878" i="5"/>
  <c r="E881" i="5"/>
  <c r="D881" i="5"/>
  <c r="B881" i="5"/>
  <c r="A881" i="5"/>
  <c r="E880" i="5"/>
  <c r="D880" i="5"/>
  <c r="B880" i="5"/>
  <c r="A880" i="5"/>
  <c r="E879" i="5"/>
  <c r="D879" i="5"/>
  <c r="B879" i="5"/>
  <c r="A879" i="5"/>
  <c r="B878" i="5"/>
  <c r="A878" i="5"/>
  <c r="E877" i="5"/>
  <c r="D877" i="5"/>
  <c r="B877" i="5"/>
  <c r="A877" i="5"/>
  <c r="D863" i="5"/>
  <c r="B863" i="5"/>
  <c r="A863" i="5"/>
  <c r="E833" i="5"/>
  <c r="D833" i="5"/>
  <c r="B833" i="5"/>
  <c r="A833" i="5"/>
  <c r="E832" i="5"/>
  <c r="D832" i="5"/>
  <c r="B832" i="5"/>
  <c r="A832" i="5"/>
  <c r="E831" i="5"/>
  <c r="D831" i="5"/>
  <c r="B831" i="5"/>
  <c r="A831" i="5"/>
  <c r="B829" i="5"/>
  <c r="E830" i="5"/>
  <c r="D830" i="5"/>
  <c r="B830" i="5"/>
  <c r="A830" i="5"/>
  <c r="E829" i="5"/>
  <c r="D829" i="5"/>
  <c r="A829" i="5"/>
  <c r="E781" i="5"/>
  <c r="A781" i="5"/>
  <c r="E705" i="5"/>
  <c r="A705" i="5"/>
  <c r="A671" i="5"/>
  <c r="E658" i="5"/>
  <c r="E657" i="5"/>
  <c r="A658" i="5"/>
  <c r="A657" i="5"/>
  <c r="E609" i="5"/>
  <c r="A623" i="5"/>
  <c r="B623" i="5" s="1"/>
  <c r="A609" i="5"/>
  <c r="A480" i="5"/>
  <c r="A479" i="5"/>
  <c r="A432" i="5"/>
  <c r="A431" i="5"/>
  <c r="A383" i="5"/>
  <c r="A335" i="5"/>
  <c r="A322" i="5"/>
  <c r="A321" i="5"/>
  <c r="A288" i="5"/>
  <c r="A287" i="5"/>
  <c r="A64" i="5"/>
  <c r="A63" i="5"/>
  <c r="A62" i="5"/>
  <c r="A61" i="5"/>
  <c r="A34" i="5"/>
  <c r="A33" i="5"/>
  <c r="J5178" i="7" l="1"/>
  <c r="C5178" i="7"/>
  <c r="A5178" i="7"/>
  <c r="K5178" i="7" s="1"/>
  <c r="A5173" i="7"/>
  <c r="C5172" i="7"/>
  <c r="J4693" i="7"/>
  <c r="C4693" i="7"/>
  <c r="A4693" i="7"/>
  <c r="L5178" i="7" l="1"/>
  <c r="M5178" i="7"/>
  <c r="N5178" i="7" s="1"/>
  <c r="J3507" i="7" l="1"/>
  <c r="C3507" i="7"/>
  <c r="A3507" i="7"/>
  <c r="M3507" i="7" s="1"/>
  <c r="C3501" i="7"/>
  <c r="A3502" i="7"/>
  <c r="C3555" i="7"/>
  <c r="A3556" i="7"/>
  <c r="A3561" i="7"/>
  <c r="C3561" i="7"/>
  <c r="J3561" i="7"/>
  <c r="J1901" i="7"/>
  <c r="C1901" i="7"/>
  <c r="A1901" i="7"/>
  <c r="J1898" i="7"/>
  <c r="C1898" i="7"/>
  <c r="A1898" i="7"/>
  <c r="M1901" i="7" l="1"/>
  <c r="N1901" i="7" s="1"/>
  <c r="K1901" i="7"/>
  <c r="L1901" i="7" s="1"/>
  <c r="M1898" i="7"/>
  <c r="N1898" i="7" s="1"/>
  <c r="K1898" i="7"/>
  <c r="L1898" i="7" s="1"/>
  <c r="N3507" i="7"/>
  <c r="K3507" i="7"/>
  <c r="L3507" i="7" s="1"/>
  <c r="B1373" i="19" l="1"/>
  <c r="A1373" i="19"/>
  <c r="B1366" i="19"/>
  <c r="A1366" i="19"/>
  <c r="B1357" i="19"/>
  <c r="A1357" i="19"/>
  <c r="B1348" i="19"/>
  <c r="B1340" i="19"/>
  <c r="B1334" i="19"/>
  <c r="B1328" i="19"/>
  <c r="B1316" i="19"/>
  <c r="A1316" i="19"/>
  <c r="B1310" i="19"/>
  <c r="A1310" i="19"/>
  <c r="B1304" i="19"/>
  <c r="A1304" i="19"/>
  <c r="B1298" i="19"/>
  <c r="A1298" i="19"/>
  <c r="B1291" i="19"/>
  <c r="A1291" i="19"/>
  <c r="B1290" i="19"/>
  <c r="A1290" i="19"/>
  <c r="B1281" i="19"/>
  <c r="A1281" i="19"/>
  <c r="B1274" i="19"/>
  <c r="A1274" i="19"/>
  <c r="B1261" i="19"/>
  <c r="A1261" i="19"/>
  <c r="B1254" i="19"/>
  <c r="A1254" i="19"/>
  <c r="B1247" i="19"/>
  <c r="A1247" i="19"/>
  <c r="B1240" i="19"/>
  <c r="A1240" i="19"/>
  <c r="B1229" i="19"/>
  <c r="A1229" i="19"/>
  <c r="B1228" i="19"/>
  <c r="A1228" i="19"/>
  <c r="B1220" i="19"/>
  <c r="A1220" i="19"/>
  <c r="B1212" i="19"/>
  <c r="A1212" i="19"/>
  <c r="B1206" i="19"/>
  <c r="A1206" i="19"/>
  <c r="B1200" i="19"/>
  <c r="A1200" i="19"/>
  <c r="B1195" i="19"/>
  <c r="A1195" i="19"/>
  <c r="B1190" i="19"/>
  <c r="A1190" i="19"/>
  <c r="B1181" i="19"/>
  <c r="A1181" i="19"/>
  <c r="B1170" i="19"/>
  <c r="A1170" i="19"/>
  <c r="B1160" i="19"/>
  <c r="A1160" i="19"/>
  <c r="B1152" i="19"/>
  <c r="A1152" i="19"/>
  <c r="B1141" i="19"/>
  <c r="A1141" i="19"/>
  <c r="B1135" i="19"/>
  <c r="A1135" i="19"/>
  <c r="B1127" i="19"/>
  <c r="A1127" i="19"/>
  <c r="B1119" i="19"/>
  <c r="A1119" i="19"/>
  <c r="B1110" i="19"/>
  <c r="A1110" i="19"/>
  <c r="B1100" i="19"/>
  <c r="A1100" i="19"/>
  <c r="B1093" i="19"/>
  <c r="A1093" i="19"/>
  <c r="B1083" i="19"/>
  <c r="A1083" i="19"/>
  <c r="B1071" i="19"/>
  <c r="A1071" i="19"/>
  <c r="B1060" i="19"/>
  <c r="A1060" i="19"/>
  <c r="B1059" i="19"/>
  <c r="A1059" i="19"/>
  <c r="B1052" i="19"/>
  <c r="A1052" i="19"/>
  <c r="A1045" i="19"/>
  <c r="B1038" i="19"/>
  <c r="A1038" i="19"/>
  <c r="B1031" i="19"/>
  <c r="A1031" i="19"/>
  <c r="B1030" i="19"/>
  <c r="A1030" i="19"/>
  <c r="B1021" i="19"/>
  <c r="A1021" i="19"/>
  <c r="B1015" i="19"/>
  <c r="A1015" i="19"/>
  <c r="B1008" i="19"/>
  <c r="A1008" i="19"/>
  <c r="B1001" i="19"/>
  <c r="A1001" i="19"/>
  <c r="B992" i="19"/>
  <c r="A992" i="19"/>
  <c r="B985" i="19"/>
  <c r="A985" i="19"/>
  <c r="B978" i="19"/>
  <c r="A978" i="19"/>
  <c r="B971" i="19"/>
  <c r="A971" i="19"/>
  <c r="B964" i="19"/>
  <c r="A964" i="19"/>
  <c r="B959" i="19"/>
  <c r="A959" i="19"/>
  <c r="B951" i="19"/>
  <c r="A951" i="19"/>
  <c r="B950" i="19"/>
  <c r="A950" i="19"/>
  <c r="B941" i="19"/>
  <c r="A941" i="19"/>
  <c r="B932" i="19"/>
  <c r="A932" i="19"/>
  <c r="B925" i="19"/>
  <c r="A925" i="19"/>
  <c r="B924" i="19"/>
  <c r="A924" i="19"/>
  <c r="B916" i="19"/>
  <c r="A916" i="19"/>
  <c r="B908" i="19"/>
  <c r="A908" i="19"/>
  <c r="B902" i="19"/>
  <c r="A902" i="19"/>
  <c r="B896" i="19"/>
  <c r="A896" i="19"/>
  <c r="B888" i="19"/>
  <c r="A888" i="19"/>
  <c r="B878" i="19"/>
  <c r="A878" i="19"/>
  <c r="B877" i="19"/>
  <c r="A877" i="19"/>
  <c r="B868" i="19"/>
  <c r="A868" i="19"/>
  <c r="B861" i="19"/>
  <c r="A861" i="19"/>
  <c r="B853" i="19"/>
  <c r="A853" i="19"/>
  <c r="B844" i="19"/>
  <c r="A844" i="19"/>
  <c r="B843" i="19"/>
  <c r="A843" i="19"/>
  <c r="B835" i="19"/>
  <c r="A835" i="19"/>
  <c r="B828" i="19"/>
  <c r="A828" i="19"/>
  <c r="B814" i="19"/>
  <c r="A814" i="19"/>
  <c r="B813" i="19"/>
  <c r="A813" i="19"/>
  <c r="B803" i="19"/>
  <c r="A803" i="19"/>
  <c r="E806" i="19"/>
  <c r="D811" i="19" s="1"/>
  <c r="B793" i="19"/>
  <c r="A793" i="19"/>
  <c r="E796" i="19"/>
  <c r="D801" i="19" s="1"/>
  <c r="B783" i="19"/>
  <c r="A783" i="19"/>
  <c r="B782" i="19"/>
  <c r="A782" i="19"/>
  <c r="B770" i="19"/>
  <c r="A770" i="19"/>
  <c r="B761" i="19"/>
  <c r="A761" i="19"/>
  <c r="B743" i="19"/>
  <c r="A743" i="19"/>
  <c r="B742" i="19"/>
  <c r="A742" i="19"/>
  <c r="B732" i="19"/>
  <c r="A732" i="19"/>
  <c r="B713" i="19"/>
  <c r="A713" i="19"/>
  <c r="B703" i="19"/>
  <c r="A703" i="19"/>
  <c r="B686" i="19"/>
  <c r="A686" i="19"/>
  <c r="B647" i="19"/>
  <c r="A647" i="19"/>
  <c r="B639" i="19"/>
  <c r="A639" i="19"/>
  <c r="B632" i="19"/>
  <c r="A632" i="19"/>
  <c r="B623" i="19"/>
  <c r="A623" i="19"/>
  <c r="B609" i="19"/>
  <c r="A609" i="19"/>
  <c r="B588" i="19"/>
  <c r="A588" i="19"/>
  <c r="B568" i="19"/>
  <c r="A568" i="19"/>
  <c r="B549" i="19"/>
  <c r="A549" i="19"/>
  <c r="B548" i="19"/>
  <c r="A548" i="19"/>
  <c r="B538" i="19"/>
  <c r="A538" i="19"/>
  <c r="B527" i="19"/>
  <c r="A527" i="19"/>
  <c r="B520" i="19"/>
  <c r="A520" i="19"/>
  <c r="B514" i="19"/>
  <c r="A514" i="19"/>
  <c r="B505" i="19"/>
  <c r="A505" i="19"/>
  <c r="B496" i="19"/>
  <c r="A496" i="19"/>
  <c r="B486" i="19"/>
  <c r="A486" i="19"/>
  <c r="B478" i="19"/>
  <c r="A478" i="19"/>
  <c r="B469" i="19"/>
  <c r="A469" i="19"/>
  <c r="B468" i="19"/>
  <c r="A468" i="19"/>
  <c r="B460" i="19"/>
  <c r="A460" i="19"/>
  <c r="D466" i="19"/>
  <c r="B452" i="19"/>
  <c r="A452" i="19"/>
  <c r="B439" i="19"/>
  <c r="A439" i="19"/>
  <c r="B430" i="19"/>
  <c r="A430" i="19"/>
  <c r="B420" i="19"/>
  <c r="A420" i="19"/>
  <c r="B404" i="19"/>
  <c r="A404" i="19"/>
  <c r="B395" i="19"/>
  <c r="A395" i="19"/>
  <c r="B387" i="19"/>
  <c r="A387" i="19"/>
  <c r="B381" i="19"/>
  <c r="A381" i="19"/>
  <c r="B374" i="19"/>
  <c r="A374" i="19"/>
  <c r="B361" i="19"/>
  <c r="A361" i="19"/>
  <c r="B349" i="19"/>
  <c r="A349" i="19"/>
  <c r="A348" i="19"/>
  <c r="B348" i="19"/>
  <c r="B341" i="19"/>
  <c r="A341" i="19"/>
  <c r="B334" i="19"/>
  <c r="A334" i="19"/>
  <c r="B325" i="19"/>
  <c r="A325" i="19"/>
  <c r="B318" i="19"/>
  <c r="A318" i="19"/>
  <c r="B308" i="19"/>
  <c r="A308" i="19"/>
  <c r="B301" i="19"/>
  <c r="A301" i="19"/>
  <c r="B292" i="19"/>
  <c r="A292" i="19"/>
  <c r="B282" i="19"/>
  <c r="A282" i="19"/>
  <c r="B269" i="19"/>
  <c r="A269" i="19"/>
  <c r="B268" i="19"/>
  <c r="A268" i="19"/>
  <c r="B267" i="19"/>
  <c r="A267" i="19"/>
  <c r="B262" i="19"/>
  <c r="A262" i="19"/>
  <c r="B256" i="19"/>
  <c r="A256" i="19"/>
  <c r="B248" i="19"/>
  <c r="A248" i="19"/>
  <c r="B239" i="19"/>
  <c r="A239" i="19"/>
  <c r="B238" i="19"/>
  <c r="A238" i="19"/>
  <c r="B229" i="19"/>
  <c r="A229" i="19"/>
  <c r="B210" i="19"/>
  <c r="A210" i="19"/>
  <c r="B199" i="19"/>
  <c r="A199" i="19"/>
  <c r="B198" i="19"/>
  <c r="A198" i="19"/>
  <c r="B191" i="19"/>
  <c r="A191" i="19"/>
  <c r="B181" i="19"/>
  <c r="A181" i="19"/>
  <c r="B175" i="19"/>
  <c r="A175" i="19"/>
  <c r="B168" i="19"/>
  <c r="A168" i="19"/>
  <c r="B162" i="19"/>
  <c r="A162" i="19"/>
  <c r="B156" i="19"/>
  <c r="A156" i="19"/>
  <c r="B150" i="19"/>
  <c r="A150" i="19"/>
  <c r="B142" i="19"/>
  <c r="A142" i="19"/>
  <c r="B132" i="19"/>
  <c r="A132" i="19"/>
  <c r="B120" i="19"/>
  <c r="A120" i="19"/>
  <c r="B112" i="19"/>
  <c r="A112" i="19"/>
  <c r="B105" i="19"/>
  <c r="A105" i="19"/>
  <c r="B97" i="19"/>
  <c r="A97" i="19"/>
  <c r="B89" i="19"/>
  <c r="A89" i="19"/>
  <c r="B79" i="19"/>
  <c r="A79" i="19"/>
  <c r="B72" i="19"/>
  <c r="A72" i="19"/>
  <c r="B64" i="19"/>
  <c r="B53" i="19"/>
  <c r="A53" i="19"/>
  <c r="A64" i="19"/>
  <c r="A41" i="19"/>
  <c r="C41" i="19" s="1"/>
  <c r="D41" i="19" s="1"/>
  <c r="E41" i="19" s="1"/>
  <c r="F41" i="19" s="1"/>
  <c r="G41" i="19" s="1"/>
  <c r="H41" i="19" s="1"/>
  <c r="A31" i="19"/>
  <c r="B31" i="19" s="1"/>
  <c r="C31" i="19" s="1"/>
  <c r="D31" i="19" s="1"/>
  <c r="E31" i="19" s="1"/>
  <c r="F31" i="19" s="1"/>
  <c r="G31" i="19" s="1"/>
  <c r="H31" i="19" s="1"/>
  <c r="A30" i="19"/>
  <c r="B30" i="19" s="1"/>
  <c r="A29" i="19"/>
  <c r="B29" i="19" s="1"/>
  <c r="C29" i="19" s="1"/>
  <c r="D29" i="19" s="1"/>
  <c r="E29" i="19" s="1"/>
  <c r="F29" i="19" s="1"/>
  <c r="G29" i="19" s="1"/>
  <c r="H29" i="19" s="1"/>
  <c r="B18" i="19"/>
  <c r="C18" i="19" s="1"/>
  <c r="D18" i="19" s="1"/>
  <c r="E18" i="19" s="1"/>
  <c r="F18" i="19" s="1"/>
  <c r="G18" i="19" s="1"/>
  <c r="H18" i="19" s="1"/>
  <c r="A3" i="19"/>
  <c r="B3" i="19" s="1"/>
  <c r="A17" i="19"/>
  <c r="B17" i="19" s="1"/>
  <c r="C17" i="19" s="1"/>
  <c r="D17" i="19" s="1"/>
  <c r="E17" i="19" s="1"/>
  <c r="F17" i="19" s="1"/>
  <c r="G17" i="19" s="1"/>
  <c r="H17" i="19" s="1"/>
  <c r="A2" i="19"/>
  <c r="E1318" i="19"/>
  <c r="E1324" i="19"/>
  <c r="B1322" i="19"/>
  <c r="A1322" i="19"/>
  <c r="D5615" i="5"/>
  <c r="B5615" i="5"/>
  <c r="B5601" i="5"/>
  <c r="D5601" i="5"/>
  <c r="E5579" i="5"/>
  <c r="B5579" i="5"/>
  <c r="A5579" i="5"/>
  <c r="F5621" i="5"/>
  <c r="F5620" i="5"/>
  <c r="F5619" i="5"/>
  <c r="F5618" i="5"/>
  <c r="F5617" i="5"/>
  <c r="F5616" i="5"/>
  <c r="F5610" i="5"/>
  <c r="F5609" i="5"/>
  <c r="F5608" i="5"/>
  <c r="F5607" i="5"/>
  <c r="F5606" i="5"/>
  <c r="F5605" i="5"/>
  <c r="F5604" i="5"/>
  <c r="F5603" i="5"/>
  <c r="F5602" i="5"/>
  <c r="E5601" i="5"/>
  <c r="F5596" i="5"/>
  <c r="F5595" i="5"/>
  <c r="F5594" i="5"/>
  <c r="F5593" i="5"/>
  <c r="F5592" i="5"/>
  <c r="F5591" i="5"/>
  <c r="F5590" i="5"/>
  <c r="F5589" i="5"/>
  <c r="F5588" i="5"/>
  <c r="F5587" i="5"/>
  <c r="F5586" i="5"/>
  <c r="F5585" i="5"/>
  <c r="F5584" i="5"/>
  <c r="F5583" i="5"/>
  <c r="F5582" i="5"/>
  <c r="F5581" i="5"/>
  <c r="F5601" i="5" l="1"/>
  <c r="C64" i="19"/>
  <c r="D64" i="19" s="1"/>
  <c r="E64" i="19" s="1"/>
  <c r="F64" i="19" s="1"/>
  <c r="G64" i="19" s="1"/>
  <c r="H64" i="19" s="1"/>
  <c r="C53" i="19"/>
  <c r="D53" i="19" s="1"/>
  <c r="E53" i="19" s="1"/>
  <c r="F53" i="19" s="1"/>
  <c r="G53" i="19" s="1"/>
  <c r="H53" i="19" s="1"/>
  <c r="F5597" i="5"/>
  <c r="F5611" i="5" l="1"/>
  <c r="E1210" i="19"/>
  <c r="E1204" i="19"/>
  <c r="D1131" i="19"/>
  <c r="J1146" i="19" l="1"/>
  <c r="B5807" i="5" l="1"/>
  <c r="E5776" i="5"/>
  <c r="F5776" i="5" s="1"/>
  <c r="E5775" i="5"/>
  <c r="F5775" i="5" s="1"/>
  <c r="E5774" i="5"/>
  <c r="F5774" i="5" s="1"/>
  <c r="E5771" i="5"/>
  <c r="E5723" i="5"/>
  <c r="B5771" i="5"/>
  <c r="A5771" i="5"/>
  <c r="B5759" i="5"/>
  <c r="E5745" i="5"/>
  <c r="F5745" i="5" s="1"/>
  <c r="B5723" i="5"/>
  <c r="F5729" i="5"/>
  <c r="F5730" i="5"/>
  <c r="F5731" i="5"/>
  <c r="F5732" i="5"/>
  <c r="F5733" i="5"/>
  <c r="F5734" i="5"/>
  <c r="F5735" i="5"/>
  <c r="F5736" i="5"/>
  <c r="F5737" i="5"/>
  <c r="F5738" i="5"/>
  <c r="F5739" i="5"/>
  <c r="F5740" i="5"/>
  <c r="F5746" i="5"/>
  <c r="F5747" i="5"/>
  <c r="F5748" i="5"/>
  <c r="F5749" i="5"/>
  <c r="F5750" i="5"/>
  <c r="F5751" i="5"/>
  <c r="F5752" i="5"/>
  <c r="F5753" i="5"/>
  <c r="F5754" i="5"/>
  <c r="F5760" i="5"/>
  <c r="F5761" i="5"/>
  <c r="F5762" i="5"/>
  <c r="F5763" i="5"/>
  <c r="F5764" i="5"/>
  <c r="F5765" i="5"/>
  <c r="F5777" i="5"/>
  <c r="F5778" i="5"/>
  <c r="F5779" i="5"/>
  <c r="F5780" i="5"/>
  <c r="F5781" i="5"/>
  <c r="F5782" i="5"/>
  <c r="F5783" i="5"/>
  <c r="F5784" i="5"/>
  <c r="F5785" i="5"/>
  <c r="F5786" i="5"/>
  <c r="F5787" i="5"/>
  <c r="F5788" i="5"/>
  <c r="F5793" i="5"/>
  <c r="F5794" i="5"/>
  <c r="F5795" i="5"/>
  <c r="F5796" i="5"/>
  <c r="F5797" i="5"/>
  <c r="F5798" i="5"/>
  <c r="F5799" i="5"/>
  <c r="F5800" i="5"/>
  <c r="F5801" i="5"/>
  <c r="F5802" i="5"/>
  <c r="F5809" i="5"/>
  <c r="F5810" i="5"/>
  <c r="F5811" i="5"/>
  <c r="F5812" i="5"/>
  <c r="F5813" i="5"/>
  <c r="D4737" i="5"/>
  <c r="B4737" i="5"/>
  <c r="C4752" i="5"/>
  <c r="C4751" i="5"/>
  <c r="F5718" i="5" l="1"/>
  <c r="B5727" i="5"/>
  <c r="B5773" i="5"/>
  <c r="B5725" i="5"/>
  <c r="B5775" i="5"/>
  <c r="B5745" i="5"/>
  <c r="D5728" i="5"/>
  <c r="E5728" i="5"/>
  <c r="F5728" i="5" s="1"/>
  <c r="B5774" i="5"/>
  <c r="B5776" i="5"/>
  <c r="D5727" i="5"/>
  <c r="E5727" i="5"/>
  <c r="F5727" i="5" s="1"/>
  <c r="D5745" i="5"/>
  <c r="D5759" i="5"/>
  <c r="D5773" i="5"/>
  <c r="D5774" i="5"/>
  <c r="D5775" i="5"/>
  <c r="D5776" i="5"/>
  <c r="B5808" i="5"/>
  <c r="D5807" i="5"/>
  <c r="B5726" i="5"/>
  <c r="B5728" i="5"/>
  <c r="D5726" i="5"/>
  <c r="E5726" i="5"/>
  <c r="F5726" i="5" s="1"/>
  <c r="E5773" i="5"/>
  <c r="F5773" i="5" s="1"/>
  <c r="D5808" i="5"/>
  <c r="D5725" i="5"/>
  <c r="E5725" i="5"/>
  <c r="F5725" i="5" s="1"/>
  <c r="F5755" i="5"/>
  <c r="F5803" i="5"/>
  <c r="F5741" i="5" l="1"/>
  <c r="F5789" i="5"/>
  <c r="E4718" i="5" l="1"/>
  <c r="F4718" i="5" s="1"/>
  <c r="B4715" i="5"/>
  <c r="A4715" i="5"/>
  <c r="F4757" i="5"/>
  <c r="F4756" i="5"/>
  <c r="F4755" i="5"/>
  <c r="F4754" i="5"/>
  <c r="F4753" i="5"/>
  <c r="F4746" i="5"/>
  <c r="F4745" i="5"/>
  <c r="F4744" i="5"/>
  <c r="F4743" i="5"/>
  <c r="F4742" i="5"/>
  <c r="F4741" i="5"/>
  <c r="F4740" i="5"/>
  <c r="F4739" i="5"/>
  <c r="F4738" i="5"/>
  <c r="F4737" i="5"/>
  <c r="F4732" i="5"/>
  <c r="F4731" i="5"/>
  <c r="F4730" i="5"/>
  <c r="F4729" i="5"/>
  <c r="F4728" i="5"/>
  <c r="F4727" i="5"/>
  <c r="F4726" i="5"/>
  <c r="F4725" i="5"/>
  <c r="F4724" i="5"/>
  <c r="F4723" i="5"/>
  <c r="F4722" i="5"/>
  <c r="F4721" i="5"/>
  <c r="F4720" i="5"/>
  <c r="E4719" i="5"/>
  <c r="F4719" i="5" s="1"/>
  <c r="A4719" i="5"/>
  <c r="E4717" i="5"/>
  <c r="F4717" i="5" s="1"/>
  <c r="A4717" i="5"/>
  <c r="A4671" i="5"/>
  <c r="D4718" i="5" l="1"/>
  <c r="D4719" i="5"/>
  <c r="B4751" i="5"/>
  <c r="D4751" i="5"/>
  <c r="D4717" i="5"/>
  <c r="B4752" i="5"/>
  <c r="D4752" i="5"/>
  <c r="F4733" i="5"/>
  <c r="F4747" i="5"/>
  <c r="B4717" i="5"/>
  <c r="B4718" i="5"/>
  <c r="B4719" i="5"/>
  <c r="D41" i="23" l="1"/>
  <c r="C41" i="23"/>
  <c r="D35" i="23"/>
  <c r="C35" i="23"/>
  <c r="D24" i="23"/>
  <c r="C24" i="23"/>
  <c r="A11" i="23"/>
  <c r="E3563" i="5"/>
  <c r="B3563" i="5"/>
  <c r="F3605" i="5"/>
  <c r="F3604" i="5"/>
  <c r="F3603" i="5"/>
  <c r="F3602" i="5"/>
  <c r="F3601" i="5"/>
  <c r="A3599" i="5"/>
  <c r="A3600" i="5"/>
  <c r="F3594" i="5"/>
  <c r="F3593" i="5"/>
  <c r="F3592" i="5"/>
  <c r="F3591" i="5"/>
  <c r="F3590" i="5"/>
  <c r="F3589" i="5"/>
  <c r="F3588" i="5"/>
  <c r="F3587" i="5"/>
  <c r="F3586" i="5"/>
  <c r="F3585" i="5"/>
  <c r="F3580" i="5"/>
  <c r="F3579" i="5"/>
  <c r="F3578" i="5"/>
  <c r="F3577" i="5"/>
  <c r="F3576" i="5"/>
  <c r="F3575" i="5"/>
  <c r="F3574" i="5"/>
  <c r="F3573" i="5"/>
  <c r="F3572" i="5"/>
  <c r="F3571" i="5"/>
  <c r="F3570" i="5"/>
  <c r="F3569" i="5"/>
  <c r="F3568" i="5"/>
  <c r="F3567" i="5"/>
  <c r="F3566" i="5"/>
  <c r="F3565" i="5"/>
  <c r="E1355" i="19"/>
  <c r="E1346" i="19"/>
  <c r="E1338" i="19"/>
  <c r="E1288" i="19"/>
  <c r="E1272" i="19"/>
  <c r="E1259" i="19"/>
  <c r="E1252" i="19"/>
  <c r="E1238" i="19"/>
  <c r="E1226" i="19"/>
  <c r="E1188" i="19"/>
  <c r="E1179" i="19"/>
  <c r="E1168" i="19"/>
  <c r="E1133" i="19"/>
  <c r="D1108" i="19"/>
  <c r="D944" i="19"/>
  <c r="D948" i="19" s="1"/>
  <c r="D939" i="19"/>
  <c r="D930" i="19"/>
  <c r="D922" i="19"/>
  <c r="D875" i="19"/>
  <c r="D866" i="19"/>
  <c r="D637" i="19"/>
  <c r="D630" i="19"/>
  <c r="D621" i="19"/>
  <c r="D586" i="19"/>
  <c r="D546" i="19"/>
  <c r="D536" i="19"/>
  <c r="D525" i="19"/>
  <c r="D484" i="19"/>
  <c r="D458" i="19"/>
  <c r="D418" i="19"/>
  <c r="D379" i="19"/>
  <c r="D299" i="19"/>
  <c r="D290" i="19"/>
  <c r="D280" i="19"/>
  <c r="D140" i="19"/>
  <c r="D107" i="19"/>
  <c r="D103" i="19"/>
  <c r="D87" i="19"/>
  <c r="D74" i="19"/>
  <c r="D77" i="19" s="1"/>
  <c r="D68" i="19"/>
  <c r="D70" i="19" s="1"/>
  <c r="D3600" i="5" l="1"/>
  <c r="D3599" i="5"/>
  <c r="H216" i="19"/>
  <c r="J1114" i="19"/>
  <c r="H203" i="19"/>
  <c r="H217" i="19"/>
  <c r="B218" i="19"/>
  <c r="H218" i="19" s="1"/>
  <c r="F3595" i="5"/>
  <c r="C42" i="23"/>
  <c r="D42" i="23"/>
  <c r="C43" i="23"/>
  <c r="D43" i="23"/>
  <c r="F3581" i="5"/>
  <c r="D859" i="19"/>
  <c r="C44" i="23" l="1"/>
  <c r="C45" i="23" s="1"/>
  <c r="D44" i="23"/>
  <c r="D45" i="23" s="1"/>
  <c r="D144" i="19"/>
  <c r="D148" i="19" s="1"/>
  <c r="H202" i="19" l="1"/>
  <c r="H215" i="19"/>
  <c r="D154" i="19"/>
  <c r="D39" i="19" l="1"/>
  <c r="D213" i="19" l="1"/>
  <c r="A1328" i="19"/>
  <c r="A1334" i="19"/>
  <c r="A1348" i="19"/>
  <c r="A1340" i="19"/>
  <c r="E1889" i="5" l="1"/>
  <c r="F1889" i="5" s="1"/>
  <c r="E718" i="19"/>
  <c r="E1245" i="19"/>
  <c r="D768" i="19"/>
  <c r="E750" i="19"/>
  <c r="E749" i="19"/>
  <c r="D1889" i="5" l="1"/>
  <c r="B1889" i="5"/>
  <c r="C1919" i="5"/>
  <c r="A1838" i="5"/>
  <c r="E1886" i="5"/>
  <c r="F1886" i="5" s="1"/>
  <c r="A1883" i="5"/>
  <c r="E1883" i="5"/>
  <c r="B1883" i="5"/>
  <c r="F1925" i="5"/>
  <c r="F1924" i="5"/>
  <c r="F1923" i="5"/>
  <c r="F1922" i="5"/>
  <c r="F1921" i="5"/>
  <c r="A1920" i="5"/>
  <c r="A1919" i="5"/>
  <c r="F1914" i="5"/>
  <c r="F1913" i="5"/>
  <c r="F1912" i="5"/>
  <c r="F1911" i="5"/>
  <c r="F1910" i="5"/>
  <c r="F1909" i="5"/>
  <c r="F1908" i="5"/>
  <c r="F1907" i="5"/>
  <c r="F1906" i="5"/>
  <c r="F1905" i="5"/>
  <c r="F1900" i="5"/>
  <c r="F1899" i="5"/>
  <c r="F1898" i="5"/>
  <c r="F1897" i="5"/>
  <c r="F1896" i="5"/>
  <c r="F1895" i="5"/>
  <c r="F1894" i="5"/>
  <c r="F1893" i="5"/>
  <c r="F1892" i="5"/>
  <c r="F1891" i="5"/>
  <c r="F1890" i="5"/>
  <c r="E1888" i="5"/>
  <c r="F1888" i="5" s="1"/>
  <c r="A1888" i="5"/>
  <c r="E1887" i="5"/>
  <c r="F1887" i="5" s="1"/>
  <c r="A1887" i="5"/>
  <c r="E1885" i="5"/>
  <c r="F1885" i="5" s="1"/>
  <c r="A1885" i="5"/>
  <c r="A779" i="5"/>
  <c r="B779" i="5"/>
  <c r="E779" i="5"/>
  <c r="E1841" i="5"/>
  <c r="D1841" i="5"/>
  <c r="B1841" i="5"/>
  <c r="D1838" i="5" l="1"/>
  <c r="E1838" i="5"/>
  <c r="B1888" i="5"/>
  <c r="D1887" i="5"/>
  <c r="D1885" i="5"/>
  <c r="D1919" i="5"/>
  <c r="D1920" i="5"/>
  <c r="D1886" i="5"/>
  <c r="F1915" i="5"/>
  <c r="B1885" i="5"/>
  <c r="D1888" i="5"/>
  <c r="F1901" i="5"/>
  <c r="B1886" i="5"/>
  <c r="B1887" i="5"/>
  <c r="D494" i="19" l="1"/>
  <c r="D476" i="19"/>
  <c r="B1838" i="5" l="1"/>
  <c r="E1835" i="5"/>
  <c r="B1835" i="5"/>
  <c r="A1835" i="5"/>
  <c r="F1877" i="5"/>
  <c r="F1876" i="5"/>
  <c r="F1875" i="5"/>
  <c r="F1874" i="5"/>
  <c r="F1873" i="5"/>
  <c r="A1872" i="5"/>
  <c r="A1871" i="5"/>
  <c r="F1866" i="5"/>
  <c r="F1865" i="5"/>
  <c r="F1864" i="5"/>
  <c r="F1863" i="5"/>
  <c r="F1862" i="5"/>
  <c r="F1861" i="5"/>
  <c r="F1859" i="5"/>
  <c r="F1858" i="5"/>
  <c r="F1857" i="5"/>
  <c r="F1852" i="5"/>
  <c r="F1851" i="5"/>
  <c r="F1850" i="5"/>
  <c r="F1849" i="5"/>
  <c r="F1848" i="5"/>
  <c r="F1847" i="5"/>
  <c r="F1846" i="5"/>
  <c r="F1845" i="5"/>
  <c r="F1844" i="5"/>
  <c r="F1843" i="5"/>
  <c r="F1842" i="5"/>
  <c r="F1841" i="5"/>
  <c r="E1840" i="5"/>
  <c r="F1840" i="5" s="1"/>
  <c r="A1840" i="5"/>
  <c r="E1839" i="5"/>
  <c r="F1839" i="5" s="1"/>
  <c r="A1839" i="5"/>
  <c r="E1837" i="5"/>
  <c r="F1837" i="5" s="1"/>
  <c r="A1837" i="5"/>
  <c r="D51" i="19"/>
  <c r="D214" i="19" l="1"/>
  <c r="H214" i="19" s="1"/>
  <c r="D1839" i="5"/>
  <c r="D1837" i="5"/>
  <c r="D1840" i="5"/>
  <c r="D1871" i="5"/>
  <c r="F1838" i="5"/>
  <c r="D1872" i="5"/>
  <c r="B1837" i="5"/>
  <c r="B1839" i="5"/>
  <c r="B1840" i="5"/>
  <c r="F1853" i="5" l="1"/>
  <c r="E1362" i="19"/>
  <c r="E1150" i="19"/>
  <c r="D898" i="19"/>
  <c r="B898" i="19"/>
  <c r="E435" i="19" l="1"/>
  <c r="C2654" i="5"/>
  <c r="C25" i="19"/>
  <c r="D27" i="19" s="1"/>
  <c r="M583" i="19" l="1"/>
  <c r="J582" i="19"/>
  <c r="M582" i="19" s="1"/>
  <c r="M584" i="19" l="1"/>
  <c r="E330" i="19"/>
  <c r="F3876" i="5" l="1"/>
  <c r="F3830" i="5"/>
  <c r="F3781" i="5"/>
  <c r="F3732" i="5"/>
  <c r="F3684" i="5"/>
  <c r="E1617" i="5" l="1"/>
  <c r="D1617" i="5"/>
  <c r="B1617" i="5"/>
  <c r="C1599" i="5"/>
  <c r="E1599" i="5"/>
  <c r="D1599" i="5"/>
  <c r="B1599" i="5"/>
  <c r="E1598" i="5"/>
  <c r="D1598" i="5"/>
  <c r="B1598" i="5"/>
  <c r="E1597" i="5"/>
  <c r="D1597" i="5"/>
  <c r="B1597" i="5"/>
  <c r="D1633" i="5"/>
  <c r="B1633" i="5"/>
  <c r="D1632" i="5"/>
  <c r="B1632" i="5"/>
  <c r="D1631" i="5"/>
  <c r="B1631" i="5"/>
  <c r="F326" i="5" l="1"/>
  <c r="D3442" i="5" l="1"/>
  <c r="E3442" i="5"/>
  <c r="B3442" i="5"/>
  <c r="E3441" i="5"/>
  <c r="D3441" i="5"/>
  <c r="B3441" i="5"/>
  <c r="E3425" i="5"/>
  <c r="D3425" i="5"/>
  <c r="B3425" i="5"/>
  <c r="E3424" i="5"/>
  <c r="D3424" i="5"/>
  <c r="B3424" i="5"/>
  <c r="E3423" i="5"/>
  <c r="D3423" i="5"/>
  <c r="B3423" i="5"/>
  <c r="D3298" i="5"/>
  <c r="E3298" i="5"/>
  <c r="B3298" i="5"/>
  <c r="E3297" i="5"/>
  <c r="D3297" i="5"/>
  <c r="B3297" i="5"/>
  <c r="J1735" i="7" l="1"/>
  <c r="C1735" i="7"/>
  <c r="A1735" i="7"/>
  <c r="M1735" i="7" s="1"/>
  <c r="A1730" i="7"/>
  <c r="C1729" i="7"/>
  <c r="J1681" i="7"/>
  <c r="C1681" i="7"/>
  <c r="A1681" i="7"/>
  <c r="M1681" i="7" s="1"/>
  <c r="A1676" i="7"/>
  <c r="C1675" i="7"/>
  <c r="F925" i="5"/>
  <c r="C929" i="5"/>
  <c r="C928" i="5"/>
  <c r="C927" i="5"/>
  <c r="F930" i="5"/>
  <c r="F926" i="5"/>
  <c r="J991" i="7"/>
  <c r="C991" i="7"/>
  <c r="A991" i="7"/>
  <c r="M991" i="7" s="1"/>
  <c r="A986" i="7"/>
  <c r="C985" i="7"/>
  <c r="B923" i="5"/>
  <c r="E923" i="5"/>
  <c r="A923" i="5"/>
  <c r="F965" i="5"/>
  <c r="F964" i="5"/>
  <c r="F963" i="5"/>
  <c r="F962" i="5"/>
  <c r="F961" i="5"/>
  <c r="F960" i="5"/>
  <c r="F954" i="5"/>
  <c r="F953" i="5"/>
  <c r="F952" i="5"/>
  <c r="F951" i="5"/>
  <c r="F950" i="5"/>
  <c r="F949" i="5"/>
  <c r="F948" i="5"/>
  <c r="F947" i="5"/>
  <c r="F946" i="5"/>
  <c r="F945" i="5"/>
  <c r="F940" i="5"/>
  <c r="F939" i="5"/>
  <c r="F938" i="5"/>
  <c r="F937" i="5"/>
  <c r="F936" i="5"/>
  <c r="F935" i="5"/>
  <c r="F934" i="5"/>
  <c r="F933" i="5"/>
  <c r="F932" i="5"/>
  <c r="F931" i="5"/>
  <c r="J941" i="7"/>
  <c r="C941" i="7"/>
  <c r="A941" i="7"/>
  <c r="M941" i="7" s="1"/>
  <c r="A936" i="7"/>
  <c r="C935" i="7"/>
  <c r="C880" i="5"/>
  <c r="C879" i="5"/>
  <c r="C878" i="5"/>
  <c r="F881" i="5"/>
  <c r="E875" i="5"/>
  <c r="B875" i="5"/>
  <c r="F917" i="5"/>
  <c r="F916" i="5"/>
  <c r="F915" i="5"/>
  <c r="F914" i="5"/>
  <c r="F913" i="5"/>
  <c r="F906" i="5"/>
  <c r="F905" i="5"/>
  <c r="F904" i="5"/>
  <c r="F903" i="5"/>
  <c r="F902" i="5"/>
  <c r="F901" i="5"/>
  <c r="F900" i="5"/>
  <c r="F899" i="5"/>
  <c r="F898" i="5"/>
  <c r="F897" i="5"/>
  <c r="F892" i="5"/>
  <c r="F891" i="5"/>
  <c r="F890" i="5"/>
  <c r="F889" i="5"/>
  <c r="F888" i="5"/>
  <c r="F887" i="5"/>
  <c r="F886" i="5"/>
  <c r="F885" i="5"/>
  <c r="F884" i="5"/>
  <c r="F883" i="5"/>
  <c r="F882" i="5"/>
  <c r="F907" i="5" l="1"/>
  <c r="F955" i="5"/>
  <c r="F929" i="5"/>
  <c r="F928" i="5"/>
  <c r="F879" i="5"/>
  <c r="F927" i="5"/>
  <c r="N1735" i="7"/>
  <c r="K1735" i="7"/>
  <c r="L1735" i="7" s="1"/>
  <c r="N1681" i="7"/>
  <c r="K1681" i="7"/>
  <c r="L1681" i="7" s="1"/>
  <c r="N991" i="7"/>
  <c r="K991" i="7"/>
  <c r="L991" i="7" s="1"/>
  <c r="F878" i="5"/>
  <c r="N941" i="7"/>
  <c r="K941" i="7"/>
  <c r="L941" i="7" s="1"/>
  <c r="F877" i="5"/>
  <c r="F880" i="5"/>
  <c r="F941" i="5" l="1"/>
  <c r="F893" i="5"/>
  <c r="C863" i="5" l="1"/>
  <c r="C832" i="5"/>
  <c r="C829" i="5"/>
  <c r="F833" i="5"/>
  <c r="F831" i="5"/>
  <c r="F830" i="5"/>
  <c r="F781" i="5"/>
  <c r="D781" i="5"/>
  <c r="B781" i="5"/>
  <c r="J887" i="7"/>
  <c r="C887" i="7"/>
  <c r="A887" i="7"/>
  <c r="M887" i="7" s="1"/>
  <c r="A882" i="7"/>
  <c r="C881" i="7"/>
  <c r="J833" i="7"/>
  <c r="C833" i="7"/>
  <c r="A833" i="7"/>
  <c r="M833" i="7" s="1"/>
  <c r="A828" i="7"/>
  <c r="C827" i="7"/>
  <c r="E827" i="5"/>
  <c r="B827" i="5"/>
  <c r="F869" i="5"/>
  <c r="F868" i="5"/>
  <c r="F867" i="5"/>
  <c r="F866" i="5"/>
  <c r="F865" i="5"/>
  <c r="F864" i="5"/>
  <c r="F858" i="5"/>
  <c r="F857" i="5"/>
  <c r="F856" i="5"/>
  <c r="F855" i="5"/>
  <c r="F854" i="5"/>
  <c r="F853" i="5"/>
  <c r="F852" i="5"/>
  <c r="F851" i="5"/>
  <c r="F850" i="5"/>
  <c r="F849" i="5"/>
  <c r="F844" i="5"/>
  <c r="F843" i="5"/>
  <c r="F842" i="5"/>
  <c r="F841" i="5"/>
  <c r="F840" i="5"/>
  <c r="F839" i="5"/>
  <c r="F838" i="5"/>
  <c r="F837" i="5"/>
  <c r="F836" i="5"/>
  <c r="F835" i="5"/>
  <c r="F834" i="5"/>
  <c r="F821" i="5"/>
  <c r="F820" i="5"/>
  <c r="F819" i="5"/>
  <c r="F818" i="5"/>
  <c r="F817" i="5"/>
  <c r="F816" i="5"/>
  <c r="F815" i="5"/>
  <c r="F810" i="5"/>
  <c r="F809" i="5"/>
  <c r="F808" i="5"/>
  <c r="F807" i="5"/>
  <c r="F806" i="5"/>
  <c r="F805" i="5"/>
  <c r="F804" i="5"/>
  <c r="F803" i="5"/>
  <c r="F802" i="5"/>
  <c r="F801" i="5"/>
  <c r="F796" i="5"/>
  <c r="F795" i="5"/>
  <c r="F794" i="5"/>
  <c r="F793" i="5"/>
  <c r="F792" i="5"/>
  <c r="F791" i="5"/>
  <c r="F790" i="5"/>
  <c r="F789" i="5"/>
  <c r="F788" i="5"/>
  <c r="F787" i="5"/>
  <c r="F786" i="5"/>
  <c r="F785" i="5"/>
  <c r="F784" i="5"/>
  <c r="F783" i="5"/>
  <c r="F782" i="5"/>
  <c r="F859" i="5" l="1"/>
  <c r="F822" i="5"/>
  <c r="F832" i="5"/>
  <c r="F829" i="5"/>
  <c r="F811" i="5"/>
  <c r="F797" i="5"/>
  <c r="N887" i="7"/>
  <c r="K887" i="7"/>
  <c r="L887" i="7" s="1"/>
  <c r="N833" i="7"/>
  <c r="K833" i="7"/>
  <c r="L833" i="7" s="1"/>
  <c r="F845" i="5" l="1"/>
  <c r="C1311" i="5" l="1"/>
  <c r="C1416" i="7"/>
  <c r="E5054" i="5"/>
  <c r="E5006" i="5"/>
  <c r="E4766" i="5"/>
  <c r="E4814" i="5"/>
  <c r="E4862" i="5"/>
  <c r="J1309" i="7"/>
  <c r="C1309" i="7"/>
  <c r="A1309" i="7"/>
  <c r="M1309" i="7" s="1"/>
  <c r="A1304" i="7"/>
  <c r="C1303" i="7"/>
  <c r="E1211" i="5"/>
  <c r="B1211" i="5"/>
  <c r="F1253" i="5"/>
  <c r="F1252" i="5"/>
  <c r="F1251" i="5"/>
  <c r="F1250" i="5"/>
  <c r="F1249" i="5"/>
  <c r="F1242" i="5"/>
  <c r="F1241" i="5"/>
  <c r="F1240" i="5"/>
  <c r="F1239" i="5"/>
  <c r="F1238" i="5"/>
  <c r="F1237" i="5"/>
  <c r="F1236" i="5"/>
  <c r="F1235" i="5"/>
  <c r="F1234" i="5"/>
  <c r="F1233" i="5"/>
  <c r="F1228" i="5"/>
  <c r="F1227" i="5"/>
  <c r="F1226" i="5"/>
  <c r="F1225" i="5"/>
  <c r="F1224" i="5"/>
  <c r="F1223" i="5"/>
  <c r="F1222" i="5"/>
  <c r="F1221" i="5"/>
  <c r="F1220" i="5"/>
  <c r="F1219" i="5"/>
  <c r="F1218" i="5"/>
  <c r="F1217" i="5"/>
  <c r="F1216" i="5"/>
  <c r="F1215" i="5"/>
  <c r="F1214" i="5"/>
  <c r="N1309" i="7" l="1"/>
  <c r="K1309" i="7"/>
  <c r="L1309" i="7" s="1"/>
  <c r="F1243" i="5"/>
  <c r="F1213" i="5"/>
  <c r="F1229" i="5" l="1"/>
  <c r="J1416" i="7" l="1"/>
  <c r="A1416" i="7"/>
  <c r="D995" i="19"/>
  <c r="J3783" i="7"/>
  <c r="C3783" i="7"/>
  <c r="A3783" i="7"/>
  <c r="M3783" i="7" s="1"/>
  <c r="J3780" i="7"/>
  <c r="C3780" i="7"/>
  <c r="A3780" i="7"/>
  <c r="M3780" i="7" s="1"/>
  <c r="E4000" i="5"/>
  <c r="F4000" i="5" s="1"/>
  <c r="D4000" i="5"/>
  <c r="B4000" i="5"/>
  <c r="E3999" i="5"/>
  <c r="F3999" i="5" s="1"/>
  <c r="D3999" i="5"/>
  <c r="B3999" i="5"/>
  <c r="E3998" i="5"/>
  <c r="F3998" i="5" s="1"/>
  <c r="D3998" i="5"/>
  <c r="B3998" i="5"/>
  <c r="E3997" i="5"/>
  <c r="F3997" i="5" s="1"/>
  <c r="D3997" i="5"/>
  <c r="B3997" i="5"/>
  <c r="D4032" i="5"/>
  <c r="D4031" i="5"/>
  <c r="B4032" i="5"/>
  <c r="B4031" i="5"/>
  <c r="D3984" i="5"/>
  <c r="D3983" i="5"/>
  <c r="B3984" i="5"/>
  <c r="B3983" i="5"/>
  <c r="E3952" i="5"/>
  <c r="F3952" i="5" s="1"/>
  <c r="D3952" i="5"/>
  <c r="B3952" i="5"/>
  <c r="E3951" i="5"/>
  <c r="F3951" i="5" s="1"/>
  <c r="D3951" i="5"/>
  <c r="B3951" i="5"/>
  <c r="E3950" i="5"/>
  <c r="F3950" i="5" s="1"/>
  <c r="D3950" i="5"/>
  <c r="B3950" i="5"/>
  <c r="E3949" i="5"/>
  <c r="F3949" i="5" s="1"/>
  <c r="D3949" i="5"/>
  <c r="B3949" i="5"/>
  <c r="E3995" i="5"/>
  <c r="B3995" i="5"/>
  <c r="A3995" i="5"/>
  <c r="F4037" i="5"/>
  <c r="F4036" i="5"/>
  <c r="F4035" i="5"/>
  <c r="F4034" i="5"/>
  <c r="F4033" i="5"/>
  <c r="F4026" i="5"/>
  <c r="F4025" i="5"/>
  <c r="F4024" i="5"/>
  <c r="F4023" i="5"/>
  <c r="F4022" i="5"/>
  <c r="F4021" i="5"/>
  <c r="F4020" i="5"/>
  <c r="F4019" i="5"/>
  <c r="F4018" i="5"/>
  <c r="F4017" i="5"/>
  <c r="F4012" i="5"/>
  <c r="F4011" i="5"/>
  <c r="F4010" i="5"/>
  <c r="F4009" i="5"/>
  <c r="F4008" i="5"/>
  <c r="F4007" i="5"/>
  <c r="F4006" i="5"/>
  <c r="F4005" i="5"/>
  <c r="F4004" i="5"/>
  <c r="F4003" i="5"/>
  <c r="F4002" i="5"/>
  <c r="F4001" i="5"/>
  <c r="E3947" i="5"/>
  <c r="B3947" i="5"/>
  <c r="A3947" i="5"/>
  <c r="F3989" i="5"/>
  <c r="F3988" i="5"/>
  <c r="F3987" i="5"/>
  <c r="F3986" i="5"/>
  <c r="F3985" i="5"/>
  <c r="F3978" i="5"/>
  <c r="F3977" i="5"/>
  <c r="F3976" i="5"/>
  <c r="F3975" i="5"/>
  <c r="F3974" i="5"/>
  <c r="F3973" i="5"/>
  <c r="F3972" i="5"/>
  <c r="F3971" i="5"/>
  <c r="F3970" i="5"/>
  <c r="F3969" i="5"/>
  <c r="F3964" i="5"/>
  <c r="F3963" i="5"/>
  <c r="F3962" i="5"/>
  <c r="F3961" i="5"/>
  <c r="F3960" i="5"/>
  <c r="F3959" i="5"/>
  <c r="F3958" i="5"/>
  <c r="F3957" i="5"/>
  <c r="F3956" i="5"/>
  <c r="F3955" i="5"/>
  <c r="F3954" i="5"/>
  <c r="F3953" i="5"/>
  <c r="J3731" i="7"/>
  <c r="C3731" i="7"/>
  <c r="A3731" i="7"/>
  <c r="M3731" i="7" s="1"/>
  <c r="J3727" i="7"/>
  <c r="C3727" i="7"/>
  <c r="A3727" i="7"/>
  <c r="M3727" i="7" s="1"/>
  <c r="J3723" i="7"/>
  <c r="C3723" i="7"/>
  <c r="A3723" i="7"/>
  <c r="M3723" i="7" s="1"/>
  <c r="A3718" i="7"/>
  <c r="C3717" i="7"/>
  <c r="C3853" i="5"/>
  <c r="C3805" i="5"/>
  <c r="E3856" i="5"/>
  <c r="F3856" i="5" s="1"/>
  <c r="D3856" i="5"/>
  <c r="B3856" i="5"/>
  <c r="E3855" i="5"/>
  <c r="F3855" i="5" s="1"/>
  <c r="D3855" i="5"/>
  <c r="B3855" i="5"/>
  <c r="E3854" i="5"/>
  <c r="F3854" i="5" s="1"/>
  <c r="D3854" i="5"/>
  <c r="B3854" i="5"/>
  <c r="D3853" i="5"/>
  <c r="E3853" i="5"/>
  <c r="B3853" i="5"/>
  <c r="D3888" i="5"/>
  <c r="D3887" i="5"/>
  <c r="B3888" i="5"/>
  <c r="B3887" i="5"/>
  <c r="D3840" i="5"/>
  <c r="B3840" i="5"/>
  <c r="D3839" i="5"/>
  <c r="B3839" i="5"/>
  <c r="E3808" i="5"/>
  <c r="F3808" i="5" s="1"/>
  <c r="D3808" i="5"/>
  <c r="B3808" i="5"/>
  <c r="E3807" i="5"/>
  <c r="F3807" i="5" s="1"/>
  <c r="D3807" i="5"/>
  <c r="B3807" i="5"/>
  <c r="E3806" i="5"/>
  <c r="F3806" i="5" s="1"/>
  <c r="D3806" i="5"/>
  <c r="B3806" i="5"/>
  <c r="E3805" i="5"/>
  <c r="D3805" i="5"/>
  <c r="B3805" i="5"/>
  <c r="C3757" i="5"/>
  <c r="E3760" i="5"/>
  <c r="F3760" i="5" s="1"/>
  <c r="D3760" i="5"/>
  <c r="B3760" i="5"/>
  <c r="E3759" i="5"/>
  <c r="F3759" i="5" s="1"/>
  <c r="D3759" i="5"/>
  <c r="B3759" i="5"/>
  <c r="E3758" i="5"/>
  <c r="F3758" i="5" s="1"/>
  <c r="D3758" i="5"/>
  <c r="B3758" i="5"/>
  <c r="E3757" i="5"/>
  <c r="D3757" i="5"/>
  <c r="B3757" i="5"/>
  <c r="D3792" i="5"/>
  <c r="B3792" i="5"/>
  <c r="D3791" i="5"/>
  <c r="B3791" i="5"/>
  <c r="E3851" i="5"/>
  <c r="B3851" i="5"/>
  <c r="A3851" i="5"/>
  <c r="F3893" i="5"/>
  <c r="F3892" i="5"/>
  <c r="F3891" i="5"/>
  <c r="F3890" i="5"/>
  <c r="F3889" i="5"/>
  <c r="F3882" i="5"/>
  <c r="F3881" i="5"/>
  <c r="F3880" i="5"/>
  <c r="F3879" i="5"/>
  <c r="F3878" i="5"/>
  <c r="F3877" i="5"/>
  <c r="F3875" i="5"/>
  <c r="F3874" i="5"/>
  <c r="F3873" i="5"/>
  <c r="F3868" i="5"/>
  <c r="F3867" i="5"/>
  <c r="F3866" i="5"/>
  <c r="F3865" i="5"/>
  <c r="F3864" i="5"/>
  <c r="F3863" i="5"/>
  <c r="F3862" i="5"/>
  <c r="F3861" i="5"/>
  <c r="F3860" i="5"/>
  <c r="F3859" i="5"/>
  <c r="F3858" i="5"/>
  <c r="F3857" i="5"/>
  <c r="E3803" i="5"/>
  <c r="B3803" i="5"/>
  <c r="A3803" i="5"/>
  <c r="F3845" i="5"/>
  <c r="F3844" i="5"/>
  <c r="F3843" i="5"/>
  <c r="F3842" i="5"/>
  <c r="F3841" i="5"/>
  <c r="F3834" i="5"/>
  <c r="F3833" i="5"/>
  <c r="F3832" i="5"/>
  <c r="F3831" i="5"/>
  <c r="F3829" i="5"/>
  <c r="F3828" i="5"/>
  <c r="F3827" i="5"/>
  <c r="F3826" i="5"/>
  <c r="F3825" i="5"/>
  <c r="F3820" i="5"/>
  <c r="F3819" i="5"/>
  <c r="F3818" i="5"/>
  <c r="F3817" i="5"/>
  <c r="F3816" i="5"/>
  <c r="F3815" i="5"/>
  <c r="F3814" i="5"/>
  <c r="F3813" i="5"/>
  <c r="F3812" i="5"/>
  <c r="F3811" i="5"/>
  <c r="F3810" i="5"/>
  <c r="F3809" i="5"/>
  <c r="E3755" i="5"/>
  <c r="B3755" i="5"/>
  <c r="A3755" i="5"/>
  <c r="F3797" i="5"/>
  <c r="F3796" i="5"/>
  <c r="F3795" i="5"/>
  <c r="F3794" i="5"/>
  <c r="F3793" i="5"/>
  <c r="F3786" i="5"/>
  <c r="F3785" i="5"/>
  <c r="F3784" i="5"/>
  <c r="F3783" i="5"/>
  <c r="F3782" i="5"/>
  <c r="F3780" i="5"/>
  <c r="F3779" i="5"/>
  <c r="F3778" i="5"/>
  <c r="F3777" i="5"/>
  <c r="F3772" i="5"/>
  <c r="F3771" i="5"/>
  <c r="F3770" i="5"/>
  <c r="F3769" i="5"/>
  <c r="F3768" i="5"/>
  <c r="F3767" i="5"/>
  <c r="F3766" i="5"/>
  <c r="F3765" i="5"/>
  <c r="F3764" i="5"/>
  <c r="F3763" i="5"/>
  <c r="F3762" i="5"/>
  <c r="F3761" i="5"/>
  <c r="F4027" i="5" l="1"/>
  <c r="F3979" i="5"/>
  <c r="F3787" i="5"/>
  <c r="N3783" i="7"/>
  <c r="K3783" i="7"/>
  <c r="L3783" i="7" s="1"/>
  <c r="N3780" i="7"/>
  <c r="K3780" i="7"/>
  <c r="L3780" i="7" s="1"/>
  <c r="F3805" i="5"/>
  <c r="F3835" i="5"/>
  <c r="F4013" i="5"/>
  <c r="F3965" i="5"/>
  <c r="F3757" i="5"/>
  <c r="N3731" i="7"/>
  <c r="K3731" i="7"/>
  <c r="L3731" i="7" s="1"/>
  <c r="N3727" i="7"/>
  <c r="K3727" i="7"/>
  <c r="L3727" i="7" s="1"/>
  <c r="N3723" i="7"/>
  <c r="K3723" i="7"/>
  <c r="L3723" i="7" s="1"/>
  <c r="F3853" i="5"/>
  <c r="F3883" i="5"/>
  <c r="F3869" i="5" l="1"/>
  <c r="F3821" i="5"/>
  <c r="F3773" i="5"/>
  <c r="C1169" i="5" l="1"/>
  <c r="C1199" i="5"/>
  <c r="C1168" i="5"/>
  <c r="C1167" i="5"/>
  <c r="C1166" i="5"/>
  <c r="J1255" i="7" l="1"/>
  <c r="C1255" i="7"/>
  <c r="A1255" i="7"/>
  <c r="M1255" i="7" s="1"/>
  <c r="A1250" i="7"/>
  <c r="C1249" i="7"/>
  <c r="J1148" i="7"/>
  <c r="C1148" i="7"/>
  <c r="A1148" i="7"/>
  <c r="M1148" i="7" s="1"/>
  <c r="A1143" i="7"/>
  <c r="C1142" i="7"/>
  <c r="N1255" i="7" l="1"/>
  <c r="K1255" i="7"/>
  <c r="L1255" i="7" s="1"/>
  <c r="N1148" i="7"/>
  <c r="K1148" i="7"/>
  <c r="L1148" i="7" s="1"/>
  <c r="C4608" i="5" l="1"/>
  <c r="C4607" i="5"/>
  <c r="C4560" i="5"/>
  <c r="C4559" i="5"/>
  <c r="C4478" i="5"/>
  <c r="E4478" i="5"/>
  <c r="D4478" i="5"/>
  <c r="B4478" i="5"/>
  <c r="E4477" i="5"/>
  <c r="D4477" i="5"/>
  <c r="B4477" i="5"/>
  <c r="D4512" i="5"/>
  <c r="B4512" i="5"/>
  <c r="D4511" i="5"/>
  <c r="B4511" i="5"/>
  <c r="F5391" i="5"/>
  <c r="F5390" i="5"/>
  <c r="E5389" i="5"/>
  <c r="F5389" i="5" s="1"/>
  <c r="D5389" i="5"/>
  <c r="B5389" i="5"/>
  <c r="D5424" i="5"/>
  <c r="B5424" i="5"/>
  <c r="D5423" i="5"/>
  <c r="B5423" i="5"/>
  <c r="J4971" i="7"/>
  <c r="C4971" i="7"/>
  <c r="A4971" i="7"/>
  <c r="M4971" i="7" s="1"/>
  <c r="J5340" i="7"/>
  <c r="C5340" i="7"/>
  <c r="A5340" i="7"/>
  <c r="M5340" i="7" s="1"/>
  <c r="A5335" i="7"/>
  <c r="C5334" i="7"/>
  <c r="E5387" i="5"/>
  <c r="B5387" i="5"/>
  <c r="A5387" i="5"/>
  <c r="F5429" i="5"/>
  <c r="F5428" i="5"/>
  <c r="F5427" i="5"/>
  <c r="F5426" i="5"/>
  <c r="F5425" i="5"/>
  <c r="F5418" i="5"/>
  <c r="F5417" i="5"/>
  <c r="F5416" i="5"/>
  <c r="F5415" i="5"/>
  <c r="F5414" i="5"/>
  <c r="F5413" i="5"/>
  <c r="F5412" i="5"/>
  <c r="F5411" i="5"/>
  <c r="F5410" i="5"/>
  <c r="F5409" i="5"/>
  <c r="F5404" i="5"/>
  <c r="F5403" i="5"/>
  <c r="F5402" i="5"/>
  <c r="F5401" i="5"/>
  <c r="F5400" i="5"/>
  <c r="F5399" i="5"/>
  <c r="F5398" i="5"/>
  <c r="F5397" i="5"/>
  <c r="B5397" i="5"/>
  <c r="F5396" i="5"/>
  <c r="F5395" i="5"/>
  <c r="F5394" i="5"/>
  <c r="F5393" i="5"/>
  <c r="F5392" i="5"/>
  <c r="E1595" i="5"/>
  <c r="B1595" i="5"/>
  <c r="A1595" i="5"/>
  <c r="F1637" i="5"/>
  <c r="F1636" i="5"/>
  <c r="F1635" i="5"/>
  <c r="F1626" i="5"/>
  <c r="F1625" i="5"/>
  <c r="F1624" i="5"/>
  <c r="F1623" i="5"/>
  <c r="F1622" i="5"/>
  <c r="F1621" i="5"/>
  <c r="F1620" i="5"/>
  <c r="F1619" i="5"/>
  <c r="F1618" i="5"/>
  <c r="F1617" i="5"/>
  <c r="F1612" i="5"/>
  <c r="F1611" i="5"/>
  <c r="F1610" i="5"/>
  <c r="F1609" i="5"/>
  <c r="F1608" i="5"/>
  <c r="F1607" i="5"/>
  <c r="F1606" i="5"/>
  <c r="F1605" i="5"/>
  <c r="F1604" i="5"/>
  <c r="F1603" i="5"/>
  <c r="F1602" i="5"/>
  <c r="F1601" i="5"/>
  <c r="F1600" i="5"/>
  <c r="F1599" i="5"/>
  <c r="F1598" i="5"/>
  <c r="F1597" i="5"/>
  <c r="E1163" i="5"/>
  <c r="B1163" i="5"/>
  <c r="F1205" i="5"/>
  <c r="F1204" i="5"/>
  <c r="F1203" i="5"/>
  <c r="F1202" i="5"/>
  <c r="F1201" i="5"/>
  <c r="F1200" i="5"/>
  <c r="F1194" i="5"/>
  <c r="F1193" i="5"/>
  <c r="F1192" i="5"/>
  <c r="F1191" i="5"/>
  <c r="F1190" i="5"/>
  <c r="F1189" i="5"/>
  <c r="F1188" i="5"/>
  <c r="F1187" i="5"/>
  <c r="F1186" i="5"/>
  <c r="F1185" i="5"/>
  <c r="F1180" i="5"/>
  <c r="F1179" i="5"/>
  <c r="F1178" i="5"/>
  <c r="F1177" i="5"/>
  <c r="F1176" i="5"/>
  <c r="F1175" i="5"/>
  <c r="F1174" i="5"/>
  <c r="F1173" i="5"/>
  <c r="F1172" i="5"/>
  <c r="F1171" i="5"/>
  <c r="F1170" i="5"/>
  <c r="F1169" i="5"/>
  <c r="F1168" i="5"/>
  <c r="F1167" i="5"/>
  <c r="F1166" i="5"/>
  <c r="F1165" i="5"/>
  <c r="E1067" i="5"/>
  <c r="B1067" i="5"/>
  <c r="F1109" i="5"/>
  <c r="F1108" i="5"/>
  <c r="F1107" i="5"/>
  <c r="F1106" i="5"/>
  <c r="F1105" i="5"/>
  <c r="F1098" i="5"/>
  <c r="F1097" i="5"/>
  <c r="F1096" i="5"/>
  <c r="F1095" i="5"/>
  <c r="F1094" i="5"/>
  <c r="F1093" i="5"/>
  <c r="F1092" i="5"/>
  <c r="F1091" i="5"/>
  <c r="F1090" i="5"/>
  <c r="F1089" i="5"/>
  <c r="F1084" i="5"/>
  <c r="F1083" i="5"/>
  <c r="F1082" i="5"/>
  <c r="F1081" i="5"/>
  <c r="F1080" i="5"/>
  <c r="F1079" i="5"/>
  <c r="F1078" i="5"/>
  <c r="F1077" i="5"/>
  <c r="F1076" i="5"/>
  <c r="F1075" i="5"/>
  <c r="F1074" i="5"/>
  <c r="F1073" i="5"/>
  <c r="F1072" i="5"/>
  <c r="F1069" i="5"/>
  <c r="F1195" i="5" l="1"/>
  <c r="N4971" i="7"/>
  <c r="K4971" i="7"/>
  <c r="L4971" i="7" s="1"/>
  <c r="N5340" i="7"/>
  <c r="K5340" i="7"/>
  <c r="L5340" i="7" s="1"/>
  <c r="F5405" i="5"/>
  <c r="F5419" i="5"/>
  <c r="F1613" i="5"/>
  <c r="F1627" i="5"/>
  <c r="F1099" i="5"/>
  <c r="F1181" i="5"/>
  <c r="F1085" i="5"/>
  <c r="F755" i="19"/>
  <c r="F754" i="19"/>
  <c r="C2656" i="5"/>
  <c r="E1307" i="5"/>
  <c r="B1307" i="5"/>
  <c r="E1267" i="19"/>
  <c r="E1266" i="19"/>
  <c r="E824" i="19" l="1"/>
  <c r="D826" i="19" s="1"/>
  <c r="E1236" i="19"/>
  <c r="D833" i="19" l="1"/>
  <c r="D1017" i="19" l="1"/>
  <c r="E719" i="19"/>
  <c r="D849" i="19" l="1"/>
  <c r="D851" i="19" s="1"/>
  <c r="E778" i="19"/>
  <c r="D780" i="19" s="1"/>
  <c r="E752" i="19"/>
  <c r="E757" i="19" s="1"/>
  <c r="E721" i="19"/>
  <c r="D728" i="19" s="1"/>
  <c r="D730" i="19" s="1"/>
  <c r="E489" i="19" l="1"/>
  <c r="H213" i="19"/>
  <c r="G126" i="19"/>
  <c r="G116" i="19"/>
  <c r="D118" i="19" s="1"/>
  <c r="D128" i="19" l="1"/>
  <c r="D130" i="19" s="1"/>
  <c r="H204" i="19" l="1"/>
  <c r="H206" i="19" s="1"/>
  <c r="D208" i="19" s="1"/>
  <c r="C232" i="19" l="1"/>
  <c r="G232" i="19" l="1"/>
  <c r="C3072" i="5"/>
  <c r="C3058" i="5"/>
  <c r="C3057" i="5"/>
  <c r="C3038" i="5"/>
  <c r="C3037" i="5"/>
  <c r="J1627" i="7" l="1"/>
  <c r="C1627" i="7"/>
  <c r="A1627" i="7"/>
  <c r="M1627" i="7" s="1"/>
  <c r="A1622" i="7"/>
  <c r="C1621" i="7"/>
  <c r="D1536" i="5"/>
  <c r="B1536" i="5"/>
  <c r="D1535" i="5"/>
  <c r="B1535" i="5"/>
  <c r="E1501" i="5"/>
  <c r="F1501" i="5" s="1"/>
  <c r="D1501" i="5"/>
  <c r="B1501" i="5"/>
  <c r="E1499" i="5"/>
  <c r="B1499" i="5"/>
  <c r="A1499" i="5"/>
  <c r="F1541" i="5"/>
  <c r="F1540" i="5"/>
  <c r="F1539" i="5"/>
  <c r="F1538" i="5"/>
  <c r="F1537" i="5"/>
  <c r="F1530" i="5"/>
  <c r="F1529" i="5"/>
  <c r="F1528" i="5"/>
  <c r="F1527" i="5"/>
  <c r="F1526" i="5"/>
  <c r="F1525" i="5"/>
  <c r="F1524" i="5"/>
  <c r="F1523" i="5"/>
  <c r="F1522" i="5"/>
  <c r="F1521" i="5"/>
  <c r="F1516" i="5"/>
  <c r="F1515" i="5"/>
  <c r="F1514" i="5"/>
  <c r="F1513" i="5"/>
  <c r="F1512" i="5"/>
  <c r="F1511" i="5"/>
  <c r="F1510" i="5"/>
  <c r="F1509" i="5"/>
  <c r="F1508" i="5"/>
  <c r="F1507" i="5"/>
  <c r="F1506" i="5"/>
  <c r="F1505" i="5"/>
  <c r="F1503" i="5"/>
  <c r="F1502" i="5"/>
  <c r="J3669" i="7"/>
  <c r="C3669" i="7"/>
  <c r="A3669" i="7"/>
  <c r="M3669" i="7" s="1"/>
  <c r="A3664" i="7"/>
  <c r="C3663" i="7"/>
  <c r="D3744" i="5"/>
  <c r="B3744" i="5"/>
  <c r="D3743" i="5"/>
  <c r="B3743" i="5"/>
  <c r="E3712" i="5"/>
  <c r="F3712" i="5" s="1"/>
  <c r="D3712" i="5"/>
  <c r="B3712" i="5"/>
  <c r="E3711" i="5"/>
  <c r="F3711" i="5" s="1"/>
  <c r="D3711" i="5"/>
  <c r="B3711" i="5"/>
  <c r="E3710" i="5"/>
  <c r="F3710" i="5" s="1"/>
  <c r="D3710" i="5"/>
  <c r="B3710" i="5"/>
  <c r="E3709" i="5"/>
  <c r="F3709" i="5" s="1"/>
  <c r="D3709" i="5"/>
  <c r="B3709" i="5"/>
  <c r="E3707" i="5"/>
  <c r="B3707" i="5"/>
  <c r="A3707" i="5"/>
  <c r="F3749" i="5"/>
  <c r="F3748" i="5"/>
  <c r="F3747" i="5"/>
  <c r="F3746" i="5"/>
  <c r="F3745" i="5"/>
  <c r="F3738" i="5"/>
  <c r="F3737" i="5"/>
  <c r="F3736" i="5"/>
  <c r="F3735" i="5"/>
  <c r="F3734" i="5"/>
  <c r="F3733" i="5"/>
  <c r="F3731" i="5"/>
  <c r="F3730" i="5"/>
  <c r="F3729" i="5"/>
  <c r="F3724" i="5"/>
  <c r="F3723" i="5"/>
  <c r="F3722" i="5"/>
  <c r="F3721" i="5"/>
  <c r="F3720" i="5"/>
  <c r="F3719" i="5"/>
  <c r="F3718" i="5"/>
  <c r="F3717" i="5"/>
  <c r="F3716" i="5"/>
  <c r="F3715" i="5"/>
  <c r="F3714" i="5"/>
  <c r="F3713" i="5"/>
  <c r="J2756" i="7"/>
  <c r="C2756" i="7"/>
  <c r="A2756" i="7"/>
  <c r="K2756" i="7" s="1"/>
  <c r="E2750" i="5"/>
  <c r="F2750" i="5" s="1"/>
  <c r="D2750" i="5"/>
  <c r="B2750" i="5"/>
  <c r="E2749" i="5"/>
  <c r="F2749" i="5" s="1"/>
  <c r="D2749" i="5"/>
  <c r="B2749" i="5"/>
  <c r="E2747" i="5"/>
  <c r="B2747" i="5"/>
  <c r="A2747" i="5"/>
  <c r="F2789" i="5"/>
  <c r="F2788" i="5"/>
  <c r="F2787" i="5"/>
  <c r="F2786" i="5"/>
  <c r="F2785" i="5"/>
  <c r="A2783" i="5"/>
  <c r="F2778" i="5"/>
  <c r="F2777" i="5"/>
  <c r="F2776" i="5"/>
  <c r="F2775" i="5"/>
  <c r="F2774" i="5"/>
  <c r="F2773" i="5"/>
  <c r="F2772" i="5"/>
  <c r="F2771" i="5"/>
  <c r="F2770" i="5"/>
  <c r="F2769" i="5"/>
  <c r="F2764" i="5"/>
  <c r="F2763" i="5"/>
  <c r="F2762" i="5"/>
  <c r="F2761" i="5"/>
  <c r="F2760" i="5"/>
  <c r="F2759" i="5"/>
  <c r="F2758" i="5"/>
  <c r="F2757" i="5"/>
  <c r="F2756" i="5"/>
  <c r="F2755" i="5"/>
  <c r="F2754" i="5"/>
  <c r="F2753" i="5"/>
  <c r="F2752" i="5"/>
  <c r="F2751" i="5"/>
  <c r="N1627" i="7" l="1"/>
  <c r="K1627" i="7"/>
  <c r="L1627" i="7" s="1"/>
  <c r="F1504" i="5"/>
  <c r="F1531" i="5"/>
  <c r="N3669" i="7"/>
  <c r="K3669" i="7"/>
  <c r="L3669" i="7" s="1"/>
  <c r="F3725" i="5"/>
  <c r="F3739" i="5"/>
  <c r="L2756" i="7"/>
  <c r="M2756" i="7"/>
  <c r="N2756" i="7" s="1"/>
  <c r="D2784" i="5"/>
  <c r="F2765" i="5"/>
  <c r="D2783" i="5"/>
  <c r="F2779" i="5"/>
  <c r="F1517" i="5" l="1"/>
  <c r="C2495" i="5" l="1"/>
  <c r="C2482" i="5"/>
  <c r="C2481" i="5"/>
  <c r="C2463" i="5"/>
  <c r="C2462" i="5"/>
  <c r="C2461" i="5"/>
  <c r="E2512" i="5"/>
  <c r="F2512" i="5" s="1"/>
  <c r="D2512" i="5"/>
  <c r="B2512" i="5"/>
  <c r="C2465" i="5"/>
  <c r="C2496" i="5"/>
  <c r="J2540" i="7"/>
  <c r="C2540" i="7"/>
  <c r="A2540" i="7"/>
  <c r="K2540" i="7" s="1"/>
  <c r="A2535" i="7"/>
  <c r="C2534" i="7"/>
  <c r="C2511" i="5"/>
  <c r="E2511" i="5"/>
  <c r="D2511" i="5"/>
  <c r="B2511" i="5"/>
  <c r="F2510" i="5"/>
  <c r="D2510" i="5"/>
  <c r="B2510" i="5"/>
  <c r="F2509" i="5"/>
  <c r="D2509" i="5"/>
  <c r="E2507" i="5"/>
  <c r="B2507" i="5"/>
  <c r="A2507" i="5"/>
  <c r="F2549" i="5"/>
  <c r="F2548" i="5"/>
  <c r="F2547" i="5"/>
  <c r="F2546" i="5"/>
  <c r="A2544" i="5"/>
  <c r="A2543" i="5"/>
  <c r="F2538" i="5"/>
  <c r="F2537" i="5"/>
  <c r="F2536" i="5"/>
  <c r="F2535" i="5"/>
  <c r="F2534" i="5"/>
  <c r="F2533" i="5"/>
  <c r="F2532" i="5"/>
  <c r="F2531" i="5"/>
  <c r="F2530" i="5"/>
  <c r="F2529" i="5"/>
  <c r="F2524" i="5"/>
  <c r="F2523" i="5"/>
  <c r="F2522" i="5"/>
  <c r="F2521" i="5"/>
  <c r="F2520" i="5"/>
  <c r="F2519" i="5"/>
  <c r="F2518" i="5"/>
  <c r="F2517" i="5"/>
  <c r="F2516" i="5"/>
  <c r="F2515" i="5"/>
  <c r="F2514" i="5"/>
  <c r="F2513" i="5"/>
  <c r="B2543" i="5" l="1"/>
  <c r="D2543" i="5"/>
  <c r="B2544" i="5"/>
  <c r="B2545" i="5"/>
  <c r="F2511" i="5"/>
  <c r="F2525" i="5" s="1"/>
  <c r="M2540" i="7"/>
  <c r="N2540" i="7" s="1"/>
  <c r="L2540" i="7"/>
  <c r="D2545" i="5"/>
  <c r="F2539" i="5"/>
  <c r="D2544" i="5"/>
  <c r="J2271" i="7" l="1"/>
  <c r="C2271" i="7"/>
  <c r="A2271" i="7"/>
  <c r="K2271" i="7" s="1"/>
  <c r="A2266" i="7"/>
  <c r="C2265" i="7"/>
  <c r="E2289" i="5"/>
  <c r="F2289" i="5" s="1"/>
  <c r="D2289" i="5"/>
  <c r="B2289" i="5"/>
  <c r="A2289" i="5"/>
  <c r="E2267" i="5"/>
  <c r="B2267" i="5"/>
  <c r="A2267" i="5"/>
  <c r="E2219" i="5"/>
  <c r="B2219" i="5"/>
  <c r="A2219" i="5"/>
  <c r="F2309" i="5"/>
  <c r="F2308" i="5"/>
  <c r="F2307" i="5"/>
  <c r="F2306" i="5"/>
  <c r="F2305" i="5"/>
  <c r="F2304" i="5"/>
  <c r="A2303" i="5"/>
  <c r="F2298" i="5"/>
  <c r="F2297" i="5"/>
  <c r="F2296" i="5"/>
  <c r="F2295" i="5"/>
  <c r="F2294" i="5"/>
  <c r="F2293" i="5"/>
  <c r="F2292" i="5"/>
  <c r="F2291" i="5"/>
  <c r="F2290" i="5"/>
  <c r="F2284" i="5"/>
  <c r="F2283" i="5"/>
  <c r="F2282" i="5"/>
  <c r="F2281" i="5"/>
  <c r="F2280" i="5"/>
  <c r="F2279" i="5"/>
  <c r="F2278" i="5"/>
  <c r="F2277" i="5"/>
  <c r="F2276" i="5"/>
  <c r="F2275" i="5"/>
  <c r="F2274" i="5"/>
  <c r="F2273" i="5"/>
  <c r="F2272" i="5"/>
  <c r="F2271" i="5"/>
  <c r="F2270" i="5"/>
  <c r="F2269" i="5"/>
  <c r="J2220" i="7"/>
  <c r="C2220" i="7"/>
  <c r="A2220" i="7"/>
  <c r="M2220" i="7" s="1"/>
  <c r="F2261" i="5"/>
  <c r="F2260" i="5"/>
  <c r="F2259" i="5"/>
  <c r="F2258" i="5"/>
  <c r="F2257" i="5"/>
  <c r="F2256" i="5"/>
  <c r="A2255" i="5"/>
  <c r="F2250" i="5"/>
  <c r="F2249" i="5"/>
  <c r="F2248" i="5"/>
  <c r="F2247" i="5"/>
  <c r="F2246" i="5"/>
  <c r="F2245" i="5"/>
  <c r="F2244" i="5"/>
  <c r="F2243" i="5"/>
  <c r="F2242" i="5"/>
  <c r="F2241" i="5"/>
  <c r="F2236" i="5"/>
  <c r="F2235" i="5"/>
  <c r="F2234" i="5"/>
  <c r="F2233" i="5"/>
  <c r="F2232" i="5"/>
  <c r="F2231" i="5"/>
  <c r="F2230" i="5"/>
  <c r="F2229" i="5"/>
  <c r="F2228" i="5"/>
  <c r="F2227" i="5"/>
  <c r="F2226" i="5"/>
  <c r="F2225" i="5"/>
  <c r="F2224" i="5"/>
  <c r="F2223" i="5"/>
  <c r="F2222" i="5"/>
  <c r="F2221" i="5"/>
  <c r="F2285" i="5" l="1"/>
  <c r="F2251" i="5"/>
  <c r="F2237" i="5"/>
  <c r="N2220" i="7"/>
  <c r="F2299" i="5"/>
  <c r="L2271" i="7"/>
  <c r="M2271" i="7"/>
  <c r="N2271" i="7" s="1"/>
  <c r="K2220" i="7"/>
  <c r="L2220" i="7" s="1"/>
  <c r="D2303" i="5"/>
  <c r="D2255" i="5"/>
  <c r="E1793" i="5"/>
  <c r="D1793" i="5"/>
  <c r="B1793" i="5"/>
  <c r="J2807" i="7"/>
  <c r="C2807" i="7"/>
  <c r="A2807" i="7"/>
  <c r="M2807" i="7" s="1"/>
  <c r="A2802" i="7"/>
  <c r="C2801" i="7"/>
  <c r="E2800" i="5"/>
  <c r="F2800" i="5" s="1"/>
  <c r="D2800" i="5"/>
  <c r="B2800" i="5"/>
  <c r="E2799" i="5"/>
  <c r="F2799" i="5" s="1"/>
  <c r="D2799" i="5"/>
  <c r="B2799" i="5"/>
  <c r="E2798" i="5"/>
  <c r="F2798" i="5" s="1"/>
  <c r="D2798" i="5"/>
  <c r="B2798" i="5"/>
  <c r="E2797" i="5"/>
  <c r="F2797" i="5" s="1"/>
  <c r="D2797" i="5"/>
  <c r="B2797" i="5"/>
  <c r="D2832" i="5"/>
  <c r="B2832" i="5"/>
  <c r="D2831" i="5"/>
  <c r="B2831" i="5"/>
  <c r="E2817" i="5"/>
  <c r="F2817" i="5" s="1"/>
  <c r="D2817" i="5"/>
  <c r="B2817" i="5"/>
  <c r="E2795" i="5"/>
  <c r="B2795" i="5"/>
  <c r="A2795" i="5"/>
  <c r="F2837" i="5"/>
  <c r="F2836" i="5"/>
  <c r="F2835" i="5"/>
  <c r="F2834" i="5"/>
  <c r="F2833" i="5"/>
  <c r="F2826" i="5"/>
  <c r="F2825" i="5"/>
  <c r="F2824" i="5"/>
  <c r="F2823" i="5"/>
  <c r="F2822" i="5"/>
  <c r="F2821" i="5"/>
  <c r="F2820" i="5"/>
  <c r="F2819" i="5"/>
  <c r="F2818" i="5"/>
  <c r="F2812" i="5"/>
  <c r="F2811" i="5"/>
  <c r="F2810" i="5"/>
  <c r="F2809" i="5"/>
  <c r="F2808" i="5"/>
  <c r="F2807" i="5"/>
  <c r="F2806" i="5"/>
  <c r="F2805" i="5"/>
  <c r="F2804" i="5"/>
  <c r="F2803" i="5"/>
  <c r="F2802" i="5"/>
  <c r="F2801" i="5"/>
  <c r="N2807" i="7" l="1"/>
  <c r="K2807" i="7"/>
  <c r="L2807" i="7" s="1"/>
  <c r="F2813" i="5"/>
  <c r="F2827" i="5"/>
  <c r="J5501" i="7" l="1"/>
  <c r="C5501" i="7"/>
  <c r="A5501" i="7"/>
  <c r="K5501" i="7" s="1"/>
  <c r="A5496" i="7"/>
  <c r="C5495" i="7"/>
  <c r="J5015" i="7"/>
  <c r="C5015" i="7"/>
  <c r="A5015" i="7"/>
  <c r="M5015" i="7" s="1"/>
  <c r="A5010" i="7"/>
  <c r="C5009" i="7"/>
  <c r="E5437" i="5"/>
  <c r="F5437" i="5" s="1"/>
  <c r="D5437" i="5"/>
  <c r="B5437" i="5"/>
  <c r="D5472" i="5"/>
  <c r="B5472" i="5"/>
  <c r="D5471" i="5"/>
  <c r="B5471" i="5"/>
  <c r="E5435" i="5"/>
  <c r="B5435" i="5"/>
  <c r="A5435" i="5"/>
  <c r="F5477" i="5"/>
  <c r="F5476" i="5"/>
  <c r="F5475" i="5"/>
  <c r="F5474" i="5"/>
  <c r="F5473" i="5"/>
  <c r="F5466" i="5"/>
  <c r="F5465" i="5"/>
  <c r="F5464" i="5"/>
  <c r="F5463" i="5"/>
  <c r="F5462" i="5"/>
  <c r="F5461" i="5"/>
  <c r="F5460" i="5"/>
  <c r="F5459" i="5"/>
  <c r="F5458" i="5"/>
  <c r="F5457" i="5"/>
  <c r="F5452" i="5"/>
  <c r="F5451" i="5"/>
  <c r="F5450" i="5"/>
  <c r="F5449" i="5"/>
  <c r="F5448" i="5"/>
  <c r="F5447" i="5"/>
  <c r="F5446" i="5"/>
  <c r="F5445" i="5"/>
  <c r="B5445" i="5"/>
  <c r="F5444" i="5"/>
  <c r="F5443" i="5"/>
  <c r="F5442" i="5"/>
  <c r="F5441" i="5"/>
  <c r="F5440" i="5"/>
  <c r="F5439" i="5"/>
  <c r="F5438" i="5"/>
  <c r="F5467" i="5" l="1"/>
  <c r="M5501" i="7"/>
  <c r="N5501" i="7" s="1"/>
  <c r="L5501" i="7"/>
  <c r="N5015" i="7"/>
  <c r="K5015" i="7"/>
  <c r="L5015" i="7" s="1"/>
  <c r="F5453" i="5"/>
  <c r="J4908" i="7" l="1"/>
  <c r="C4908" i="7"/>
  <c r="A4908" i="7"/>
  <c r="M4908" i="7" s="1"/>
  <c r="A4903" i="7"/>
  <c r="C4902" i="7"/>
  <c r="D5231" i="5"/>
  <c r="B5231" i="5"/>
  <c r="E5197" i="5"/>
  <c r="F5197" i="5" s="1"/>
  <c r="D5197" i="5"/>
  <c r="B5197" i="5"/>
  <c r="E5195" i="5"/>
  <c r="B5195" i="5"/>
  <c r="A5195" i="5"/>
  <c r="F5237" i="5"/>
  <c r="F5236" i="5"/>
  <c r="F5235" i="5"/>
  <c r="F5234" i="5"/>
  <c r="F5233" i="5"/>
  <c r="F5226" i="5"/>
  <c r="F5225" i="5"/>
  <c r="F5224" i="5"/>
  <c r="F5223" i="5"/>
  <c r="F5222" i="5"/>
  <c r="F5221" i="5"/>
  <c r="F5220" i="5"/>
  <c r="F5219" i="5"/>
  <c r="F5218" i="5"/>
  <c r="F5217" i="5"/>
  <c r="F5212" i="5"/>
  <c r="F5211" i="5"/>
  <c r="F5210" i="5"/>
  <c r="F5209" i="5"/>
  <c r="F5208" i="5"/>
  <c r="F5207" i="5"/>
  <c r="F5206" i="5"/>
  <c r="F5205" i="5"/>
  <c r="F5204" i="5"/>
  <c r="F5203" i="5"/>
  <c r="F5202" i="5"/>
  <c r="F5201" i="5"/>
  <c r="F5200" i="5"/>
  <c r="F5199" i="5"/>
  <c r="F5198" i="5"/>
  <c r="J4100" i="7"/>
  <c r="C4100" i="7"/>
  <c r="A4100" i="7"/>
  <c r="M4100" i="7" s="1"/>
  <c r="J3992" i="7"/>
  <c r="C3992" i="7"/>
  <c r="A3992" i="7"/>
  <c r="M3992" i="7" s="1"/>
  <c r="A4095" i="7"/>
  <c r="C4094" i="7"/>
  <c r="A3987" i="7"/>
  <c r="C3986" i="7"/>
  <c r="D4320" i="5"/>
  <c r="B4320" i="5"/>
  <c r="D4319" i="5"/>
  <c r="B4319" i="5"/>
  <c r="E4285" i="5"/>
  <c r="F4285" i="5" s="1"/>
  <c r="D4285" i="5"/>
  <c r="B4285" i="5"/>
  <c r="E4283" i="5"/>
  <c r="B4283" i="5"/>
  <c r="A4283" i="5"/>
  <c r="F4325" i="5"/>
  <c r="F4324" i="5"/>
  <c r="F4323" i="5"/>
  <c r="F4322" i="5"/>
  <c r="F4321" i="5"/>
  <c r="F4314" i="5"/>
  <c r="F4313" i="5"/>
  <c r="F4312" i="5"/>
  <c r="F4311" i="5"/>
  <c r="F4310" i="5"/>
  <c r="F4309" i="5"/>
  <c r="F4308" i="5"/>
  <c r="F4307" i="5"/>
  <c r="F4306" i="5"/>
  <c r="F4305" i="5"/>
  <c r="F4300" i="5"/>
  <c r="F4299" i="5"/>
  <c r="F4298" i="5"/>
  <c r="F4297" i="5"/>
  <c r="F4296" i="5"/>
  <c r="F4295" i="5"/>
  <c r="F4293" i="5"/>
  <c r="F4292" i="5"/>
  <c r="F4291" i="5"/>
  <c r="F4290" i="5"/>
  <c r="F4289" i="5"/>
  <c r="F4288" i="5"/>
  <c r="F4287" i="5"/>
  <c r="F4286" i="5"/>
  <c r="D4224" i="5"/>
  <c r="B4224" i="5"/>
  <c r="D4223" i="5"/>
  <c r="B4223" i="5"/>
  <c r="E4189" i="5"/>
  <c r="F4189" i="5" s="1"/>
  <c r="D4189" i="5"/>
  <c r="B4189" i="5"/>
  <c r="E4187" i="5"/>
  <c r="B4187" i="5"/>
  <c r="A4187" i="5"/>
  <c r="F4229" i="5"/>
  <c r="F4228" i="5"/>
  <c r="F4227" i="5"/>
  <c r="F4226" i="5"/>
  <c r="F4225" i="5"/>
  <c r="F4218" i="5"/>
  <c r="F4217" i="5"/>
  <c r="F4216" i="5"/>
  <c r="F4215" i="5"/>
  <c r="F4214" i="5"/>
  <c r="F4213" i="5"/>
  <c r="F4212" i="5"/>
  <c r="F4211" i="5"/>
  <c r="F4210" i="5"/>
  <c r="F4209" i="5"/>
  <c r="F4204" i="5"/>
  <c r="F4203" i="5"/>
  <c r="F4202" i="5"/>
  <c r="F4201" i="5"/>
  <c r="F4200" i="5"/>
  <c r="F4199" i="5"/>
  <c r="F4197" i="5"/>
  <c r="F4196" i="5"/>
  <c r="F4195" i="5"/>
  <c r="F4194" i="5"/>
  <c r="F4193" i="5"/>
  <c r="F4192" i="5"/>
  <c r="F4191" i="5"/>
  <c r="F4190" i="5"/>
  <c r="F4315" i="5" l="1"/>
  <c r="F5227" i="5"/>
  <c r="N4908" i="7"/>
  <c r="K4908" i="7"/>
  <c r="L4908" i="7" s="1"/>
  <c r="F5232" i="5"/>
  <c r="F5213" i="5"/>
  <c r="N4100" i="7"/>
  <c r="K4100" i="7"/>
  <c r="L4100" i="7" s="1"/>
  <c r="N3992" i="7"/>
  <c r="K3992" i="7"/>
  <c r="L3992" i="7" s="1"/>
  <c r="F4301" i="5"/>
  <c r="F4205" i="5"/>
  <c r="F4219" i="5"/>
  <c r="J3831" i="7" l="1"/>
  <c r="C3831" i="7"/>
  <c r="A3831" i="7"/>
  <c r="M3831" i="7" s="1"/>
  <c r="A3826" i="7"/>
  <c r="C3825" i="7"/>
  <c r="C4045" i="5"/>
  <c r="E4047" i="5"/>
  <c r="F4047" i="5" s="1"/>
  <c r="D4047" i="5"/>
  <c r="B4047" i="5"/>
  <c r="E4046" i="5"/>
  <c r="F4046" i="5" s="1"/>
  <c r="E4045" i="5"/>
  <c r="D4045" i="5"/>
  <c r="D4080" i="5"/>
  <c r="D4079" i="5"/>
  <c r="E4043" i="5"/>
  <c r="B4043" i="5"/>
  <c r="A4043" i="5"/>
  <c r="F4085" i="5"/>
  <c r="F4084" i="5"/>
  <c r="F4083" i="5"/>
  <c r="F4082" i="5"/>
  <c r="F4081" i="5"/>
  <c r="F4074" i="5"/>
  <c r="F4073" i="5"/>
  <c r="F4072" i="5"/>
  <c r="F4071" i="5"/>
  <c r="F4070" i="5"/>
  <c r="F4069" i="5"/>
  <c r="F4068" i="5"/>
  <c r="F4067" i="5"/>
  <c r="F4066" i="5"/>
  <c r="F4065" i="5"/>
  <c r="F4060" i="5"/>
  <c r="F4059" i="5"/>
  <c r="F4058" i="5"/>
  <c r="F4057" i="5"/>
  <c r="F4056" i="5"/>
  <c r="F4055" i="5"/>
  <c r="F4054" i="5"/>
  <c r="F4053" i="5"/>
  <c r="F4052" i="5"/>
  <c r="F4051" i="5"/>
  <c r="F4050" i="5"/>
  <c r="F4049" i="5"/>
  <c r="F4048" i="5"/>
  <c r="J3615" i="7"/>
  <c r="C3615" i="7"/>
  <c r="A3615" i="7"/>
  <c r="M3615" i="7" s="1"/>
  <c r="A3610" i="7"/>
  <c r="C3609" i="7"/>
  <c r="E3664" i="5"/>
  <c r="F3664" i="5" s="1"/>
  <c r="E3663" i="5"/>
  <c r="F3663" i="5" s="1"/>
  <c r="D3663" i="5"/>
  <c r="E3662" i="5"/>
  <c r="F3662" i="5" s="1"/>
  <c r="D3662" i="5"/>
  <c r="B3662" i="5"/>
  <c r="E3661" i="5"/>
  <c r="F3661" i="5" s="1"/>
  <c r="D3661" i="5"/>
  <c r="E3659" i="5"/>
  <c r="B3659" i="5"/>
  <c r="A3659" i="5"/>
  <c r="F3701" i="5"/>
  <c r="F3700" i="5"/>
  <c r="F3699" i="5"/>
  <c r="F3698" i="5"/>
  <c r="F3697" i="5"/>
  <c r="F3690" i="5"/>
  <c r="F3689" i="5"/>
  <c r="F3688" i="5"/>
  <c r="F3687" i="5"/>
  <c r="F3686" i="5"/>
  <c r="F3685" i="5"/>
  <c r="F3683" i="5"/>
  <c r="F3682" i="5"/>
  <c r="F3681" i="5"/>
  <c r="F3676" i="5"/>
  <c r="F3675" i="5"/>
  <c r="F3674" i="5"/>
  <c r="F3673" i="5"/>
  <c r="F3672" i="5"/>
  <c r="F3671" i="5"/>
  <c r="F3670" i="5"/>
  <c r="F3669" i="5"/>
  <c r="F3668" i="5"/>
  <c r="F3667" i="5"/>
  <c r="F3666" i="5"/>
  <c r="E3665" i="5"/>
  <c r="F3665" i="5" s="1"/>
  <c r="A3665" i="5"/>
  <c r="F3691" i="5" l="1"/>
  <c r="N3831" i="7"/>
  <c r="K3831" i="7"/>
  <c r="L3831" i="7" s="1"/>
  <c r="F4045" i="5"/>
  <c r="B4046" i="5"/>
  <c r="F4075" i="5"/>
  <c r="B4045" i="5"/>
  <c r="D4046" i="5"/>
  <c r="N3615" i="7"/>
  <c r="K3615" i="7"/>
  <c r="L3615" i="7" s="1"/>
  <c r="B3661" i="5"/>
  <c r="B3665" i="5"/>
  <c r="D3665" i="5"/>
  <c r="B3663" i="5"/>
  <c r="B3664" i="5"/>
  <c r="D3664" i="5"/>
  <c r="F3677" i="5"/>
  <c r="D3696" i="5"/>
  <c r="D3695" i="5"/>
  <c r="E62" i="5"/>
  <c r="F4061" i="5" l="1"/>
  <c r="E4816" i="5"/>
  <c r="B4816" i="5"/>
  <c r="E4768" i="5"/>
  <c r="D4768" i="5"/>
  <c r="B4768" i="5"/>
  <c r="B4689" i="5" l="1"/>
  <c r="E4690" i="5"/>
  <c r="D4690" i="5"/>
  <c r="B4690" i="5"/>
  <c r="D4704" i="5"/>
  <c r="B4704" i="5"/>
  <c r="D4703" i="5"/>
  <c r="B4703" i="5"/>
  <c r="E4670" i="5"/>
  <c r="J4424" i="7"/>
  <c r="C4424" i="7"/>
  <c r="A4424" i="7"/>
  <c r="M4424" i="7" s="1"/>
  <c r="A4420" i="7"/>
  <c r="A4419" i="7"/>
  <c r="C4418" i="7"/>
  <c r="E4624" i="5"/>
  <c r="D4624" i="5"/>
  <c r="B4624" i="5"/>
  <c r="D4655" i="5"/>
  <c r="B4655" i="5"/>
  <c r="E4642" i="5"/>
  <c r="D4642" i="5"/>
  <c r="B4642" i="5"/>
  <c r="E4623" i="5"/>
  <c r="D4623" i="5"/>
  <c r="B4623" i="5"/>
  <c r="E4622" i="5"/>
  <c r="D4622" i="5"/>
  <c r="B4622" i="5"/>
  <c r="E4621" i="5"/>
  <c r="D4621" i="5"/>
  <c r="B4621" i="5"/>
  <c r="N4424" i="7" l="1"/>
  <c r="K4424" i="7"/>
  <c r="L4424" i="7" s="1"/>
  <c r="E4574" i="5" l="1"/>
  <c r="J4315" i="7"/>
  <c r="C4315" i="7"/>
  <c r="A4315" i="7"/>
  <c r="M4315" i="7" s="1"/>
  <c r="A4311" i="7"/>
  <c r="A4310" i="7"/>
  <c r="C4309" i="7"/>
  <c r="E4527" i="5"/>
  <c r="D4527" i="5"/>
  <c r="B4527" i="5"/>
  <c r="E4526" i="5"/>
  <c r="D4526" i="5"/>
  <c r="B4526" i="5"/>
  <c r="E4525" i="5"/>
  <c r="D4525" i="5"/>
  <c r="B4525" i="5"/>
  <c r="D4560" i="5"/>
  <c r="B4560" i="5"/>
  <c r="D4559" i="5"/>
  <c r="B4559" i="5"/>
  <c r="N4315" i="7" l="1"/>
  <c r="K4315" i="7"/>
  <c r="L4315" i="7" s="1"/>
  <c r="J4261" i="7" l="1"/>
  <c r="C4261" i="7"/>
  <c r="A4261" i="7"/>
  <c r="M4261" i="7" s="1"/>
  <c r="A4257" i="7"/>
  <c r="A4256" i="7"/>
  <c r="C4255" i="7"/>
  <c r="N4261" i="7" l="1"/>
  <c r="K4261" i="7"/>
  <c r="L4261" i="7" s="1"/>
  <c r="E4619" i="5"/>
  <c r="B4619" i="5"/>
  <c r="A4619" i="5"/>
  <c r="F4661" i="5"/>
  <c r="F4660" i="5"/>
  <c r="F4659" i="5"/>
  <c r="F4658" i="5"/>
  <c r="F4657" i="5"/>
  <c r="F4656" i="5"/>
  <c r="F4650" i="5"/>
  <c r="F4649" i="5"/>
  <c r="F4648" i="5"/>
  <c r="F4647" i="5"/>
  <c r="F4646" i="5"/>
  <c r="F4645" i="5"/>
  <c r="F4644" i="5"/>
  <c r="F4643" i="5"/>
  <c r="F4642" i="5"/>
  <c r="F4641" i="5"/>
  <c r="F4636" i="5"/>
  <c r="F4635" i="5"/>
  <c r="F4634" i="5"/>
  <c r="F4633" i="5"/>
  <c r="F4632" i="5"/>
  <c r="F4631" i="5"/>
  <c r="F4630" i="5"/>
  <c r="F4629" i="5"/>
  <c r="F4628" i="5"/>
  <c r="F4627" i="5"/>
  <c r="F4626" i="5"/>
  <c r="F4625" i="5"/>
  <c r="F4624" i="5"/>
  <c r="F4623" i="5"/>
  <c r="F4622" i="5"/>
  <c r="F4621" i="5"/>
  <c r="E4523" i="5"/>
  <c r="B4523" i="5"/>
  <c r="A4523" i="5"/>
  <c r="F4565" i="5"/>
  <c r="F4564" i="5"/>
  <c r="F4563" i="5"/>
  <c r="F4562" i="5"/>
  <c r="F4561" i="5"/>
  <c r="F4554" i="5"/>
  <c r="F4553" i="5"/>
  <c r="F4552" i="5"/>
  <c r="F4551" i="5"/>
  <c r="F4550" i="5"/>
  <c r="F4549" i="5"/>
  <c r="F4548" i="5"/>
  <c r="F4547" i="5"/>
  <c r="F4546" i="5"/>
  <c r="F4545" i="5"/>
  <c r="F4540" i="5"/>
  <c r="F4539" i="5"/>
  <c r="F4538" i="5"/>
  <c r="F4537" i="5"/>
  <c r="F4536" i="5"/>
  <c r="F4535" i="5"/>
  <c r="F4534" i="5"/>
  <c r="F4533" i="5"/>
  <c r="F4532" i="5"/>
  <c r="F4531" i="5"/>
  <c r="F4530" i="5"/>
  <c r="F4529" i="5"/>
  <c r="F4528" i="5"/>
  <c r="F4527" i="5"/>
  <c r="F4526" i="5"/>
  <c r="F4525" i="5"/>
  <c r="E4475" i="5"/>
  <c r="B4475" i="5"/>
  <c r="A4475" i="5"/>
  <c r="F4517" i="5"/>
  <c r="F4516" i="5"/>
  <c r="F4515" i="5"/>
  <c r="F4514" i="5"/>
  <c r="F4513" i="5"/>
  <c r="F4506" i="5"/>
  <c r="F4505" i="5"/>
  <c r="F4504" i="5"/>
  <c r="F4503" i="5"/>
  <c r="F4502" i="5"/>
  <c r="F4501" i="5"/>
  <c r="F4500" i="5"/>
  <c r="F4499" i="5"/>
  <c r="F4498" i="5"/>
  <c r="F4497" i="5"/>
  <c r="F4492" i="5"/>
  <c r="F4491" i="5"/>
  <c r="F4490" i="5"/>
  <c r="F4489" i="5"/>
  <c r="F4488" i="5"/>
  <c r="F4487" i="5"/>
  <c r="F4486" i="5"/>
  <c r="F4485" i="5"/>
  <c r="F4484" i="5"/>
  <c r="F4483" i="5"/>
  <c r="F4482" i="5"/>
  <c r="F4481" i="5"/>
  <c r="F4480" i="5"/>
  <c r="F4479" i="5"/>
  <c r="F4478" i="5"/>
  <c r="F4477" i="5"/>
  <c r="F4555" i="5" l="1"/>
  <c r="F4651" i="5"/>
  <c r="F4637" i="5"/>
  <c r="F4541" i="5"/>
  <c r="F4507" i="5"/>
  <c r="F4493" i="5"/>
  <c r="J1094" i="7" l="1"/>
  <c r="C1094" i="7"/>
  <c r="A1094" i="7"/>
  <c r="M1094" i="7" s="1"/>
  <c r="A1089" i="7"/>
  <c r="C1088" i="7"/>
  <c r="F1041" i="5"/>
  <c r="F1022" i="5"/>
  <c r="F1021" i="5"/>
  <c r="E1019" i="5"/>
  <c r="B1019" i="5"/>
  <c r="F1061" i="5"/>
  <c r="F1060" i="5"/>
  <c r="F1059" i="5"/>
  <c r="F1058" i="5"/>
  <c r="F1057" i="5"/>
  <c r="F1050" i="5"/>
  <c r="F1049" i="5"/>
  <c r="F1048" i="5"/>
  <c r="F1047" i="5"/>
  <c r="F1046" i="5"/>
  <c r="F1045" i="5"/>
  <c r="F1044" i="5"/>
  <c r="F1043" i="5"/>
  <c r="F1042" i="5"/>
  <c r="F1036" i="5"/>
  <c r="F1035" i="5"/>
  <c r="F1034" i="5"/>
  <c r="F1033" i="5"/>
  <c r="F1032" i="5"/>
  <c r="F1031" i="5"/>
  <c r="F1030" i="5"/>
  <c r="F1029" i="5"/>
  <c r="F1028" i="5"/>
  <c r="F1027" i="5"/>
  <c r="F1026" i="5"/>
  <c r="F1025" i="5"/>
  <c r="F1024" i="5"/>
  <c r="F1023" i="5"/>
  <c r="F1051" i="5" l="1"/>
  <c r="N1094" i="7"/>
  <c r="K1094" i="7"/>
  <c r="L1094" i="7" s="1"/>
  <c r="F1037" i="5"/>
  <c r="D480" i="5" l="1"/>
  <c r="B480" i="5"/>
  <c r="E443" i="5"/>
  <c r="B443" i="5"/>
  <c r="A443" i="5"/>
  <c r="F485" i="5"/>
  <c r="F484" i="5"/>
  <c r="F483" i="5"/>
  <c r="F482" i="5"/>
  <c r="F481" i="5"/>
  <c r="F474" i="5"/>
  <c r="F473" i="5"/>
  <c r="F472" i="5"/>
  <c r="F471" i="5"/>
  <c r="F470" i="5"/>
  <c r="F469" i="5"/>
  <c r="F468" i="5"/>
  <c r="F467" i="5"/>
  <c r="F466" i="5"/>
  <c r="F465" i="5"/>
  <c r="F460" i="5"/>
  <c r="F459" i="5"/>
  <c r="F458" i="5"/>
  <c r="F457" i="5"/>
  <c r="F456" i="5"/>
  <c r="F455" i="5"/>
  <c r="F454" i="5"/>
  <c r="F453" i="5"/>
  <c r="F452" i="5"/>
  <c r="F451" i="5"/>
  <c r="F450" i="5"/>
  <c r="F449" i="5"/>
  <c r="F448" i="5"/>
  <c r="F447" i="5"/>
  <c r="F446" i="5"/>
  <c r="F445" i="5"/>
  <c r="F475" i="5" l="1"/>
  <c r="F461" i="5"/>
  <c r="D479" i="5"/>
  <c r="E299" i="5" l="1"/>
  <c r="B299" i="5"/>
  <c r="A299" i="5"/>
  <c r="E322" i="5"/>
  <c r="D322" i="5"/>
  <c r="B322" i="5"/>
  <c r="E321" i="5"/>
  <c r="D321" i="5"/>
  <c r="B321" i="5"/>
  <c r="J342" i="7"/>
  <c r="C342" i="7"/>
  <c r="A342" i="7"/>
  <c r="M342" i="7" s="1"/>
  <c r="A337" i="7"/>
  <c r="C336" i="7"/>
  <c r="E2941" i="5"/>
  <c r="N342" i="7" l="1"/>
  <c r="K342" i="7"/>
  <c r="L342" i="7" s="1"/>
  <c r="B34" i="5" l="1"/>
  <c r="B33" i="5"/>
  <c r="E34" i="5"/>
  <c r="F34" i="5" s="1"/>
  <c r="E33" i="5"/>
  <c r="F33" i="5" s="1"/>
  <c r="D34" i="5" l="1"/>
  <c r="D33" i="5"/>
  <c r="J560" i="7" l="1"/>
  <c r="C560" i="7"/>
  <c r="A560" i="7"/>
  <c r="K560" i="7" s="1"/>
  <c r="A555" i="7"/>
  <c r="C554" i="7"/>
  <c r="C3407" i="5"/>
  <c r="C3263" i="5"/>
  <c r="E491" i="5"/>
  <c r="B491" i="5"/>
  <c r="A491" i="5"/>
  <c r="F533" i="5"/>
  <c r="F532" i="5"/>
  <c r="F531" i="5"/>
  <c r="F530" i="5"/>
  <c r="F529" i="5"/>
  <c r="F528" i="5"/>
  <c r="A527" i="5"/>
  <c r="F522" i="5"/>
  <c r="F521" i="5"/>
  <c r="F520" i="5"/>
  <c r="F519" i="5"/>
  <c r="F518" i="5"/>
  <c r="F517" i="5"/>
  <c r="F516" i="5"/>
  <c r="F515" i="5"/>
  <c r="F514" i="5"/>
  <c r="F513" i="5"/>
  <c r="F508" i="5"/>
  <c r="F507" i="5"/>
  <c r="F506" i="5"/>
  <c r="F505" i="5"/>
  <c r="F504" i="5"/>
  <c r="F503" i="5"/>
  <c r="F502" i="5"/>
  <c r="F501" i="5"/>
  <c r="F500" i="5"/>
  <c r="F499" i="5"/>
  <c r="F498" i="5"/>
  <c r="F497" i="5"/>
  <c r="F496" i="5"/>
  <c r="F495" i="5"/>
  <c r="F494" i="5"/>
  <c r="F493" i="5"/>
  <c r="F509" i="5" l="1"/>
  <c r="M560" i="7"/>
  <c r="N560" i="7" s="1"/>
  <c r="L560" i="7"/>
  <c r="D527" i="5"/>
  <c r="F523" i="5"/>
  <c r="C718" i="7" l="1"/>
  <c r="A719" i="7"/>
  <c r="A724" i="7"/>
  <c r="M724" i="7" s="1"/>
  <c r="C724" i="7"/>
  <c r="J724" i="7"/>
  <c r="K724" i="7" l="1"/>
  <c r="L724" i="7" s="1"/>
  <c r="N724" i="7"/>
  <c r="E5823" i="5" l="1"/>
  <c r="J5448" i="7" l="1"/>
  <c r="C5448" i="7"/>
  <c r="A5448" i="7"/>
  <c r="C5856" i="5"/>
  <c r="D5855" i="5"/>
  <c r="A5856" i="5"/>
  <c r="D5856" i="5" s="1"/>
  <c r="E5842" i="5"/>
  <c r="C5842" i="5"/>
  <c r="A5842" i="5"/>
  <c r="D5842" i="5" s="1"/>
  <c r="E5841" i="5"/>
  <c r="C5841" i="5"/>
  <c r="A5841" i="5"/>
  <c r="B5841" i="5" s="1"/>
  <c r="E5824" i="5"/>
  <c r="F5824" i="5" s="1"/>
  <c r="A5824" i="5"/>
  <c r="D5823" i="5"/>
  <c r="E5822" i="5"/>
  <c r="C5822" i="5"/>
  <c r="A5822" i="5"/>
  <c r="D5822" i="5" s="1"/>
  <c r="E5821" i="5"/>
  <c r="C5821" i="5"/>
  <c r="A5821" i="5"/>
  <c r="D5821" i="5" s="1"/>
  <c r="B5819" i="5"/>
  <c r="A5819" i="5"/>
  <c r="A5903" i="5"/>
  <c r="A5890" i="5"/>
  <c r="D5890" i="5" s="1"/>
  <c r="A5889" i="5"/>
  <c r="D5889" i="5" s="1"/>
  <c r="E5890" i="5"/>
  <c r="E5889" i="5"/>
  <c r="E5869" i="5"/>
  <c r="A5872" i="5"/>
  <c r="D5872" i="5" s="1"/>
  <c r="C5904" i="5"/>
  <c r="C5890" i="5"/>
  <c r="C5889" i="5"/>
  <c r="C5870" i="5"/>
  <c r="C5869" i="5"/>
  <c r="E5872" i="5"/>
  <c r="A5869" i="5"/>
  <c r="F5861" i="5"/>
  <c r="F5860" i="5"/>
  <c r="F5859" i="5"/>
  <c r="F5858" i="5"/>
  <c r="F5857" i="5"/>
  <c r="F5850" i="5"/>
  <c r="F5849" i="5"/>
  <c r="F5848" i="5"/>
  <c r="F5847" i="5"/>
  <c r="F5846" i="5"/>
  <c r="F5845" i="5"/>
  <c r="F5844" i="5"/>
  <c r="F5843" i="5"/>
  <c r="F5836" i="5"/>
  <c r="F5835" i="5"/>
  <c r="F5834" i="5"/>
  <c r="F5833" i="5"/>
  <c r="F5832" i="5"/>
  <c r="F5831" i="5"/>
  <c r="F5830" i="5"/>
  <c r="F5829" i="5"/>
  <c r="F5828" i="5"/>
  <c r="F5827" i="5"/>
  <c r="F5826" i="5"/>
  <c r="F5825" i="5"/>
  <c r="F5823" i="5"/>
  <c r="E5819" i="5"/>
  <c r="J4749" i="7"/>
  <c r="C4749" i="7"/>
  <c r="A4749" i="7"/>
  <c r="K4749" i="7" s="1"/>
  <c r="E5073" i="5"/>
  <c r="F5073" i="5" s="1"/>
  <c r="E5025" i="5"/>
  <c r="E5051" i="5"/>
  <c r="B5051" i="5"/>
  <c r="A5051" i="5"/>
  <c r="F5093" i="5"/>
  <c r="F5092" i="5"/>
  <c r="F5091" i="5"/>
  <c r="F5090" i="5"/>
  <c r="F5089" i="5"/>
  <c r="F5088" i="5"/>
  <c r="A5087" i="5"/>
  <c r="F5082" i="5"/>
  <c r="F5081" i="5"/>
  <c r="F5080" i="5"/>
  <c r="F5079" i="5"/>
  <c r="F5078" i="5"/>
  <c r="F5077" i="5"/>
  <c r="F5076" i="5"/>
  <c r="F5075" i="5"/>
  <c r="F5074" i="5"/>
  <c r="A5073" i="5"/>
  <c r="F5068" i="5"/>
  <c r="F5067" i="5"/>
  <c r="F5066" i="5"/>
  <c r="F5065" i="5"/>
  <c r="F5064" i="5"/>
  <c r="F5063" i="5"/>
  <c r="F5062" i="5"/>
  <c r="F5061" i="5"/>
  <c r="F5060" i="5"/>
  <c r="F5059" i="5"/>
  <c r="F5058" i="5"/>
  <c r="E5057" i="5"/>
  <c r="C5057" i="5"/>
  <c r="A5057" i="5"/>
  <c r="E5056" i="5"/>
  <c r="C5056" i="5"/>
  <c r="A5056" i="5"/>
  <c r="E5055" i="5"/>
  <c r="C5055" i="5"/>
  <c r="A5055" i="5"/>
  <c r="F5054" i="5"/>
  <c r="E5053" i="5"/>
  <c r="C5053" i="5"/>
  <c r="A5053" i="5"/>
  <c r="F5056" i="5" l="1"/>
  <c r="B5872" i="5"/>
  <c r="B5889" i="5"/>
  <c r="B5821" i="5"/>
  <c r="B5822" i="5"/>
  <c r="F5822" i="5"/>
  <c r="F5842" i="5"/>
  <c r="D5056" i="5"/>
  <c r="D5841" i="5"/>
  <c r="D5053" i="5"/>
  <c r="D5073" i="5"/>
  <c r="F5053" i="5"/>
  <c r="F5055" i="5"/>
  <c r="F5821" i="5"/>
  <c r="B5842" i="5"/>
  <c r="M4749" i="7"/>
  <c r="N4749" i="7" s="1"/>
  <c r="F5841" i="5"/>
  <c r="B5823" i="5"/>
  <c r="B5824" i="5"/>
  <c r="D5824" i="5"/>
  <c r="B5890" i="5"/>
  <c r="B5053" i="5"/>
  <c r="B5056" i="5"/>
  <c r="D5054" i="5"/>
  <c r="B5073" i="5"/>
  <c r="L4749" i="7"/>
  <c r="F5083" i="5"/>
  <c r="D5055" i="5"/>
  <c r="B5057" i="5"/>
  <c r="F5057" i="5"/>
  <c r="D5087" i="5"/>
  <c r="B5054" i="5"/>
  <c r="B5055" i="5"/>
  <c r="D5057" i="5"/>
  <c r="F5837" i="5" l="1"/>
  <c r="F5851" i="5"/>
  <c r="F5069" i="5"/>
  <c r="B4353" i="5" l="1"/>
  <c r="E4353" i="5"/>
  <c r="D4353" i="5" l="1"/>
  <c r="E2943" i="5"/>
  <c r="A2943" i="5"/>
  <c r="E2895" i="5"/>
  <c r="E2606" i="5"/>
  <c r="E3133" i="5"/>
  <c r="D47" i="5"/>
  <c r="E61" i="5" l="1"/>
  <c r="F61" i="5" l="1"/>
  <c r="C5790" i="5" l="1"/>
  <c r="C5454" i="5"/>
  <c r="C5118" i="5"/>
  <c r="C4734" i="5"/>
  <c r="F4734" i="5" s="1"/>
  <c r="C4494" i="5"/>
  <c r="C4110" i="5"/>
  <c r="C3726" i="5"/>
  <c r="C3342" i="5"/>
  <c r="C2958" i="5"/>
  <c r="C2670" i="5"/>
  <c r="C2334" i="5"/>
  <c r="C1662" i="5"/>
  <c r="C1278" i="5"/>
  <c r="C798" i="5"/>
  <c r="C558" i="5"/>
  <c r="C318" i="5"/>
  <c r="C5742" i="5"/>
  <c r="C5406" i="5"/>
  <c r="C5070" i="5"/>
  <c r="F5070" i="5" s="1"/>
  <c r="C4062" i="5"/>
  <c r="F4062" i="5" s="1"/>
  <c r="C3678" i="5"/>
  <c r="F3678" i="5" s="1"/>
  <c r="C3294" i="5"/>
  <c r="C2910" i="5"/>
  <c r="C1614" i="5"/>
  <c r="C1230" i="5"/>
  <c r="C1038" i="5"/>
  <c r="C510" i="5"/>
  <c r="F510" i="5" s="1"/>
  <c r="C414" i="5"/>
  <c r="C270" i="5"/>
  <c r="C5598" i="5"/>
  <c r="C5358" i="5"/>
  <c r="C5022" i="5"/>
  <c r="C4686" i="5"/>
  <c r="C4014" i="5"/>
  <c r="F4014" i="5" s="1"/>
  <c r="C3630" i="5"/>
  <c r="C3246" i="5"/>
  <c r="C2862" i="5"/>
  <c r="C2622" i="5"/>
  <c r="C1950" i="5"/>
  <c r="C1566" i="5"/>
  <c r="C1182" i="5"/>
  <c r="C366" i="5"/>
  <c r="C78" i="5"/>
  <c r="C5310" i="5"/>
  <c r="C4974" i="5"/>
  <c r="C4638" i="5"/>
  <c r="F4638" i="5" s="1"/>
  <c r="C4398" i="5"/>
  <c r="C3966" i="5"/>
  <c r="C3582" i="5"/>
  <c r="F3582" i="5" s="1"/>
  <c r="C3198" i="5"/>
  <c r="C2574" i="5"/>
  <c r="C2286" i="5"/>
  <c r="C1902" i="5"/>
  <c r="C1518" i="5"/>
  <c r="C1134" i="5"/>
  <c r="C702" i="5"/>
  <c r="C30" i="5"/>
  <c r="C5262" i="5"/>
  <c r="C4926" i="5"/>
  <c r="C4590" i="5"/>
  <c r="C4350" i="5"/>
  <c r="C3918" i="5"/>
  <c r="C3534" i="5"/>
  <c r="C5886" i="5"/>
  <c r="C4878" i="5"/>
  <c r="C4158" i="5"/>
  <c r="C3102" i="5"/>
  <c r="C2478" i="5"/>
  <c r="C1806" i="5"/>
  <c r="C606" i="5"/>
  <c r="C4782" i="5"/>
  <c r="C3822" i="5"/>
  <c r="C3006" i="5"/>
  <c r="C1710" i="5"/>
  <c r="C5550" i="5"/>
  <c r="C3774" i="5"/>
  <c r="C2238" i="5"/>
  <c r="C990" i="5"/>
  <c r="C1326" i="5"/>
  <c r="C5934" i="5"/>
  <c r="C5166" i="5"/>
  <c r="C4206" i="5"/>
  <c r="F4206" i="5" s="1"/>
  <c r="C3150" i="5"/>
  <c r="C2526" i="5"/>
  <c r="C5838" i="5"/>
  <c r="C4830" i="5"/>
  <c r="C3870" i="5"/>
  <c r="C3054" i="5"/>
  <c r="C2430" i="5"/>
  <c r="C1758" i="5"/>
  <c r="C2382" i="5"/>
  <c r="C1086" i="5"/>
  <c r="F1086" i="5" s="1"/>
  <c r="C1470" i="5"/>
  <c r="C5214" i="5"/>
  <c r="F5214" i="5" s="1"/>
  <c r="C3438" i="5"/>
  <c r="C2766" i="5"/>
  <c r="C2142" i="5"/>
  <c r="C1374" i="5"/>
  <c r="C894" i="5"/>
  <c r="C462" i="5"/>
  <c r="F462" i="5" s="1"/>
  <c r="C5502" i="5"/>
  <c r="C4542" i="5"/>
  <c r="F4542" i="5" s="1"/>
  <c r="C3486" i="5"/>
  <c r="C2814" i="5"/>
  <c r="C2190" i="5"/>
  <c r="C1422" i="5"/>
  <c r="C942" i="5"/>
  <c r="C4302" i="5"/>
  <c r="C3390" i="5"/>
  <c r="C2718" i="5"/>
  <c r="C2094" i="5"/>
  <c r="C846" i="5"/>
  <c r="C1854" i="5"/>
  <c r="C654" i="5"/>
  <c r="C2396" i="5"/>
  <c r="C2408" i="5"/>
  <c r="C5624" i="5"/>
  <c r="C5612" i="5"/>
  <c r="C5756" i="5"/>
  <c r="F5756" i="5" s="1"/>
  <c r="C5816" i="5"/>
  <c r="C5804" i="5"/>
  <c r="F5804" i="5" s="1"/>
  <c r="C5768" i="5"/>
  <c r="C4760" i="5"/>
  <c r="C4748" i="5"/>
  <c r="C3596" i="5"/>
  <c r="F3596" i="5" s="1"/>
  <c r="C3608" i="5"/>
  <c r="C1916" i="5"/>
  <c r="C1928" i="5"/>
  <c r="C1880" i="5"/>
  <c r="C1868" i="5"/>
  <c r="C968" i="5"/>
  <c r="C956" i="5"/>
  <c r="F956" i="5" s="1"/>
  <c r="C920" i="5"/>
  <c r="C908" i="5"/>
  <c r="F908" i="5" s="1"/>
  <c r="C872" i="5"/>
  <c r="C860" i="5"/>
  <c r="F860" i="5" s="1"/>
  <c r="C812" i="5"/>
  <c r="F812" i="5" s="1"/>
  <c r="C824" i="5"/>
  <c r="C1256" i="5"/>
  <c r="C1244" i="5"/>
  <c r="F1244" i="5" s="1"/>
  <c r="C4040" i="5"/>
  <c r="C4028" i="5"/>
  <c r="F4028" i="5" s="1"/>
  <c r="C3980" i="5"/>
  <c r="F3980" i="5" s="1"/>
  <c r="C3992" i="5"/>
  <c r="C3896" i="5"/>
  <c r="C3884" i="5"/>
  <c r="F3884" i="5" s="1"/>
  <c r="C3848" i="5"/>
  <c r="C3836" i="5"/>
  <c r="F3836" i="5" s="1"/>
  <c r="C3788" i="5"/>
  <c r="F3788" i="5" s="1"/>
  <c r="C3800" i="5"/>
  <c r="C5432" i="5"/>
  <c r="C5420" i="5"/>
  <c r="F5420" i="5" s="1"/>
  <c r="C1640" i="5"/>
  <c r="C1628" i="5"/>
  <c r="F1628" i="5" s="1"/>
  <c r="C1208" i="5"/>
  <c r="C1196" i="5"/>
  <c r="F1196" i="5" s="1"/>
  <c r="C1112" i="5"/>
  <c r="C1100" i="5"/>
  <c r="F1100" i="5" s="1"/>
  <c r="C1544" i="5"/>
  <c r="C1532" i="5"/>
  <c r="F1532" i="5" s="1"/>
  <c r="C3740" i="5"/>
  <c r="F3740" i="5" s="1"/>
  <c r="C3752" i="5"/>
  <c r="C2780" i="5"/>
  <c r="F2780" i="5" s="1"/>
  <c r="C2792" i="5"/>
  <c r="C2552" i="5"/>
  <c r="C2540" i="5"/>
  <c r="F2540" i="5" s="1"/>
  <c r="C2312" i="5"/>
  <c r="C2300" i="5"/>
  <c r="F2300" i="5" s="1"/>
  <c r="C2264" i="5"/>
  <c r="C2252" i="5"/>
  <c r="F2252" i="5" s="1"/>
  <c r="C2840" i="5"/>
  <c r="C2828" i="5"/>
  <c r="F2828" i="5" s="1"/>
  <c r="C5480" i="5"/>
  <c r="C5468" i="5"/>
  <c r="F5468" i="5" s="1"/>
  <c r="C5240" i="5"/>
  <c r="C5228" i="5"/>
  <c r="F5228" i="5" s="1"/>
  <c r="C4328" i="5"/>
  <c r="C4316" i="5"/>
  <c r="F4316" i="5" s="1"/>
  <c r="C4220" i="5"/>
  <c r="F4220" i="5" s="1"/>
  <c r="C4232" i="5"/>
  <c r="C4088" i="5"/>
  <c r="C4076" i="5"/>
  <c r="C3704" i="5"/>
  <c r="C3692" i="5"/>
  <c r="F3692" i="5" s="1"/>
  <c r="C4664" i="5"/>
  <c r="C4652" i="5"/>
  <c r="C4568" i="5"/>
  <c r="C4556" i="5"/>
  <c r="F4556" i="5" s="1"/>
  <c r="C4520" i="5"/>
  <c r="C4508" i="5"/>
  <c r="F4508" i="5" s="1"/>
  <c r="C1064" i="5"/>
  <c r="C1052" i="5"/>
  <c r="F1052" i="5" s="1"/>
  <c r="C488" i="5"/>
  <c r="C476" i="5"/>
  <c r="C536" i="5"/>
  <c r="C524" i="5"/>
  <c r="F524" i="5" s="1"/>
  <c r="C5864" i="5"/>
  <c r="C5852" i="5"/>
  <c r="F5852" i="5" s="1"/>
  <c r="C5096" i="5"/>
  <c r="C5084" i="5"/>
  <c r="F5084" i="5" s="1"/>
  <c r="F5598" i="5" l="1"/>
  <c r="F798" i="5"/>
  <c r="F799" i="5" s="1"/>
  <c r="F38" i="1" s="1"/>
  <c r="F2526" i="5"/>
  <c r="F2766" i="5"/>
  <c r="F3774" i="5"/>
  <c r="F5406" i="5"/>
  <c r="F2382" i="5"/>
  <c r="F3870" i="5"/>
  <c r="F894" i="5"/>
  <c r="F1854" i="5"/>
  <c r="F2238" i="5"/>
  <c r="F1902" i="5"/>
  <c r="F1614" i="5"/>
  <c r="F3597" i="5"/>
  <c r="G110" i="1" s="1"/>
  <c r="F3583" i="5"/>
  <c r="F2396" i="5"/>
  <c r="F4748" i="5"/>
  <c r="F5612" i="5"/>
  <c r="F1916" i="5"/>
  <c r="F4735" i="5"/>
  <c r="F144" i="1" s="1"/>
  <c r="F5742" i="5"/>
  <c r="F5805" i="5"/>
  <c r="G169" i="1" s="1"/>
  <c r="F5790" i="5"/>
  <c r="F5757" i="5"/>
  <c r="G168" i="1" s="1"/>
  <c r="F957" i="5"/>
  <c r="F942" i="5"/>
  <c r="F909" i="5"/>
  <c r="F861" i="5"/>
  <c r="F846" i="5"/>
  <c r="F813" i="5"/>
  <c r="G38" i="1" s="1"/>
  <c r="F1245" i="5"/>
  <c r="F1230" i="5"/>
  <c r="F4029" i="5"/>
  <c r="F4015" i="5"/>
  <c r="F3981" i="5"/>
  <c r="F3966" i="5"/>
  <c r="F3885" i="5"/>
  <c r="F3822" i="5"/>
  <c r="F3837" i="5"/>
  <c r="F3789" i="5"/>
  <c r="F5421" i="5"/>
  <c r="G161" i="1" s="1"/>
  <c r="F1629" i="5"/>
  <c r="F1197" i="5"/>
  <c r="F1182" i="5"/>
  <c r="F1101" i="5"/>
  <c r="F1087" i="5"/>
  <c r="F1533" i="5"/>
  <c r="F1518" i="5"/>
  <c r="F3741" i="5"/>
  <c r="F3726" i="5"/>
  <c r="F2781" i="5"/>
  <c r="F2541" i="5"/>
  <c r="F2301" i="5"/>
  <c r="F2286" i="5"/>
  <c r="F2253" i="5"/>
  <c r="F2829" i="5"/>
  <c r="F2814" i="5"/>
  <c r="F5469" i="5"/>
  <c r="G162" i="1" s="1"/>
  <c r="F5454" i="5"/>
  <c r="F5229" i="5"/>
  <c r="G157" i="1" s="1"/>
  <c r="F5215" i="5"/>
  <c r="F4317" i="5"/>
  <c r="F4302" i="5"/>
  <c r="F4221" i="5"/>
  <c r="F4207" i="5"/>
  <c r="F4076" i="5"/>
  <c r="F4063" i="5"/>
  <c r="F3693" i="5"/>
  <c r="F3679" i="5"/>
  <c r="F4652" i="5"/>
  <c r="F4639" i="5"/>
  <c r="F4557" i="5"/>
  <c r="F4543" i="5"/>
  <c r="F4509" i="5"/>
  <c r="F4494" i="5"/>
  <c r="F1053" i="5"/>
  <c r="F1038" i="5"/>
  <c r="F476" i="5"/>
  <c r="F463" i="5"/>
  <c r="F525" i="5"/>
  <c r="F511" i="5"/>
  <c r="F5853" i="5"/>
  <c r="G170" i="1" s="1"/>
  <c r="F5838" i="5"/>
  <c r="F5085" i="5"/>
  <c r="F5071" i="5"/>
  <c r="F5599" i="5" l="1"/>
  <c r="F165" i="1" s="1"/>
  <c r="F895" i="5"/>
  <c r="F40" i="1" s="1"/>
  <c r="F2239" i="5"/>
  <c r="F75" i="1" s="1"/>
  <c r="F2767" i="5"/>
  <c r="F88" i="1" s="1"/>
  <c r="F2527" i="5"/>
  <c r="F82" i="1" s="1"/>
  <c r="I38" i="1"/>
  <c r="F5407" i="5"/>
  <c r="F161" i="1" s="1"/>
  <c r="J170" i="1"/>
  <c r="J38" i="1"/>
  <c r="J168" i="1"/>
  <c r="F2383" i="5"/>
  <c r="F78" i="1" s="1"/>
  <c r="F3775" i="5"/>
  <c r="F117" i="1" s="1"/>
  <c r="J110" i="1"/>
  <c r="F3871" i="5"/>
  <c r="F119" i="1" s="1"/>
  <c r="F1855" i="5"/>
  <c r="F66" i="1" s="1"/>
  <c r="F1903" i="5"/>
  <c r="F67" i="1" s="1"/>
  <c r="F157" i="1"/>
  <c r="F1615" i="5"/>
  <c r="F60" i="1" s="1"/>
  <c r="F4749" i="5"/>
  <c r="F110" i="1"/>
  <c r="F2397" i="5"/>
  <c r="F5613" i="5"/>
  <c r="F1917" i="5"/>
  <c r="G67" i="1" s="1"/>
  <c r="F5791" i="5"/>
  <c r="F5743" i="5"/>
  <c r="J157" i="1"/>
  <c r="J161" i="1"/>
  <c r="J162" i="1"/>
  <c r="G60" i="1"/>
  <c r="G41" i="1"/>
  <c r="F943" i="5"/>
  <c r="G40" i="1"/>
  <c r="G39" i="1"/>
  <c r="F847" i="5"/>
  <c r="G52" i="1"/>
  <c r="F1231" i="5"/>
  <c r="F122" i="1"/>
  <c r="G121" i="1"/>
  <c r="G122" i="1"/>
  <c r="F3967" i="5"/>
  <c r="G118" i="1"/>
  <c r="G119" i="1"/>
  <c r="G117" i="1"/>
  <c r="F3823" i="5"/>
  <c r="G51" i="1"/>
  <c r="G48" i="1"/>
  <c r="F48" i="1"/>
  <c r="F1183" i="5"/>
  <c r="G58" i="1"/>
  <c r="F1519" i="5"/>
  <c r="G116" i="1"/>
  <c r="F3727" i="5"/>
  <c r="G88" i="1"/>
  <c r="G82" i="1"/>
  <c r="F2287" i="5"/>
  <c r="G76" i="1"/>
  <c r="G75" i="1"/>
  <c r="G90" i="1"/>
  <c r="F2815" i="5"/>
  <c r="F5455" i="5"/>
  <c r="G129" i="1"/>
  <c r="G131" i="1"/>
  <c r="F129" i="1"/>
  <c r="F4303" i="5"/>
  <c r="F123" i="1"/>
  <c r="F4077" i="5"/>
  <c r="G115" i="1"/>
  <c r="F115" i="1"/>
  <c r="F142" i="1"/>
  <c r="G140" i="1"/>
  <c r="G139" i="1"/>
  <c r="F140" i="1"/>
  <c r="F4653" i="5"/>
  <c r="F4495" i="5"/>
  <c r="G47" i="1"/>
  <c r="F1039" i="5"/>
  <c r="F29" i="1"/>
  <c r="F477" i="5"/>
  <c r="F30" i="1"/>
  <c r="G30" i="1"/>
  <c r="F151" i="1"/>
  <c r="G151" i="1"/>
  <c r="F5839" i="5"/>
  <c r="I165" i="1" l="1"/>
  <c r="J40" i="1"/>
  <c r="I88" i="1"/>
  <c r="J122" i="1"/>
  <c r="I40" i="1"/>
  <c r="J88" i="1"/>
  <c r="J151" i="1"/>
  <c r="J139" i="1"/>
  <c r="I151" i="1"/>
  <c r="I129" i="1"/>
  <c r="J116" i="1"/>
  <c r="J41" i="1"/>
  <c r="J60" i="1"/>
  <c r="I60" i="1"/>
  <c r="I142" i="1"/>
  <c r="J129" i="1"/>
  <c r="J117" i="1"/>
  <c r="J52" i="1"/>
  <c r="I157" i="1"/>
  <c r="I161" i="1"/>
  <c r="I30" i="1"/>
  <c r="J131" i="1"/>
  <c r="J30" i="1"/>
  <c r="I75" i="1"/>
  <c r="J119" i="1"/>
  <c r="J76" i="1"/>
  <c r="I29" i="1"/>
  <c r="J115" i="1"/>
  <c r="J75" i="1"/>
  <c r="J118" i="1"/>
  <c r="J39" i="1"/>
  <c r="F162" i="1"/>
  <c r="F169" i="1"/>
  <c r="F168" i="1"/>
  <c r="F170" i="1"/>
  <c r="G165" i="1"/>
  <c r="I67" i="1"/>
  <c r="G144" i="1"/>
  <c r="I110" i="1"/>
  <c r="G78" i="1"/>
  <c r="J67" i="1"/>
  <c r="I119" i="1"/>
  <c r="I122" i="1"/>
  <c r="I123" i="1"/>
  <c r="I117" i="1"/>
  <c r="I115" i="1"/>
  <c r="J121" i="1"/>
  <c r="J58" i="1"/>
  <c r="F41" i="1"/>
  <c r="F39" i="1"/>
  <c r="F52" i="1"/>
  <c r="F121" i="1"/>
  <c r="F118" i="1"/>
  <c r="F51" i="1"/>
  <c r="F58" i="1"/>
  <c r="F116" i="1"/>
  <c r="F76" i="1"/>
  <c r="F90" i="1"/>
  <c r="F131" i="1"/>
  <c r="G123" i="1"/>
  <c r="G142" i="1"/>
  <c r="F139" i="1"/>
  <c r="F47" i="1"/>
  <c r="G29" i="1"/>
  <c r="I52" i="1" l="1"/>
  <c r="I76" i="1"/>
  <c r="I39" i="1"/>
  <c r="I139" i="1"/>
  <c r="I41" i="1"/>
  <c r="J142" i="1"/>
  <c r="I58" i="1"/>
  <c r="J29" i="1"/>
  <c r="I162" i="1"/>
  <c r="I131" i="1"/>
  <c r="I170" i="1"/>
  <c r="I168" i="1"/>
  <c r="J165" i="1"/>
  <c r="I116" i="1"/>
  <c r="I121" i="1"/>
  <c r="I118" i="1"/>
  <c r="J123" i="1"/>
  <c r="E4093" i="5" l="1"/>
  <c r="F4093" i="5" s="1"/>
  <c r="D3215" i="5"/>
  <c r="E1268" i="5"/>
  <c r="F1268" i="5" s="1"/>
  <c r="A2482" i="5"/>
  <c r="A1151" i="5"/>
  <c r="D1151" i="5" s="1"/>
  <c r="E3901" i="5"/>
  <c r="F3901" i="5" s="1"/>
  <c r="E3616" i="5"/>
  <c r="F3616" i="5" s="1"/>
  <c r="F5957" i="5"/>
  <c r="F5956" i="5"/>
  <c r="F5955" i="5"/>
  <c r="F5954" i="5"/>
  <c r="F5953" i="5"/>
  <c r="F5946" i="5"/>
  <c r="F5945" i="5"/>
  <c r="F5944" i="5"/>
  <c r="F5943" i="5"/>
  <c r="F5942" i="5"/>
  <c r="F5941" i="5"/>
  <c r="F5940" i="5"/>
  <c r="F5939" i="5"/>
  <c r="F5938" i="5"/>
  <c r="F5932" i="5"/>
  <c r="F5931" i="5"/>
  <c r="F5930" i="5"/>
  <c r="F5929" i="5"/>
  <c r="F5928" i="5"/>
  <c r="F5927" i="5"/>
  <c r="F5926" i="5"/>
  <c r="F5925" i="5"/>
  <c r="F5924" i="5"/>
  <c r="F5923" i="5"/>
  <c r="F5909" i="5"/>
  <c r="F5908" i="5"/>
  <c r="F5907" i="5"/>
  <c r="F5906" i="5"/>
  <c r="F5905" i="5"/>
  <c r="F5898" i="5"/>
  <c r="F5897" i="5"/>
  <c r="F5896" i="5"/>
  <c r="F5895" i="5"/>
  <c r="F5894" i="5"/>
  <c r="F5893" i="5"/>
  <c r="F5892" i="5"/>
  <c r="F5891" i="5"/>
  <c r="F5890" i="5"/>
  <c r="F5889" i="5"/>
  <c r="F5884" i="5"/>
  <c r="F5883" i="5"/>
  <c r="F5882" i="5"/>
  <c r="F5881" i="5"/>
  <c r="F5880" i="5"/>
  <c r="F5879" i="5"/>
  <c r="F5878" i="5"/>
  <c r="F5877" i="5"/>
  <c r="F5876" i="5"/>
  <c r="F5875" i="5"/>
  <c r="F5874" i="5"/>
  <c r="F5873" i="5"/>
  <c r="F5872" i="5"/>
  <c r="F5573" i="5"/>
  <c r="F5572" i="5"/>
  <c r="F5571" i="5"/>
  <c r="F5570" i="5"/>
  <c r="F5569" i="5"/>
  <c r="F5568" i="5"/>
  <c r="F5562" i="5"/>
  <c r="F5561" i="5"/>
  <c r="F5560" i="5"/>
  <c r="F5559" i="5"/>
  <c r="F5558" i="5"/>
  <c r="F5557" i="5"/>
  <c r="F5556" i="5"/>
  <c r="F5555" i="5"/>
  <c r="F5554" i="5"/>
  <c r="F5553" i="5"/>
  <c r="F5548" i="5"/>
  <c r="F5547" i="5"/>
  <c r="F5546" i="5"/>
  <c r="F5545" i="5"/>
  <c r="F5544" i="5"/>
  <c r="F5543" i="5"/>
  <c r="F5542" i="5"/>
  <c r="F5541" i="5"/>
  <c r="F5540" i="5"/>
  <c r="F5539" i="5"/>
  <c r="F5538" i="5"/>
  <c r="F5537" i="5"/>
  <c r="F5536" i="5"/>
  <c r="F5535" i="5"/>
  <c r="F5534" i="5"/>
  <c r="F5533" i="5"/>
  <c r="F5525" i="5"/>
  <c r="F5524" i="5"/>
  <c r="F5523" i="5"/>
  <c r="F5522" i="5"/>
  <c r="F5521" i="5"/>
  <c r="F5520" i="5"/>
  <c r="F5519" i="5"/>
  <c r="F5514" i="5"/>
  <c r="F5513" i="5"/>
  <c r="F5512" i="5"/>
  <c r="F5511" i="5"/>
  <c r="F5510" i="5"/>
  <c r="F5509" i="5"/>
  <c r="F5508" i="5"/>
  <c r="F5507" i="5"/>
  <c r="F5506" i="5"/>
  <c r="F5500" i="5"/>
  <c r="F5499" i="5"/>
  <c r="F5498" i="5"/>
  <c r="F5497" i="5"/>
  <c r="F5496" i="5"/>
  <c r="F5495" i="5"/>
  <c r="F5494" i="5"/>
  <c r="F5493" i="5"/>
  <c r="F5492" i="5"/>
  <c r="F5491" i="5"/>
  <c r="F5490" i="5"/>
  <c r="F5489" i="5"/>
  <c r="F5488" i="5"/>
  <c r="F5487" i="5"/>
  <c r="F5486" i="5"/>
  <c r="F5485" i="5"/>
  <c r="F5381" i="5"/>
  <c r="F5380" i="5"/>
  <c r="F5379" i="5"/>
  <c r="F5378" i="5"/>
  <c r="F5377" i="5"/>
  <c r="F5370" i="5"/>
  <c r="F5369" i="5"/>
  <c r="F5368" i="5"/>
  <c r="F5367" i="5"/>
  <c r="F5366" i="5"/>
  <c r="F5365" i="5"/>
  <c r="F5364" i="5"/>
  <c r="F5363" i="5"/>
  <c r="F5362" i="5"/>
  <c r="F5361" i="5"/>
  <c r="F5356" i="5"/>
  <c r="F5355" i="5"/>
  <c r="F5354" i="5"/>
  <c r="F5353" i="5"/>
  <c r="F5352" i="5"/>
  <c r="F5351" i="5"/>
  <c r="F5350" i="5"/>
  <c r="F5349" i="5"/>
  <c r="F5348" i="5"/>
  <c r="F5347" i="5"/>
  <c r="F5346" i="5"/>
  <c r="F5345" i="5"/>
  <c r="F5344" i="5"/>
  <c r="F5333" i="5"/>
  <c r="F5332" i="5"/>
  <c r="F5331" i="5"/>
  <c r="F5330" i="5"/>
  <c r="F5329" i="5"/>
  <c r="F5322" i="5"/>
  <c r="F5321" i="5"/>
  <c r="F5320" i="5"/>
  <c r="F5319" i="5"/>
  <c r="F5318" i="5"/>
  <c r="F5317" i="5"/>
  <c r="F5316" i="5"/>
  <c r="F5315" i="5"/>
  <c r="F5314" i="5"/>
  <c r="F5313" i="5"/>
  <c r="F5308" i="5"/>
  <c r="F5307" i="5"/>
  <c r="F5306" i="5"/>
  <c r="F5305" i="5"/>
  <c r="F5304" i="5"/>
  <c r="F5303" i="5"/>
  <c r="F5302" i="5"/>
  <c r="F5301" i="5"/>
  <c r="F5300" i="5"/>
  <c r="F5299" i="5"/>
  <c r="F5298" i="5"/>
  <c r="F5297" i="5"/>
  <c r="F5285" i="5"/>
  <c r="F5284" i="5"/>
  <c r="F5283" i="5"/>
  <c r="F5282" i="5"/>
  <c r="F5281" i="5"/>
  <c r="F5274" i="5"/>
  <c r="F5273" i="5"/>
  <c r="F5272" i="5"/>
  <c r="F5271" i="5"/>
  <c r="F5270" i="5"/>
  <c r="F5269" i="5"/>
  <c r="F5268" i="5"/>
  <c r="F5267" i="5"/>
  <c r="F5266" i="5"/>
  <c r="F5265" i="5"/>
  <c r="F5260" i="5"/>
  <c r="F5259" i="5"/>
  <c r="F5258" i="5"/>
  <c r="F5257" i="5"/>
  <c r="F5256" i="5"/>
  <c r="F5255" i="5"/>
  <c r="F5254" i="5"/>
  <c r="F5253" i="5"/>
  <c r="F5252" i="5"/>
  <c r="F5251" i="5"/>
  <c r="F5250" i="5"/>
  <c r="F5249" i="5"/>
  <c r="F5189" i="5"/>
  <c r="F5188" i="5"/>
  <c r="F5187" i="5"/>
  <c r="F5186" i="5"/>
  <c r="F5185" i="5"/>
  <c r="F5184" i="5"/>
  <c r="F5178" i="5"/>
  <c r="F5177" i="5"/>
  <c r="F5176" i="5"/>
  <c r="F5175" i="5"/>
  <c r="F5174" i="5"/>
  <c r="F5173" i="5"/>
  <c r="F5172" i="5"/>
  <c r="F5171" i="5"/>
  <c r="F5170" i="5"/>
  <c r="F5169" i="5"/>
  <c r="F5164" i="5"/>
  <c r="F5163" i="5"/>
  <c r="F5162" i="5"/>
  <c r="F5161" i="5"/>
  <c r="F5160" i="5"/>
  <c r="F5159" i="5"/>
  <c r="F5158" i="5"/>
  <c r="F5157" i="5"/>
  <c r="F5156" i="5"/>
  <c r="F5155" i="5"/>
  <c r="F5154" i="5"/>
  <c r="F5153" i="5"/>
  <c r="F5152" i="5"/>
  <c r="F5151" i="5"/>
  <c r="F5141" i="5"/>
  <c r="F5140" i="5"/>
  <c r="F5139" i="5"/>
  <c r="F5138" i="5"/>
  <c r="F5137" i="5"/>
  <c r="F5130" i="5"/>
  <c r="F5129" i="5"/>
  <c r="F5128" i="5"/>
  <c r="F5127" i="5"/>
  <c r="F5126" i="5"/>
  <c r="F5125" i="5"/>
  <c r="F5124" i="5"/>
  <c r="F5123" i="5"/>
  <c r="F5122" i="5"/>
  <c r="F5121" i="5"/>
  <c r="F5116" i="5"/>
  <c r="F5115" i="5"/>
  <c r="F5114" i="5"/>
  <c r="F5113" i="5"/>
  <c r="F5112" i="5"/>
  <c r="F5111" i="5"/>
  <c r="F5110" i="5"/>
  <c r="F5109" i="5"/>
  <c r="F5108" i="5"/>
  <c r="F5107" i="5"/>
  <c r="F5106" i="5"/>
  <c r="F5105" i="5"/>
  <c r="F5104" i="5"/>
  <c r="F5103" i="5"/>
  <c r="F5102" i="5"/>
  <c r="F5045" i="5"/>
  <c r="F5044" i="5"/>
  <c r="F5043" i="5"/>
  <c r="F5042" i="5"/>
  <c r="F5041" i="5"/>
  <c r="F5040" i="5"/>
  <c r="F5034" i="5"/>
  <c r="F5033" i="5"/>
  <c r="F5032" i="5"/>
  <c r="F5031" i="5"/>
  <c r="F5030" i="5"/>
  <c r="F5029" i="5"/>
  <c r="F5028" i="5"/>
  <c r="F5027" i="5"/>
  <c r="F5026" i="5"/>
  <c r="F5020" i="5"/>
  <c r="F5019" i="5"/>
  <c r="F5018" i="5"/>
  <c r="F5017" i="5"/>
  <c r="F5016" i="5"/>
  <c r="F5015" i="5"/>
  <c r="F5014" i="5"/>
  <c r="F5013" i="5"/>
  <c r="F5012" i="5"/>
  <c r="F5011" i="5"/>
  <c r="F5010" i="5"/>
  <c r="F4997" i="5"/>
  <c r="F4996" i="5"/>
  <c r="F4995" i="5"/>
  <c r="F4994" i="5"/>
  <c r="F4993" i="5"/>
  <c r="F4986" i="5"/>
  <c r="F4985" i="5"/>
  <c r="F4984" i="5"/>
  <c r="F4983" i="5"/>
  <c r="F4982" i="5"/>
  <c r="F4981" i="5"/>
  <c r="F4980" i="5"/>
  <c r="F4979" i="5"/>
  <c r="F4978" i="5"/>
  <c r="F4977" i="5"/>
  <c r="F4972" i="5"/>
  <c r="F4971" i="5"/>
  <c r="F4970" i="5"/>
  <c r="F4969" i="5"/>
  <c r="F4968" i="5"/>
  <c r="F4967" i="5"/>
  <c r="F4966" i="5"/>
  <c r="F4965" i="5"/>
  <c r="F4964" i="5"/>
  <c r="F4963" i="5"/>
  <c r="F4962" i="5"/>
  <c r="F4961" i="5"/>
  <c r="F4960" i="5"/>
  <c r="F4959" i="5"/>
  <c r="F4949" i="5"/>
  <c r="F4948" i="5"/>
  <c r="F4947" i="5"/>
  <c r="F4946" i="5"/>
  <c r="F4945" i="5"/>
  <c r="F4938" i="5"/>
  <c r="F4937" i="5"/>
  <c r="F4936" i="5"/>
  <c r="F4935" i="5"/>
  <c r="F4934" i="5"/>
  <c r="F4933" i="5"/>
  <c r="F4932" i="5"/>
  <c r="F4931" i="5"/>
  <c r="F4930" i="5"/>
  <c r="F4929" i="5"/>
  <c r="F4924" i="5"/>
  <c r="F4923" i="5"/>
  <c r="F4922" i="5"/>
  <c r="F4921" i="5"/>
  <c r="F4920" i="5"/>
  <c r="F4919" i="5"/>
  <c r="F4918" i="5"/>
  <c r="F4917" i="5"/>
  <c r="F4916" i="5"/>
  <c r="F4915" i="5"/>
  <c r="F4914" i="5"/>
  <c r="F4913" i="5"/>
  <c r="F4912" i="5"/>
  <c r="F4911" i="5"/>
  <c r="F4910" i="5"/>
  <c r="F4901" i="5"/>
  <c r="F4900" i="5"/>
  <c r="F4899" i="5"/>
  <c r="F4898" i="5"/>
  <c r="F4897" i="5"/>
  <c r="F4890" i="5"/>
  <c r="F4889" i="5"/>
  <c r="F4888" i="5"/>
  <c r="F4887" i="5"/>
  <c r="F4886" i="5"/>
  <c r="F4885" i="5"/>
  <c r="F4884" i="5"/>
  <c r="F4883" i="5"/>
  <c r="F4882" i="5"/>
  <c r="F4876" i="5"/>
  <c r="F4875" i="5"/>
  <c r="F4874" i="5"/>
  <c r="F4873" i="5"/>
  <c r="F4872" i="5"/>
  <c r="F4871" i="5"/>
  <c r="F4870" i="5"/>
  <c r="F4869" i="5"/>
  <c r="F4868" i="5"/>
  <c r="F4867" i="5"/>
  <c r="F4866" i="5"/>
  <c r="F4865" i="5"/>
  <c r="F4853" i="5"/>
  <c r="F4852" i="5"/>
  <c r="F4851" i="5"/>
  <c r="F4850" i="5"/>
  <c r="F4849" i="5"/>
  <c r="F4842" i="5"/>
  <c r="F4841" i="5"/>
  <c r="F4840" i="5"/>
  <c r="F4839" i="5"/>
  <c r="F4838" i="5"/>
  <c r="F4837" i="5"/>
  <c r="F4836" i="5"/>
  <c r="F4835" i="5"/>
  <c r="F4834" i="5"/>
  <c r="F4828" i="5"/>
  <c r="F4827" i="5"/>
  <c r="F4826" i="5"/>
  <c r="F4825" i="5"/>
  <c r="F4824" i="5"/>
  <c r="F4823" i="5"/>
  <c r="F4822" i="5"/>
  <c r="F4821" i="5"/>
  <c r="F4820" i="5"/>
  <c r="F4819" i="5"/>
  <c r="F4818" i="5"/>
  <c r="F4817" i="5"/>
  <c r="F4805" i="5"/>
  <c r="F4804" i="5"/>
  <c r="F4803" i="5"/>
  <c r="F4802" i="5"/>
  <c r="F4801" i="5"/>
  <c r="F4794" i="5"/>
  <c r="F4793" i="5"/>
  <c r="F4792" i="5"/>
  <c r="F4791" i="5"/>
  <c r="F4790" i="5"/>
  <c r="F4789" i="5"/>
  <c r="F4788" i="5"/>
  <c r="F4787" i="5"/>
  <c r="F4786" i="5"/>
  <c r="F4785" i="5"/>
  <c r="F4780" i="5"/>
  <c r="F4779" i="5"/>
  <c r="F4778" i="5"/>
  <c r="F4777" i="5"/>
  <c r="F4776" i="5"/>
  <c r="F4775" i="5"/>
  <c r="F4774" i="5"/>
  <c r="F4773" i="5"/>
  <c r="F4772" i="5"/>
  <c r="F4771" i="5"/>
  <c r="F4770" i="5"/>
  <c r="F4769" i="5"/>
  <c r="F4709" i="5"/>
  <c r="F4708" i="5"/>
  <c r="F4707" i="5"/>
  <c r="F4706" i="5"/>
  <c r="F4705" i="5"/>
  <c r="F4698" i="5"/>
  <c r="F4697" i="5"/>
  <c r="F4696" i="5"/>
  <c r="F4695" i="5"/>
  <c r="F4694" i="5"/>
  <c r="F4693" i="5"/>
  <c r="F4692" i="5"/>
  <c r="F4691" i="5"/>
  <c r="F4690" i="5"/>
  <c r="F4684" i="5"/>
  <c r="F4683" i="5"/>
  <c r="F4682" i="5"/>
  <c r="F4681" i="5"/>
  <c r="F4680" i="5"/>
  <c r="F4679" i="5"/>
  <c r="F4678" i="5"/>
  <c r="F4677" i="5"/>
  <c r="F4676" i="5"/>
  <c r="F4675" i="5"/>
  <c r="F4674" i="5"/>
  <c r="F4673" i="5"/>
  <c r="F4672" i="5"/>
  <c r="F4613" i="5"/>
  <c r="F4612" i="5"/>
  <c r="F4611" i="5"/>
  <c r="F4610" i="5"/>
  <c r="F4609" i="5"/>
  <c r="F4602" i="5"/>
  <c r="F4601" i="5"/>
  <c r="F4600" i="5"/>
  <c r="F4599" i="5"/>
  <c r="F4598" i="5"/>
  <c r="F4597" i="5"/>
  <c r="F4596" i="5"/>
  <c r="F4595" i="5"/>
  <c r="F4594" i="5"/>
  <c r="F4593" i="5"/>
  <c r="F4588" i="5"/>
  <c r="F4587" i="5"/>
  <c r="F4586" i="5"/>
  <c r="F4585" i="5"/>
  <c r="F4584" i="5"/>
  <c r="F4583" i="5"/>
  <c r="F4582" i="5"/>
  <c r="F4581" i="5"/>
  <c r="F4580" i="5"/>
  <c r="F4579" i="5"/>
  <c r="F4578" i="5"/>
  <c r="F4577" i="5"/>
  <c r="F4576" i="5"/>
  <c r="F4421" i="5"/>
  <c r="F4420" i="5"/>
  <c r="F4419" i="5"/>
  <c r="F4418" i="5"/>
  <c r="F4417" i="5"/>
  <c r="F4416" i="5"/>
  <c r="F4415" i="5"/>
  <c r="F4410" i="5"/>
  <c r="F4409" i="5"/>
  <c r="F4408" i="5"/>
  <c r="F4407" i="5"/>
  <c r="F4406" i="5"/>
  <c r="F4405" i="5"/>
  <c r="F4404" i="5"/>
  <c r="F4403" i="5"/>
  <c r="F4402" i="5"/>
  <c r="F4396" i="5"/>
  <c r="F4395" i="5"/>
  <c r="F4394" i="5"/>
  <c r="F4393" i="5"/>
  <c r="F4392" i="5"/>
  <c r="F4391" i="5"/>
  <c r="F4390" i="5"/>
  <c r="F4389" i="5"/>
  <c r="F4388" i="5"/>
  <c r="F4387" i="5"/>
  <c r="F4386" i="5"/>
  <c r="F4385" i="5"/>
  <c r="F4384" i="5"/>
  <c r="F4383" i="5"/>
  <c r="F4382" i="5"/>
  <c r="F4381" i="5"/>
  <c r="F4373" i="5"/>
  <c r="F4372" i="5"/>
  <c r="F4371" i="5"/>
  <c r="F4370" i="5"/>
  <c r="F4369" i="5"/>
  <c r="F4362" i="5"/>
  <c r="F4361" i="5"/>
  <c r="F4360" i="5"/>
  <c r="F4359" i="5"/>
  <c r="F4358" i="5"/>
  <c r="F4357" i="5"/>
  <c r="F4356" i="5"/>
  <c r="F4355" i="5"/>
  <c r="F4354" i="5"/>
  <c r="F4353" i="5"/>
  <c r="F4348" i="5"/>
  <c r="F4347" i="5"/>
  <c r="F4346" i="5"/>
  <c r="F4345" i="5"/>
  <c r="F4344" i="5"/>
  <c r="F4343" i="5"/>
  <c r="F4342" i="5"/>
  <c r="F4341" i="5"/>
  <c r="F4340" i="5"/>
  <c r="F4339" i="5"/>
  <c r="F4338" i="5"/>
  <c r="F4337" i="5"/>
  <c r="F4336" i="5"/>
  <c r="F4335" i="5"/>
  <c r="F4334" i="5"/>
  <c r="F4181" i="5"/>
  <c r="F4180" i="5"/>
  <c r="F4179" i="5"/>
  <c r="F4178" i="5"/>
  <c r="F4177" i="5"/>
  <c r="F4170" i="5"/>
  <c r="F4169" i="5"/>
  <c r="F4168" i="5"/>
  <c r="F4167" i="5"/>
  <c r="F4166" i="5"/>
  <c r="F4165" i="5"/>
  <c r="F4164" i="5"/>
  <c r="F4163" i="5"/>
  <c r="F4162" i="5"/>
  <c r="F4161" i="5"/>
  <c r="F4156" i="5"/>
  <c r="F4155" i="5"/>
  <c r="F4154" i="5"/>
  <c r="F4153" i="5"/>
  <c r="F4152" i="5"/>
  <c r="F4151" i="5"/>
  <c r="F4150" i="5"/>
  <c r="F4149" i="5"/>
  <c r="F4148" i="5"/>
  <c r="F4147" i="5"/>
  <c r="F4146" i="5"/>
  <c r="F4145" i="5"/>
  <c r="F4144" i="5"/>
  <c r="F4143" i="5"/>
  <c r="F4142" i="5"/>
  <c r="F4133" i="5"/>
  <c r="F4132" i="5"/>
  <c r="F4131" i="5"/>
  <c r="F4130" i="5"/>
  <c r="F4129" i="5"/>
  <c r="F4122" i="5"/>
  <c r="F4121" i="5"/>
  <c r="F4120" i="5"/>
  <c r="F4119" i="5"/>
  <c r="F4118" i="5"/>
  <c r="F4117" i="5"/>
  <c r="F4116" i="5"/>
  <c r="F4115" i="5"/>
  <c r="F4114" i="5"/>
  <c r="F4113" i="5"/>
  <c r="F4108" i="5"/>
  <c r="F4107" i="5"/>
  <c r="F4106" i="5"/>
  <c r="F4105" i="5"/>
  <c r="F4104" i="5"/>
  <c r="F4103" i="5"/>
  <c r="F4102" i="5"/>
  <c r="F4101" i="5"/>
  <c r="F4100" i="5"/>
  <c r="F4099" i="5"/>
  <c r="F3941" i="5"/>
  <c r="F3940" i="5"/>
  <c r="F3939" i="5"/>
  <c r="F3938" i="5"/>
  <c r="F3937" i="5"/>
  <c r="F3930" i="5"/>
  <c r="F3929" i="5"/>
  <c r="F3928" i="5"/>
  <c r="F3927" i="5"/>
  <c r="F3926" i="5"/>
  <c r="F3925" i="5"/>
  <c r="F3924" i="5"/>
  <c r="F3923" i="5"/>
  <c r="F3922" i="5"/>
  <c r="F3921" i="5"/>
  <c r="F3916" i="5"/>
  <c r="F3915" i="5"/>
  <c r="F3914" i="5"/>
  <c r="F3913" i="5"/>
  <c r="F3912" i="5"/>
  <c r="F3911" i="5"/>
  <c r="F3910" i="5"/>
  <c r="F3909" i="5"/>
  <c r="F3908" i="5"/>
  <c r="F3907" i="5"/>
  <c r="F3906" i="5"/>
  <c r="F3905" i="5"/>
  <c r="F3904" i="5"/>
  <c r="F3903" i="5"/>
  <c r="F3653" i="5"/>
  <c r="F3652" i="5"/>
  <c r="F3651" i="5"/>
  <c r="F3650" i="5"/>
  <c r="F3649" i="5"/>
  <c r="F3642" i="5"/>
  <c r="F3641" i="5"/>
  <c r="F3640" i="5"/>
  <c r="F3639" i="5"/>
  <c r="F3638" i="5"/>
  <c r="F3637" i="5"/>
  <c r="F3636" i="5"/>
  <c r="F3635" i="5"/>
  <c r="F3634" i="5"/>
  <c r="F3633" i="5"/>
  <c r="F3628" i="5"/>
  <c r="F3627" i="5"/>
  <c r="F3626" i="5"/>
  <c r="F3625" i="5"/>
  <c r="F3624" i="5"/>
  <c r="F3623" i="5"/>
  <c r="F3622" i="5"/>
  <c r="F3621" i="5"/>
  <c r="F3620" i="5"/>
  <c r="F3619" i="5"/>
  <c r="F3618" i="5"/>
  <c r="F3617" i="5"/>
  <c r="F3557" i="5"/>
  <c r="F3556" i="5"/>
  <c r="F3555" i="5"/>
  <c r="F3554" i="5"/>
  <c r="F3553" i="5"/>
  <c r="F3546" i="5"/>
  <c r="F3545" i="5"/>
  <c r="F3544" i="5"/>
  <c r="F3543" i="5"/>
  <c r="F3542" i="5"/>
  <c r="F3541" i="5"/>
  <c r="F3540" i="5"/>
  <c r="F3539" i="5"/>
  <c r="F3538" i="5"/>
  <c r="F3537" i="5"/>
  <c r="F3532" i="5"/>
  <c r="F3531" i="5"/>
  <c r="F3530" i="5"/>
  <c r="F3529" i="5"/>
  <c r="F3528" i="5"/>
  <c r="F3527" i="5"/>
  <c r="F3526" i="5"/>
  <c r="F3525" i="5"/>
  <c r="F3524" i="5"/>
  <c r="F3523" i="5"/>
  <c r="F3522" i="5"/>
  <c r="F3521" i="5"/>
  <c r="F3520" i="5"/>
  <c r="F3519" i="5"/>
  <c r="F3509" i="5"/>
  <c r="F3508" i="5"/>
  <c r="F3507" i="5"/>
  <c r="F3506" i="5"/>
  <c r="F3505" i="5"/>
  <c r="F3498" i="5"/>
  <c r="F3497" i="5"/>
  <c r="F3496" i="5"/>
  <c r="F3495" i="5"/>
  <c r="F3494" i="5"/>
  <c r="F3493" i="5"/>
  <c r="F3492" i="5"/>
  <c r="F3491" i="5"/>
  <c r="F3490" i="5"/>
  <c r="F3489" i="5"/>
  <c r="F3484" i="5"/>
  <c r="F3483" i="5"/>
  <c r="F3482" i="5"/>
  <c r="F3481" i="5"/>
  <c r="F3480" i="5"/>
  <c r="F3479" i="5"/>
  <c r="F3478" i="5"/>
  <c r="F3477" i="5"/>
  <c r="F3476" i="5"/>
  <c r="F3475" i="5"/>
  <c r="F3474" i="5"/>
  <c r="F3473" i="5"/>
  <c r="F3472" i="5"/>
  <c r="F3471" i="5"/>
  <c r="F3461" i="5"/>
  <c r="F3460" i="5"/>
  <c r="F3459" i="5"/>
  <c r="F3458" i="5"/>
  <c r="F3457" i="5"/>
  <c r="F3450" i="5"/>
  <c r="F3449" i="5"/>
  <c r="F3448" i="5"/>
  <c r="F3447" i="5"/>
  <c r="F3446" i="5"/>
  <c r="F3445" i="5"/>
  <c r="F3444" i="5"/>
  <c r="F3443" i="5"/>
  <c r="F3442" i="5"/>
  <c r="F3441" i="5"/>
  <c r="F3436" i="5"/>
  <c r="F3435" i="5"/>
  <c r="F3434" i="5"/>
  <c r="F3433" i="5"/>
  <c r="F3432" i="5"/>
  <c r="F3431" i="5"/>
  <c r="F3430" i="5"/>
  <c r="F3429" i="5"/>
  <c r="F3428" i="5"/>
  <c r="F3427" i="5"/>
  <c r="F3426" i="5"/>
  <c r="F3425" i="5"/>
  <c r="F3424" i="5"/>
  <c r="F3423" i="5"/>
  <c r="F3413" i="5"/>
  <c r="F3412" i="5"/>
  <c r="F3411" i="5"/>
  <c r="F3410" i="5"/>
  <c r="F3409" i="5"/>
  <c r="F3402" i="5"/>
  <c r="F3401" i="5"/>
  <c r="F3400" i="5"/>
  <c r="F3399" i="5"/>
  <c r="F3398" i="5"/>
  <c r="F3397" i="5"/>
  <c r="F3396" i="5"/>
  <c r="F3395" i="5"/>
  <c r="F3388" i="5"/>
  <c r="F3387" i="5"/>
  <c r="F3386" i="5"/>
  <c r="F3385" i="5"/>
  <c r="F3384" i="5"/>
  <c r="F3383" i="5"/>
  <c r="F3382" i="5"/>
  <c r="F3381" i="5"/>
  <c r="F3380" i="5"/>
  <c r="F3379" i="5"/>
  <c r="F3378" i="5"/>
  <c r="F3365" i="5"/>
  <c r="F3364" i="5"/>
  <c r="F3363" i="5"/>
  <c r="F3362" i="5"/>
  <c r="F3361" i="5"/>
  <c r="F3354" i="5"/>
  <c r="F3353" i="5"/>
  <c r="F3352" i="5"/>
  <c r="F3351" i="5"/>
  <c r="F3350" i="5"/>
  <c r="F3349" i="5"/>
  <c r="F3348" i="5"/>
  <c r="F3347" i="5"/>
  <c r="F3346" i="5"/>
  <c r="F3345" i="5"/>
  <c r="F3340" i="5"/>
  <c r="F3339" i="5"/>
  <c r="F3338" i="5"/>
  <c r="F3337" i="5"/>
  <c r="F3336" i="5"/>
  <c r="F3335" i="5"/>
  <c r="F3334" i="5"/>
  <c r="F3333" i="5"/>
  <c r="F3332" i="5"/>
  <c r="F3331" i="5"/>
  <c r="F3330" i="5"/>
  <c r="F3329" i="5"/>
  <c r="F3328" i="5"/>
  <c r="F3317" i="5"/>
  <c r="F3316" i="5"/>
  <c r="F3315" i="5"/>
  <c r="F3314" i="5"/>
  <c r="F3313" i="5"/>
  <c r="F3306" i="5"/>
  <c r="F3305" i="5"/>
  <c r="F3304" i="5"/>
  <c r="F3303" i="5"/>
  <c r="F3302" i="5"/>
  <c r="F3301" i="5"/>
  <c r="F3300" i="5"/>
  <c r="F3299" i="5"/>
  <c r="F3298" i="5"/>
  <c r="F3297" i="5"/>
  <c r="F3292" i="5"/>
  <c r="F3291" i="5"/>
  <c r="F3290" i="5"/>
  <c r="F3289" i="5"/>
  <c r="F3288" i="5"/>
  <c r="F3287" i="5"/>
  <c r="F3286" i="5"/>
  <c r="F3285" i="5"/>
  <c r="F3284" i="5"/>
  <c r="F3283" i="5"/>
  <c r="F3282" i="5"/>
  <c r="F3281" i="5"/>
  <c r="F3280" i="5"/>
  <c r="F3269" i="5"/>
  <c r="F3268" i="5"/>
  <c r="F3267" i="5"/>
  <c r="F3266" i="5"/>
  <c r="F3265" i="5"/>
  <c r="F3258" i="5"/>
  <c r="F3257" i="5"/>
  <c r="F3256" i="5"/>
  <c r="F3255" i="5"/>
  <c r="F3254" i="5"/>
  <c r="F3253" i="5"/>
  <c r="F3252" i="5"/>
  <c r="F3251" i="5"/>
  <c r="F3244" i="5"/>
  <c r="F3243" i="5"/>
  <c r="F3242" i="5"/>
  <c r="F3241" i="5"/>
  <c r="F3240" i="5"/>
  <c r="F3239" i="5"/>
  <c r="F3238" i="5"/>
  <c r="F3237" i="5"/>
  <c r="F3236" i="5"/>
  <c r="F3235" i="5"/>
  <c r="F3234" i="5"/>
  <c r="F3233" i="5"/>
  <c r="F3232" i="5"/>
  <c r="F3231" i="5"/>
  <c r="F3221" i="5"/>
  <c r="F3220" i="5"/>
  <c r="F3219" i="5"/>
  <c r="F3210" i="5"/>
  <c r="F3209" i="5"/>
  <c r="F3208" i="5"/>
  <c r="F3207" i="5"/>
  <c r="F3206" i="5"/>
  <c r="F3205" i="5"/>
  <c r="F3204" i="5"/>
  <c r="F3203" i="5"/>
  <c r="F3196" i="5"/>
  <c r="F3195" i="5"/>
  <c r="F3194" i="5"/>
  <c r="F3193" i="5"/>
  <c r="F3192" i="5"/>
  <c r="F3191" i="5"/>
  <c r="F3190" i="5"/>
  <c r="F3189" i="5"/>
  <c r="F3173" i="5"/>
  <c r="F3172" i="5"/>
  <c r="F3171" i="5"/>
  <c r="F3170" i="5"/>
  <c r="F3169" i="5"/>
  <c r="F3162" i="5"/>
  <c r="F3161" i="5"/>
  <c r="F3160" i="5"/>
  <c r="F3159" i="5"/>
  <c r="F3158" i="5"/>
  <c r="F3157" i="5"/>
  <c r="F3156" i="5"/>
  <c r="F3155" i="5"/>
  <c r="F3154" i="5"/>
  <c r="F3153" i="5"/>
  <c r="F3148" i="5"/>
  <c r="F3147" i="5"/>
  <c r="F3146" i="5"/>
  <c r="F3145" i="5"/>
  <c r="F3144" i="5"/>
  <c r="F3143" i="5"/>
  <c r="F3142" i="5"/>
  <c r="F3141" i="5"/>
  <c r="F3140" i="5"/>
  <c r="F3139" i="5"/>
  <c r="F3138" i="5"/>
  <c r="F3137" i="5"/>
  <c r="F3125" i="5"/>
  <c r="F3124" i="5"/>
  <c r="F3123" i="5"/>
  <c r="F3122" i="5"/>
  <c r="F3121" i="5"/>
  <c r="F3114" i="5"/>
  <c r="F3113" i="5"/>
  <c r="F3112" i="5"/>
  <c r="F3111" i="5"/>
  <c r="F3110" i="5"/>
  <c r="F3109" i="5"/>
  <c r="F3108" i="5"/>
  <c r="F3107" i="5"/>
  <c r="F3106" i="5"/>
  <c r="F3105" i="5"/>
  <c r="F3100" i="5"/>
  <c r="F3099" i="5"/>
  <c r="F3098" i="5"/>
  <c r="F3097" i="5"/>
  <c r="F3096" i="5"/>
  <c r="F3095" i="5"/>
  <c r="F3094" i="5"/>
  <c r="F3093" i="5"/>
  <c r="F3092" i="5"/>
  <c r="F3091" i="5"/>
  <c r="F3090" i="5"/>
  <c r="F3089" i="5"/>
  <c r="F3088" i="5"/>
  <c r="F3077" i="5"/>
  <c r="F3076" i="5"/>
  <c r="F3075" i="5"/>
  <c r="F3074" i="5"/>
  <c r="F3073" i="5"/>
  <c r="F3066" i="5"/>
  <c r="F3065" i="5"/>
  <c r="F3064" i="5"/>
  <c r="F3063" i="5"/>
  <c r="F3062" i="5"/>
  <c r="F3061" i="5"/>
  <c r="F3060" i="5"/>
  <c r="F3059" i="5"/>
  <c r="F3052" i="5"/>
  <c r="F3051" i="5"/>
  <c r="F3050" i="5"/>
  <c r="F3049" i="5"/>
  <c r="F3048" i="5"/>
  <c r="F3047" i="5"/>
  <c r="F3046" i="5"/>
  <c r="F3045" i="5"/>
  <c r="F3044" i="5"/>
  <c r="F3043" i="5"/>
  <c r="F3042" i="5"/>
  <c r="F3041" i="5"/>
  <c r="F3040" i="5"/>
  <c r="F3029" i="5"/>
  <c r="F3028" i="5"/>
  <c r="F3027" i="5"/>
  <c r="F3026" i="5"/>
  <c r="F3025" i="5"/>
  <c r="F3018" i="5"/>
  <c r="F3017" i="5"/>
  <c r="F3016" i="5"/>
  <c r="F3015" i="5"/>
  <c r="F3014" i="5"/>
  <c r="F3013" i="5"/>
  <c r="F3012" i="5"/>
  <c r="F3011" i="5"/>
  <c r="F3010" i="5"/>
  <c r="F3009" i="5"/>
  <c r="F3004" i="5"/>
  <c r="F3003" i="5"/>
  <c r="F3002" i="5"/>
  <c r="F3001" i="5"/>
  <c r="F3000" i="5"/>
  <c r="F2999" i="5"/>
  <c r="F2998" i="5"/>
  <c r="F2997" i="5"/>
  <c r="F2996" i="5"/>
  <c r="F2995" i="5"/>
  <c r="F2994" i="5"/>
  <c r="F2993" i="5"/>
  <c r="F2992" i="5"/>
  <c r="F2981" i="5"/>
  <c r="F2980" i="5"/>
  <c r="F2979" i="5"/>
  <c r="F2978" i="5"/>
  <c r="F2977" i="5"/>
  <c r="F2970" i="5"/>
  <c r="F2969" i="5"/>
  <c r="F2968" i="5"/>
  <c r="F2967" i="5"/>
  <c r="F2966" i="5"/>
  <c r="F2965" i="5"/>
  <c r="F2964" i="5"/>
  <c r="F2963" i="5"/>
  <c r="F2962" i="5"/>
  <c r="F2961" i="5"/>
  <c r="F2956" i="5"/>
  <c r="F2955" i="5"/>
  <c r="F2954" i="5"/>
  <c r="F2953" i="5"/>
  <c r="F2952" i="5"/>
  <c r="F2951" i="5"/>
  <c r="F2950" i="5"/>
  <c r="F2949" i="5"/>
  <c r="F2948" i="5"/>
  <c r="F2947" i="5"/>
  <c r="F2946" i="5"/>
  <c r="F2945" i="5"/>
  <c r="F2944" i="5"/>
  <c r="F2933" i="5"/>
  <c r="F2932" i="5"/>
  <c r="F2931" i="5"/>
  <c r="F2930" i="5"/>
  <c r="F2929" i="5"/>
  <c r="F2922" i="5"/>
  <c r="F2921" i="5"/>
  <c r="F2920" i="5"/>
  <c r="F2919" i="5"/>
  <c r="F2918" i="5"/>
  <c r="F2917" i="5"/>
  <c r="F2916" i="5"/>
  <c r="F2915" i="5"/>
  <c r="F2908" i="5"/>
  <c r="F2907" i="5"/>
  <c r="F2906" i="5"/>
  <c r="F2905" i="5"/>
  <c r="F2904" i="5"/>
  <c r="F2903" i="5"/>
  <c r="F2902" i="5"/>
  <c r="F2901" i="5"/>
  <c r="F2900" i="5"/>
  <c r="F2899" i="5"/>
  <c r="F2898" i="5"/>
  <c r="F2897" i="5"/>
  <c r="F2896" i="5"/>
  <c r="F2885" i="5"/>
  <c r="F2884" i="5"/>
  <c r="F2883" i="5"/>
  <c r="F2882" i="5"/>
  <c r="F2881" i="5"/>
  <c r="F2874" i="5"/>
  <c r="F2873" i="5"/>
  <c r="F2872" i="5"/>
  <c r="F2871" i="5"/>
  <c r="F2870" i="5"/>
  <c r="F2869" i="5"/>
  <c r="F2868" i="5"/>
  <c r="F2867" i="5"/>
  <c r="F2860" i="5"/>
  <c r="F2859" i="5"/>
  <c r="F2858" i="5"/>
  <c r="F2857" i="5"/>
  <c r="F2856" i="5"/>
  <c r="F2855" i="5"/>
  <c r="F2854" i="5"/>
  <c r="F2853" i="5"/>
  <c r="F2852" i="5"/>
  <c r="F2851" i="5"/>
  <c r="F2850" i="5"/>
  <c r="F2849" i="5"/>
  <c r="F2848" i="5"/>
  <c r="F2847" i="5"/>
  <c r="F2741" i="5"/>
  <c r="F2740" i="5"/>
  <c r="F2739" i="5"/>
  <c r="F2738" i="5"/>
  <c r="F2737" i="5"/>
  <c r="F2730" i="5"/>
  <c r="F2729" i="5"/>
  <c r="F2728" i="5"/>
  <c r="F2727" i="5"/>
  <c r="F2726" i="5"/>
  <c r="F2725" i="5"/>
  <c r="F2724" i="5"/>
  <c r="F2723" i="5"/>
  <c r="F2722" i="5"/>
  <c r="F2721" i="5"/>
  <c r="F2716" i="5"/>
  <c r="F2715" i="5"/>
  <c r="F2714" i="5"/>
  <c r="F2713" i="5"/>
  <c r="F2712" i="5"/>
  <c r="F2711" i="5"/>
  <c r="F2710" i="5"/>
  <c r="F2709" i="5"/>
  <c r="F2708" i="5"/>
  <c r="F2707" i="5"/>
  <c r="F2706" i="5"/>
  <c r="F2705" i="5"/>
  <c r="F2704" i="5"/>
  <c r="F2693" i="5"/>
  <c r="F2692" i="5"/>
  <c r="F2691" i="5"/>
  <c r="F2690" i="5"/>
  <c r="F2689" i="5"/>
  <c r="F2682" i="5"/>
  <c r="F2681" i="5"/>
  <c r="F2680" i="5"/>
  <c r="F2679" i="5"/>
  <c r="F2678" i="5"/>
  <c r="F2677" i="5"/>
  <c r="F2676" i="5"/>
  <c r="F2675" i="5"/>
  <c r="F2674" i="5"/>
  <c r="F2673" i="5"/>
  <c r="F2668" i="5"/>
  <c r="F2667" i="5"/>
  <c r="F2666" i="5"/>
  <c r="F2665" i="5"/>
  <c r="F2664" i="5"/>
  <c r="F2663" i="5"/>
  <c r="F2662" i="5"/>
  <c r="F2661" i="5"/>
  <c r="F2660" i="5"/>
  <c r="F2659" i="5"/>
  <c r="F2658" i="5"/>
  <c r="F2657" i="5"/>
  <c r="F2645" i="5"/>
  <c r="F2644" i="5"/>
  <c r="F2643" i="5"/>
  <c r="F2642" i="5"/>
  <c r="F2641" i="5"/>
  <c r="F2634" i="5"/>
  <c r="F2633" i="5"/>
  <c r="F2632" i="5"/>
  <c r="F2631" i="5"/>
  <c r="F2630" i="5"/>
  <c r="F2629" i="5"/>
  <c r="F2628" i="5"/>
  <c r="F2627" i="5"/>
  <c r="F2620" i="5"/>
  <c r="F2619" i="5"/>
  <c r="F2618" i="5"/>
  <c r="F2617" i="5"/>
  <c r="F2616" i="5"/>
  <c r="F2615" i="5"/>
  <c r="F2614" i="5"/>
  <c r="F2613" i="5"/>
  <c r="F2612" i="5"/>
  <c r="F2611" i="5"/>
  <c r="F2610" i="5"/>
  <c r="F2609" i="5"/>
  <c r="F2608" i="5"/>
  <c r="F2597" i="5"/>
  <c r="F2596" i="5"/>
  <c r="F2595" i="5"/>
  <c r="F2594" i="5"/>
  <c r="F2593" i="5"/>
  <c r="F2586" i="5"/>
  <c r="F2585" i="5"/>
  <c r="F2584" i="5"/>
  <c r="F2583" i="5"/>
  <c r="F2582" i="5"/>
  <c r="F2581" i="5"/>
  <c r="F2580" i="5"/>
  <c r="F2579" i="5"/>
  <c r="F2572" i="5"/>
  <c r="F2571" i="5"/>
  <c r="F2570" i="5"/>
  <c r="F2569" i="5"/>
  <c r="F2568" i="5"/>
  <c r="F2567" i="5"/>
  <c r="F2566" i="5"/>
  <c r="F2565" i="5"/>
  <c r="F2564" i="5"/>
  <c r="F2563" i="5"/>
  <c r="F2562" i="5"/>
  <c r="F2561" i="5"/>
  <c r="F2560" i="5"/>
  <c r="F2501" i="5"/>
  <c r="F2500" i="5"/>
  <c r="F2499" i="5"/>
  <c r="F2498" i="5"/>
  <c r="F2490" i="5"/>
  <c r="F2489" i="5"/>
  <c r="F2488" i="5"/>
  <c r="F2487" i="5"/>
  <c r="F2486" i="5"/>
  <c r="F2485" i="5"/>
  <c r="F2484" i="5"/>
  <c r="F2483" i="5"/>
  <c r="F2476" i="5"/>
  <c r="F2475" i="5"/>
  <c r="F2474" i="5"/>
  <c r="F2473" i="5"/>
  <c r="F2472" i="5"/>
  <c r="F2471" i="5"/>
  <c r="F2470" i="5"/>
  <c r="F2469" i="5"/>
  <c r="F2468" i="5"/>
  <c r="F2467" i="5"/>
  <c r="F2453" i="5"/>
  <c r="F2452" i="5"/>
  <c r="F2451" i="5"/>
  <c r="F2450" i="5"/>
  <c r="F2449" i="5"/>
  <c r="F2442" i="5"/>
  <c r="F2441" i="5"/>
  <c r="F2440" i="5"/>
  <c r="F2439" i="5"/>
  <c r="F2438" i="5"/>
  <c r="F2437" i="5"/>
  <c r="F2436" i="5"/>
  <c r="F2435" i="5"/>
  <c r="F2434" i="5"/>
  <c r="F2428" i="5"/>
  <c r="F2427" i="5"/>
  <c r="F2426" i="5"/>
  <c r="F2425" i="5"/>
  <c r="F2424" i="5"/>
  <c r="F2423" i="5"/>
  <c r="F2422" i="5"/>
  <c r="F2421" i="5"/>
  <c r="F2420" i="5"/>
  <c r="F2419" i="5"/>
  <c r="F2418" i="5"/>
  <c r="F2417" i="5"/>
  <c r="F2416" i="5"/>
  <c r="F2415" i="5"/>
  <c r="F2414" i="5"/>
  <c r="F2357" i="5"/>
  <c r="F2356" i="5"/>
  <c r="F2355" i="5"/>
  <c r="F2354" i="5"/>
  <c r="F2353" i="5"/>
  <c r="F2346" i="5"/>
  <c r="F2345" i="5"/>
  <c r="F2344" i="5"/>
  <c r="F2343" i="5"/>
  <c r="F2342" i="5"/>
  <c r="F2341" i="5"/>
  <c r="F2340" i="5"/>
  <c r="F2339" i="5"/>
  <c r="F2338" i="5"/>
  <c r="F2337" i="5"/>
  <c r="F2332" i="5"/>
  <c r="F2331" i="5"/>
  <c r="F2330" i="5"/>
  <c r="F2329" i="5"/>
  <c r="F2328" i="5"/>
  <c r="F2327" i="5"/>
  <c r="F2326" i="5"/>
  <c r="F2325" i="5"/>
  <c r="F2324" i="5"/>
  <c r="F2323" i="5"/>
  <c r="F2322" i="5"/>
  <c r="F2321" i="5"/>
  <c r="F2320" i="5"/>
  <c r="F2319" i="5"/>
  <c r="F2318" i="5"/>
  <c r="F2213" i="5"/>
  <c r="F2212" i="5"/>
  <c r="F2211" i="5"/>
  <c r="F2210" i="5"/>
  <c r="F2209" i="5"/>
  <c r="F2208" i="5"/>
  <c r="F2202" i="5"/>
  <c r="F2201" i="5"/>
  <c r="F2200" i="5"/>
  <c r="F2199" i="5"/>
  <c r="F2198" i="5"/>
  <c r="F2197" i="5"/>
  <c r="F2196" i="5"/>
  <c r="F2195" i="5"/>
  <c r="F2194" i="5"/>
  <c r="F2193" i="5"/>
  <c r="F2188" i="5"/>
  <c r="F2187" i="5"/>
  <c r="F2186" i="5"/>
  <c r="F2185" i="5"/>
  <c r="F2184" i="5"/>
  <c r="F2183" i="5"/>
  <c r="F2182" i="5"/>
  <c r="F2181" i="5"/>
  <c r="F2180" i="5"/>
  <c r="F2179" i="5"/>
  <c r="F2178" i="5"/>
  <c r="F2177" i="5"/>
  <c r="F2176" i="5"/>
  <c r="F2175" i="5"/>
  <c r="F2174" i="5"/>
  <c r="F2173" i="5"/>
  <c r="F2165" i="5"/>
  <c r="F2164" i="5"/>
  <c r="F2163" i="5"/>
  <c r="F2162" i="5"/>
  <c r="F2161" i="5"/>
  <c r="F2160" i="5"/>
  <c r="F2154" i="5"/>
  <c r="F2153" i="5"/>
  <c r="F2152" i="5"/>
  <c r="F2151" i="5"/>
  <c r="F2150" i="5"/>
  <c r="F2149" i="5"/>
  <c r="F2148" i="5"/>
  <c r="F2147" i="5"/>
  <c r="F2146" i="5"/>
  <c r="F2140" i="5"/>
  <c r="F2139" i="5"/>
  <c r="F2138" i="5"/>
  <c r="F2137" i="5"/>
  <c r="F2136" i="5"/>
  <c r="F2135" i="5"/>
  <c r="F2134" i="5"/>
  <c r="F2133" i="5"/>
  <c r="F2132" i="5"/>
  <c r="F2131" i="5"/>
  <c r="F2130" i="5"/>
  <c r="F2129" i="5"/>
  <c r="F2128" i="5"/>
  <c r="F2127" i="5"/>
  <c r="F2126" i="5"/>
  <c r="F2125" i="5"/>
  <c r="F2117" i="5"/>
  <c r="F2116" i="5"/>
  <c r="F2115" i="5"/>
  <c r="F2114" i="5"/>
  <c r="F2113" i="5"/>
  <c r="F2112" i="5"/>
  <c r="F2106" i="5"/>
  <c r="F2105" i="5"/>
  <c r="F2104" i="5"/>
  <c r="F2103" i="5"/>
  <c r="F2102" i="5"/>
  <c r="F2101" i="5"/>
  <c r="F2100" i="5"/>
  <c r="F2099" i="5"/>
  <c r="F2098" i="5"/>
  <c r="F2097" i="5"/>
  <c r="F2092" i="5"/>
  <c r="F2091" i="5"/>
  <c r="F2090" i="5"/>
  <c r="F2089" i="5"/>
  <c r="F2088" i="5"/>
  <c r="F2087" i="5"/>
  <c r="F2086" i="5"/>
  <c r="F2085" i="5"/>
  <c r="F2084" i="5"/>
  <c r="F2083" i="5"/>
  <c r="F2082" i="5"/>
  <c r="F2081" i="5"/>
  <c r="F2080" i="5"/>
  <c r="F2079" i="5"/>
  <c r="F2078" i="5"/>
  <c r="F2077" i="5"/>
  <c r="F1973" i="5"/>
  <c r="F1972" i="5"/>
  <c r="F1971" i="5"/>
  <c r="F1970" i="5"/>
  <c r="F1969" i="5"/>
  <c r="F1962" i="5"/>
  <c r="F1961" i="5"/>
  <c r="F1960" i="5"/>
  <c r="F1959" i="5"/>
  <c r="F1958" i="5"/>
  <c r="F1957" i="5"/>
  <c r="F1956" i="5"/>
  <c r="F1955" i="5"/>
  <c r="F1954" i="5"/>
  <c r="F1953" i="5"/>
  <c r="F1948" i="5"/>
  <c r="F1947" i="5"/>
  <c r="F1946" i="5"/>
  <c r="F1945" i="5"/>
  <c r="F1944" i="5"/>
  <c r="F1943" i="5"/>
  <c r="F1942" i="5"/>
  <c r="F1941" i="5"/>
  <c r="F1940" i="5"/>
  <c r="F1939" i="5"/>
  <c r="F1938" i="5"/>
  <c r="F1937" i="5"/>
  <c r="F1936" i="5"/>
  <c r="F1829" i="5"/>
  <c r="F1828" i="5"/>
  <c r="F1827" i="5"/>
  <c r="F1826" i="5"/>
  <c r="F1825" i="5"/>
  <c r="F1818" i="5"/>
  <c r="F1817" i="5"/>
  <c r="F1816" i="5"/>
  <c r="F1815" i="5"/>
  <c r="F1814" i="5"/>
  <c r="F1813" i="5"/>
  <c r="F1812" i="5"/>
  <c r="F1811" i="5"/>
  <c r="F1810" i="5"/>
  <c r="F1809" i="5"/>
  <c r="F1804" i="5"/>
  <c r="F1803" i="5"/>
  <c r="F1802" i="5"/>
  <c r="F1801" i="5"/>
  <c r="F1800" i="5"/>
  <c r="F1799" i="5"/>
  <c r="F1798" i="5"/>
  <c r="F1797" i="5"/>
  <c r="F1796" i="5"/>
  <c r="F1795" i="5"/>
  <c r="F1794" i="5"/>
  <c r="F1793" i="5"/>
  <c r="F1781" i="5"/>
  <c r="F1780" i="5"/>
  <c r="F1779" i="5"/>
  <c r="F1778" i="5"/>
  <c r="F1777" i="5"/>
  <c r="F1770" i="5"/>
  <c r="F1769" i="5"/>
  <c r="F1768" i="5"/>
  <c r="F1767" i="5"/>
  <c r="F1766" i="5"/>
  <c r="F1765" i="5"/>
  <c r="F1764" i="5"/>
  <c r="F1763" i="5"/>
  <c r="F1762" i="5"/>
  <c r="F1761" i="5"/>
  <c r="F1756" i="5"/>
  <c r="F1755" i="5"/>
  <c r="F1754" i="5"/>
  <c r="F1753" i="5"/>
  <c r="F1752" i="5"/>
  <c r="F1751" i="5"/>
  <c r="F1750" i="5"/>
  <c r="F1749" i="5"/>
  <c r="F1748" i="5"/>
  <c r="F1747" i="5"/>
  <c r="F1746" i="5"/>
  <c r="F1745" i="5"/>
  <c r="F1733" i="5"/>
  <c r="F1732" i="5"/>
  <c r="F1731" i="5"/>
  <c r="F1730" i="5"/>
  <c r="F1729" i="5"/>
  <c r="F1722" i="5"/>
  <c r="F1721" i="5"/>
  <c r="F1720" i="5"/>
  <c r="F1719" i="5"/>
  <c r="F1718" i="5"/>
  <c r="F1717" i="5"/>
  <c r="F1716" i="5"/>
  <c r="F1715" i="5"/>
  <c r="F1714" i="5"/>
  <c r="F1713" i="5"/>
  <c r="F1708" i="5"/>
  <c r="F1707" i="5"/>
  <c r="F1706" i="5"/>
  <c r="F1705" i="5"/>
  <c r="F1704" i="5"/>
  <c r="F1703" i="5"/>
  <c r="F1702" i="5"/>
  <c r="F1701" i="5"/>
  <c r="F1700" i="5"/>
  <c r="F1699" i="5"/>
  <c r="F1698" i="5"/>
  <c r="F1697" i="5"/>
  <c r="F1685" i="5"/>
  <c r="F1684" i="5"/>
  <c r="F1683" i="5"/>
  <c r="F1682" i="5"/>
  <c r="F1681" i="5"/>
  <c r="F1674" i="5"/>
  <c r="F1673" i="5"/>
  <c r="F1672" i="5"/>
  <c r="F1671" i="5"/>
  <c r="F1670" i="5"/>
  <c r="F1669" i="5"/>
  <c r="F1668" i="5"/>
  <c r="F1667" i="5"/>
  <c r="F1666" i="5"/>
  <c r="F1660" i="5"/>
  <c r="F1659" i="5"/>
  <c r="F1658" i="5"/>
  <c r="F1657" i="5"/>
  <c r="F1656" i="5"/>
  <c r="F1655" i="5"/>
  <c r="F1654" i="5"/>
  <c r="F1653" i="5"/>
  <c r="F1652" i="5"/>
  <c r="F1651" i="5"/>
  <c r="F1650" i="5"/>
  <c r="F1649" i="5"/>
  <c r="F1589" i="5"/>
  <c r="F1588" i="5"/>
  <c r="F1587" i="5"/>
  <c r="F1586" i="5"/>
  <c r="F1585" i="5"/>
  <c r="F1578" i="5"/>
  <c r="F1577" i="5"/>
  <c r="F1576" i="5"/>
  <c r="F1575" i="5"/>
  <c r="F1574" i="5"/>
  <c r="F1573" i="5"/>
  <c r="F1572" i="5"/>
  <c r="F1571" i="5"/>
  <c r="F1570" i="5"/>
  <c r="F1569" i="5"/>
  <c r="F1564" i="5"/>
  <c r="F1563" i="5"/>
  <c r="F1562" i="5"/>
  <c r="F1561" i="5"/>
  <c r="F1560" i="5"/>
  <c r="F1559" i="5"/>
  <c r="F1558" i="5"/>
  <c r="F1557" i="5"/>
  <c r="F1556" i="5"/>
  <c r="F1555" i="5"/>
  <c r="F1554" i="5"/>
  <c r="F1493" i="5"/>
  <c r="F1492" i="5"/>
  <c r="F1491" i="5"/>
  <c r="F1490" i="5"/>
  <c r="F1489" i="5"/>
  <c r="F1482" i="5"/>
  <c r="F1481" i="5"/>
  <c r="F1480" i="5"/>
  <c r="F1479" i="5"/>
  <c r="F1478" i="5"/>
  <c r="F1477" i="5"/>
  <c r="F1476" i="5"/>
  <c r="F1475" i="5"/>
  <c r="F1474" i="5"/>
  <c r="F1468" i="5"/>
  <c r="F1467" i="5"/>
  <c r="F1466" i="5"/>
  <c r="F1465" i="5"/>
  <c r="F1464" i="5"/>
  <c r="F1463" i="5"/>
  <c r="F1462" i="5"/>
  <c r="F1461" i="5"/>
  <c r="F1460" i="5"/>
  <c r="F1459" i="5"/>
  <c r="F1445" i="5"/>
  <c r="F1444" i="5"/>
  <c r="F1443" i="5"/>
  <c r="F1442" i="5"/>
  <c r="F1434" i="5"/>
  <c r="F1433" i="5"/>
  <c r="F1432" i="5"/>
  <c r="F1431" i="5"/>
  <c r="F1430" i="5"/>
  <c r="F1429" i="5"/>
  <c r="F1428" i="5"/>
  <c r="F1427" i="5"/>
  <c r="F1426" i="5"/>
  <c r="F1420" i="5"/>
  <c r="F1419" i="5"/>
  <c r="F1418" i="5"/>
  <c r="F1417" i="5"/>
  <c r="F1416" i="5"/>
  <c r="F1415" i="5"/>
  <c r="F1414" i="5"/>
  <c r="F1413" i="5"/>
  <c r="F1412" i="5"/>
  <c r="F1411" i="5"/>
  <c r="F1410" i="5"/>
  <c r="F1397" i="5"/>
  <c r="F1396" i="5"/>
  <c r="F1395" i="5"/>
  <c r="F1394" i="5"/>
  <c r="F1393" i="5"/>
  <c r="F1386" i="5"/>
  <c r="F1385" i="5"/>
  <c r="F1384" i="5"/>
  <c r="F1383" i="5"/>
  <c r="F1382" i="5"/>
  <c r="F1381" i="5"/>
  <c r="F1380" i="5"/>
  <c r="F1379" i="5"/>
  <c r="F1378" i="5"/>
  <c r="F1377" i="5"/>
  <c r="F1372" i="5"/>
  <c r="F1371" i="5"/>
  <c r="F1370" i="5"/>
  <c r="F1369" i="5"/>
  <c r="F1368" i="5"/>
  <c r="F1367" i="5"/>
  <c r="F1366" i="5"/>
  <c r="F1365" i="5"/>
  <c r="F1364" i="5"/>
  <c r="F1363" i="5"/>
  <c r="F1362" i="5"/>
  <c r="F1361" i="5"/>
  <c r="F1360" i="5"/>
  <c r="F1349" i="5"/>
  <c r="F1348" i="5"/>
  <c r="F1347" i="5"/>
  <c r="F1346" i="5"/>
  <c r="F1345" i="5"/>
  <c r="F1338" i="5"/>
  <c r="F1337" i="5"/>
  <c r="F1336" i="5"/>
  <c r="F1335" i="5"/>
  <c r="F1334" i="5"/>
  <c r="F1333" i="5"/>
  <c r="F1332" i="5"/>
  <c r="F1331" i="5"/>
  <c r="F1330" i="5"/>
  <c r="F1329" i="5"/>
  <c r="F1324" i="5"/>
  <c r="F1323" i="5"/>
  <c r="F1322" i="5"/>
  <c r="F1321" i="5"/>
  <c r="F1320" i="5"/>
  <c r="F1319" i="5"/>
  <c r="F1318" i="5"/>
  <c r="F1317" i="5"/>
  <c r="F1316" i="5"/>
  <c r="F1315" i="5"/>
  <c r="F1314" i="5"/>
  <c r="F1313" i="5"/>
  <c r="F1301" i="5"/>
  <c r="F1300" i="5"/>
  <c r="F1299" i="5"/>
  <c r="F1290" i="5"/>
  <c r="F1289" i="5"/>
  <c r="F1288" i="5"/>
  <c r="F1287" i="5"/>
  <c r="F1286" i="5"/>
  <c r="F1285" i="5"/>
  <c r="F1284" i="5"/>
  <c r="F1283" i="5"/>
  <c r="F1282" i="5"/>
  <c r="F1276" i="5"/>
  <c r="F1275" i="5"/>
  <c r="F1274" i="5"/>
  <c r="F1157" i="5"/>
  <c r="F1156" i="5"/>
  <c r="F1155" i="5"/>
  <c r="F1154" i="5"/>
  <c r="F1153" i="5"/>
  <c r="F1146" i="5"/>
  <c r="F1145" i="5"/>
  <c r="F1144" i="5"/>
  <c r="F1143" i="5"/>
  <c r="F1142" i="5"/>
  <c r="F1141" i="5"/>
  <c r="F1140" i="5"/>
  <c r="F1139" i="5"/>
  <c r="F1138" i="5"/>
  <c r="F1137" i="5"/>
  <c r="F1132" i="5"/>
  <c r="F1131" i="5"/>
  <c r="F1130" i="5"/>
  <c r="F1129" i="5"/>
  <c r="F1128" i="5"/>
  <c r="F1127" i="5"/>
  <c r="F1126" i="5"/>
  <c r="F1125" i="5"/>
  <c r="F1124" i="5"/>
  <c r="F1123" i="5"/>
  <c r="F1122" i="5"/>
  <c r="F1121" i="5"/>
  <c r="F1013" i="5"/>
  <c r="F1012" i="5"/>
  <c r="F1011" i="5"/>
  <c r="F1010" i="5"/>
  <c r="F1009" i="5"/>
  <c r="F1002" i="5"/>
  <c r="F1001" i="5"/>
  <c r="F1000" i="5"/>
  <c r="F999" i="5"/>
  <c r="F998" i="5"/>
  <c r="F997" i="5"/>
  <c r="F996" i="5"/>
  <c r="F995" i="5"/>
  <c r="F994" i="5"/>
  <c r="F988" i="5"/>
  <c r="F987" i="5"/>
  <c r="F986" i="5"/>
  <c r="F985" i="5"/>
  <c r="F984" i="5"/>
  <c r="F983" i="5"/>
  <c r="F982" i="5"/>
  <c r="F725" i="5"/>
  <c r="F724" i="5"/>
  <c r="F723" i="5"/>
  <c r="F722" i="5"/>
  <c r="F721" i="5"/>
  <c r="F720" i="5"/>
  <c r="F719" i="5"/>
  <c r="F714" i="5"/>
  <c r="F713" i="5"/>
  <c r="F712" i="5"/>
  <c r="F711" i="5"/>
  <c r="F710" i="5"/>
  <c r="F709" i="5"/>
  <c r="F708" i="5"/>
  <c r="F707" i="5"/>
  <c r="F706" i="5"/>
  <c r="F700" i="5"/>
  <c r="F699" i="5"/>
  <c r="F698" i="5"/>
  <c r="F697" i="5"/>
  <c r="F696" i="5"/>
  <c r="F695" i="5"/>
  <c r="F694" i="5"/>
  <c r="F693" i="5"/>
  <c r="F692" i="5"/>
  <c r="F691" i="5"/>
  <c r="F690" i="5"/>
  <c r="F689" i="5"/>
  <c r="F688" i="5"/>
  <c r="F687" i="5"/>
  <c r="F686" i="5"/>
  <c r="F685" i="5"/>
  <c r="F677" i="5"/>
  <c r="F676" i="5"/>
  <c r="F675" i="5"/>
  <c r="F674" i="5"/>
  <c r="F673" i="5"/>
  <c r="F672" i="5"/>
  <c r="F666" i="5"/>
  <c r="F665" i="5"/>
  <c r="F664" i="5"/>
  <c r="F663" i="5"/>
  <c r="F662" i="5"/>
  <c r="F661" i="5"/>
  <c r="F660" i="5"/>
  <c r="F659" i="5"/>
  <c r="F652" i="5"/>
  <c r="F651" i="5"/>
  <c r="F650" i="5"/>
  <c r="F649" i="5"/>
  <c r="F648" i="5"/>
  <c r="F647" i="5"/>
  <c r="F646" i="5"/>
  <c r="F645" i="5"/>
  <c r="F644" i="5"/>
  <c r="F643" i="5"/>
  <c r="F642" i="5"/>
  <c r="F641" i="5"/>
  <c r="F640" i="5"/>
  <c r="F639" i="5"/>
  <c r="F638" i="5"/>
  <c r="F637" i="5"/>
  <c r="F629" i="5"/>
  <c r="F628" i="5"/>
  <c r="F627" i="5"/>
  <c r="F626" i="5"/>
  <c r="F625" i="5"/>
  <c r="F624" i="5"/>
  <c r="F618" i="5"/>
  <c r="F617" i="5"/>
  <c r="F616" i="5"/>
  <c r="F615" i="5"/>
  <c r="F614" i="5"/>
  <c r="F613" i="5"/>
  <c r="F612" i="5"/>
  <c r="F611" i="5"/>
  <c r="F610" i="5"/>
  <c r="F604" i="5"/>
  <c r="F603" i="5"/>
  <c r="F602" i="5"/>
  <c r="F601" i="5"/>
  <c r="F600" i="5"/>
  <c r="F599" i="5"/>
  <c r="F598" i="5"/>
  <c r="F597" i="5"/>
  <c r="F596" i="5"/>
  <c r="F595" i="5"/>
  <c r="F594" i="5"/>
  <c r="F593" i="5"/>
  <c r="F592" i="5"/>
  <c r="F591" i="5"/>
  <c r="F590" i="5"/>
  <c r="F589" i="5"/>
  <c r="F581" i="5"/>
  <c r="F580" i="5"/>
  <c r="F579" i="5"/>
  <c r="F578" i="5"/>
  <c r="F577" i="5"/>
  <c r="F576" i="5"/>
  <c r="F570" i="5"/>
  <c r="F569" i="5"/>
  <c r="F568" i="5"/>
  <c r="F567" i="5"/>
  <c r="F566" i="5"/>
  <c r="F565" i="5"/>
  <c r="F564" i="5"/>
  <c r="F563" i="5"/>
  <c r="F562" i="5"/>
  <c r="F561" i="5"/>
  <c r="F556" i="5"/>
  <c r="F555" i="5"/>
  <c r="F554" i="5"/>
  <c r="F553" i="5"/>
  <c r="F552" i="5"/>
  <c r="F551" i="5"/>
  <c r="F550" i="5"/>
  <c r="F549" i="5"/>
  <c r="F548" i="5"/>
  <c r="F547" i="5"/>
  <c r="F546" i="5"/>
  <c r="F545" i="5"/>
  <c r="F544" i="5"/>
  <c r="F543" i="5"/>
  <c r="F542" i="5"/>
  <c r="F541" i="5"/>
  <c r="F437" i="5"/>
  <c r="F436" i="5"/>
  <c r="F435" i="5"/>
  <c r="F434" i="5"/>
  <c r="F433" i="5"/>
  <c r="F426" i="5"/>
  <c r="F425" i="5"/>
  <c r="F424" i="5"/>
  <c r="F423" i="5"/>
  <c r="F422" i="5"/>
  <c r="F421" i="5"/>
  <c r="F420" i="5"/>
  <c r="F419" i="5"/>
  <c r="F418" i="5"/>
  <c r="F417" i="5"/>
  <c r="F412" i="5"/>
  <c r="F411" i="5"/>
  <c r="F410" i="5"/>
  <c r="F409" i="5"/>
  <c r="F408" i="5"/>
  <c r="F407" i="5"/>
  <c r="F406" i="5"/>
  <c r="F405" i="5"/>
  <c r="F404" i="5"/>
  <c r="F403" i="5"/>
  <c r="F402" i="5"/>
  <c r="F401" i="5"/>
  <c r="F400" i="5"/>
  <c r="F399" i="5"/>
  <c r="F398" i="5"/>
  <c r="F397" i="5"/>
  <c r="F389" i="5"/>
  <c r="F388" i="5"/>
  <c r="F387" i="5"/>
  <c r="F386" i="5"/>
  <c r="F385" i="5"/>
  <c r="F378" i="5"/>
  <c r="F377" i="5"/>
  <c r="F376" i="5"/>
  <c r="F375" i="5"/>
  <c r="F374" i="5"/>
  <c r="F373" i="5"/>
  <c r="F372" i="5"/>
  <c r="F371" i="5"/>
  <c r="F370" i="5"/>
  <c r="F369" i="5"/>
  <c r="F364" i="5"/>
  <c r="F363" i="5"/>
  <c r="F362" i="5"/>
  <c r="F361" i="5"/>
  <c r="F360" i="5"/>
  <c r="F359" i="5"/>
  <c r="F358" i="5"/>
  <c r="F357" i="5"/>
  <c r="F356" i="5"/>
  <c r="F355" i="5"/>
  <c r="F354" i="5"/>
  <c r="F353" i="5"/>
  <c r="F352" i="5"/>
  <c r="F351" i="5"/>
  <c r="F350" i="5"/>
  <c r="F349" i="5"/>
  <c r="F341" i="5"/>
  <c r="F340" i="5"/>
  <c r="F339" i="5"/>
  <c r="F338" i="5"/>
  <c r="F337" i="5"/>
  <c r="F330" i="5"/>
  <c r="F329" i="5"/>
  <c r="F328" i="5"/>
  <c r="F327" i="5"/>
  <c r="F325" i="5"/>
  <c r="F324" i="5"/>
  <c r="F323" i="5"/>
  <c r="F322" i="5"/>
  <c r="F321" i="5"/>
  <c r="F316" i="5"/>
  <c r="F315" i="5"/>
  <c r="F314" i="5"/>
  <c r="F313" i="5"/>
  <c r="F312" i="5"/>
  <c r="F311" i="5"/>
  <c r="F310" i="5"/>
  <c r="F309" i="5"/>
  <c r="F308" i="5"/>
  <c r="F307" i="5"/>
  <c r="F306" i="5"/>
  <c r="F305" i="5"/>
  <c r="F304" i="5"/>
  <c r="F303" i="5"/>
  <c r="F302" i="5"/>
  <c r="F301" i="5"/>
  <c r="F293" i="5"/>
  <c r="F292" i="5"/>
  <c r="F291" i="5"/>
  <c r="F290" i="5"/>
  <c r="F289" i="5"/>
  <c r="F282" i="5"/>
  <c r="F281" i="5"/>
  <c r="F280" i="5"/>
  <c r="F279" i="5"/>
  <c r="F278" i="5"/>
  <c r="F277" i="5"/>
  <c r="F276" i="5"/>
  <c r="F275" i="5"/>
  <c r="F274" i="5"/>
  <c r="F273" i="5"/>
  <c r="F268" i="5"/>
  <c r="F267" i="5"/>
  <c r="F266" i="5"/>
  <c r="F265" i="5"/>
  <c r="F264" i="5"/>
  <c r="F263" i="5"/>
  <c r="F262" i="5"/>
  <c r="F261" i="5"/>
  <c r="F260" i="5"/>
  <c r="F259" i="5"/>
  <c r="F258" i="5"/>
  <c r="F257" i="5"/>
  <c r="F256" i="5"/>
  <c r="F255" i="5"/>
  <c r="F254" i="5"/>
  <c r="F253" i="5"/>
  <c r="F101" i="5"/>
  <c r="F100" i="5"/>
  <c r="F99" i="5"/>
  <c r="F98" i="5"/>
  <c r="F97" i="5"/>
  <c r="F90" i="5"/>
  <c r="F89" i="5"/>
  <c r="F88" i="5"/>
  <c r="F87" i="5"/>
  <c r="F86" i="5"/>
  <c r="F85" i="5"/>
  <c r="F84" i="5"/>
  <c r="F83" i="5"/>
  <c r="F82" i="5"/>
  <c r="F81" i="5"/>
  <c r="F76" i="5"/>
  <c r="F75" i="5"/>
  <c r="F74" i="5"/>
  <c r="F73" i="5"/>
  <c r="F72" i="5"/>
  <c r="F71" i="5"/>
  <c r="F70" i="5"/>
  <c r="F69" i="5"/>
  <c r="F68" i="5"/>
  <c r="F67" i="5"/>
  <c r="F66" i="5"/>
  <c r="F65" i="5"/>
  <c r="F53" i="5"/>
  <c r="F52" i="5"/>
  <c r="F51" i="5"/>
  <c r="F50" i="5"/>
  <c r="F49" i="5"/>
  <c r="F42" i="5"/>
  <c r="F41" i="5"/>
  <c r="F40" i="5"/>
  <c r="F39" i="5"/>
  <c r="F38" i="5"/>
  <c r="F28" i="5"/>
  <c r="F27" i="5"/>
  <c r="F26" i="5"/>
  <c r="F25" i="5"/>
  <c r="F24" i="5"/>
  <c r="F23" i="5"/>
  <c r="F22" i="5"/>
  <c r="F21" i="5"/>
  <c r="F20" i="5"/>
  <c r="F19" i="5"/>
  <c r="F18" i="5"/>
  <c r="F17" i="5"/>
  <c r="F16" i="5"/>
  <c r="F15" i="5"/>
  <c r="F14" i="5"/>
  <c r="B2482" i="5" l="1"/>
  <c r="D2482" i="5"/>
  <c r="D1268" i="5"/>
  <c r="B1268" i="5"/>
  <c r="B4093" i="5"/>
  <c r="D4093" i="5"/>
  <c r="F269" i="5"/>
  <c r="F5526" i="5"/>
  <c r="F726" i="5"/>
  <c r="F4422" i="5"/>
  <c r="F317" i="5"/>
  <c r="F331" i="5"/>
  <c r="F413" i="5"/>
  <c r="F427" i="5"/>
  <c r="F557" i="5"/>
  <c r="F571" i="5"/>
  <c r="F2093" i="5"/>
  <c r="F2107" i="5"/>
  <c r="F605" i="5"/>
  <c r="F1963" i="5"/>
  <c r="F91" i="5"/>
  <c r="F1723" i="5"/>
  <c r="F2189" i="5"/>
  <c r="F2203" i="5"/>
  <c r="F4171" i="5"/>
  <c r="F1387" i="5"/>
  <c r="F283" i="5"/>
  <c r="F365" i="5"/>
  <c r="F379" i="5"/>
  <c r="F3643" i="5"/>
  <c r="F2141" i="5"/>
  <c r="F2683" i="5"/>
  <c r="F2971" i="5"/>
  <c r="F3307" i="5"/>
  <c r="F3355" i="5"/>
  <c r="F3499" i="5"/>
  <c r="F4123" i="5"/>
  <c r="F5131" i="5"/>
  <c r="F5323" i="5"/>
  <c r="F5501" i="5"/>
  <c r="F701" i="5"/>
  <c r="F1339" i="5"/>
  <c r="F1819" i="5"/>
  <c r="F2731" i="5"/>
  <c r="F3019" i="5"/>
  <c r="F3115" i="5"/>
  <c r="F3547" i="5"/>
  <c r="F4397" i="5"/>
  <c r="F4795" i="5"/>
  <c r="F5179" i="5"/>
  <c r="F5371" i="5"/>
  <c r="F5899" i="5"/>
  <c r="F4603" i="5"/>
  <c r="F4987" i="5"/>
  <c r="F5549" i="5"/>
  <c r="F5563" i="5"/>
  <c r="F653" i="5"/>
  <c r="F1147" i="5"/>
  <c r="F1579" i="5"/>
  <c r="F1771" i="5"/>
  <c r="F2347" i="5"/>
  <c r="F3163" i="5"/>
  <c r="F3451" i="5"/>
  <c r="F3931" i="5"/>
  <c r="F4363" i="5"/>
  <c r="F4939" i="5"/>
  <c r="F5275" i="5"/>
  <c r="F1120" i="5" l="1"/>
  <c r="B1120" i="5" l="1"/>
  <c r="D1120" i="5"/>
  <c r="C92" i="5" l="1"/>
  <c r="F92" i="5" s="1"/>
  <c r="C428" i="5"/>
  <c r="F428" i="5" s="1"/>
  <c r="C1340" i="5"/>
  <c r="F1340" i="5" s="1"/>
  <c r="C1724" i="5"/>
  <c r="F1724" i="5" s="1"/>
  <c r="C2108" i="5"/>
  <c r="F2108" i="5" s="1"/>
  <c r="C2492" i="5"/>
  <c r="C2924" i="5"/>
  <c r="C3164" i="5"/>
  <c r="F3164" i="5" s="1"/>
  <c r="C3404" i="5"/>
  <c r="C4604" i="5"/>
  <c r="F4604" i="5" s="1"/>
  <c r="C4940" i="5"/>
  <c r="F4940" i="5" s="1"/>
  <c r="C5564" i="5"/>
  <c r="F5564" i="5" s="1"/>
  <c r="C104" i="5"/>
  <c r="C344" i="5"/>
  <c r="C440" i="5"/>
  <c r="C584" i="5"/>
  <c r="C632" i="5"/>
  <c r="C728" i="5"/>
  <c r="C1160" i="5"/>
  <c r="C1304" i="5"/>
  <c r="C1352" i="5"/>
  <c r="C1448" i="5"/>
  <c r="C1592" i="5"/>
  <c r="C1736" i="5"/>
  <c r="C1832" i="5"/>
  <c r="C2120" i="5"/>
  <c r="C2216" i="5"/>
  <c r="C2504" i="5"/>
  <c r="C2648" i="5"/>
  <c r="C2744" i="5"/>
  <c r="C2936" i="5"/>
  <c r="C3032" i="5"/>
  <c r="C3080" i="5"/>
  <c r="C3176" i="5"/>
  <c r="C3272" i="5"/>
  <c r="C3368" i="5"/>
  <c r="C3416" i="5"/>
  <c r="C3512" i="5"/>
  <c r="C3944" i="5"/>
  <c r="C4184" i="5"/>
  <c r="C4616" i="5"/>
  <c r="C4712" i="5"/>
  <c r="C4856" i="5"/>
  <c r="C4952" i="5"/>
  <c r="C5000" i="5"/>
  <c r="C5144" i="5"/>
  <c r="C5336" i="5"/>
  <c r="C5576" i="5"/>
  <c r="C5960" i="5"/>
  <c r="C572" i="5"/>
  <c r="F572" i="5" s="1"/>
  <c r="C716" i="5"/>
  <c r="C1148" i="5"/>
  <c r="F1148" i="5" s="1"/>
  <c r="C1580" i="5"/>
  <c r="F1580" i="5" s="1"/>
  <c r="C2204" i="5"/>
  <c r="F2204" i="5" s="1"/>
  <c r="C2636" i="5"/>
  <c r="C3020" i="5"/>
  <c r="F3020" i="5" s="1"/>
  <c r="C3260" i="5"/>
  <c r="C3932" i="5"/>
  <c r="F3932" i="5" s="1"/>
  <c r="C4700" i="5"/>
  <c r="C4844" i="5"/>
  <c r="C5132" i="5"/>
  <c r="F5132" i="5" s="1"/>
  <c r="C5324" i="5"/>
  <c r="F5324" i="5" s="1"/>
  <c r="C5948" i="5"/>
  <c r="C44" i="5"/>
  <c r="C284" i="5"/>
  <c r="F284" i="5" s="1"/>
  <c r="C380" i="5"/>
  <c r="F380" i="5" s="1"/>
  <c r="C668" i="5"/>
  <c r="C1004" i="5"/>
  <c r="C1388" i="5"/>
  <c r="F1388" i="5" s="1"/>
  <c r="C1484" i="5"/>
  <c r="C1676" i="5"/>
  <c r="C1772" i="5"/>
  <c r="F1772" i="5" s="1"/>
  <c r="C1964" i="5"/>
  <c r="F1964" i="5" s="1"/>
  <c r="C2156" i="5"/>
  <c r="C2348" i="5"/>
  <c r="F2348" i="5" s="1"/>
  <c r="C2444" i="5"/>
  <c r="C2588" i="5"/>
  <c r="C2684" i="5"/>
  <c r="F2684" i="5" s="1"/>
  <c r="C2876" i="5"/>
  <c r="C2972" i="5"/>
  <c r="F2972" i="5" s="1"/>
  <c r="C3116" i="5"/>
  <c r="F3116" i="5" s="1"/>
  <c r="C3212" i="5"/>
  <c r="C3308" i="5"/>
  <c r="F3308" i="5" s="1"/>
  <c r="C3452" i="5"/>
  <c r="F3452" i="5" s="1"/>
  <c r="C3548" i="5"/>
  <c r="F3548" i="5" s="1"/>
  <c r="C3644" i="5"/>
  <c r="F3644" i="5" s="1"/>
  <c r="C4124" i="5"/>
  <c r="F4124" i="5" s="1"/>
  <c r="C4364" i="5"/>
  <c r="C4412" i="5"/>
  <c r="C4796" i="5"/>
  <c r="F4796" i="5" s="1"/>
  <c r="C4892" i="5"/>
  <c r="C5036" i="5"/>
  <c r="C5180" i="5"/>
  <c r="F5180" i="5" s="1"/>
  <c r="C5276" i="5"/>
  <c r="F5276" i="5" s="1"/>
  <c r="C5372" i="5"/>
  <c r="F5372" i="5" s="1"/>
  <c r="C5516" i="5"/>
  <c r="C5900" i="5"/>
  <c r="F5900" i="5" s="1"/>
  <c r="C332" i="5"/>
  <c r="F332" i="5" s="1"/>
  <c r="C620" i="5"/>
  <c r="C1292" i="5"/>
  <c r="C1436" i="5"/>
  <c r="C1820" i="5"/>
  <c r="F1820" i="5" s="1"/>
  <c r="C2732" i="5"/>
  <c r="F2732" i="5" s="1"/>
  <c r="C3068" i="5"/>
  <c r="C3356" i="5"/>
  <c r="F3356" i="5" s="1"/>
  <c r="C3500" i="5"/>
  <c r="F3500" i="5" s="1"/>
  <c r="C4172" i="5"/>
  <c r="F4172" i="5" s="1"/>
  <c r="C4988" i="5"/>
  <c r="F4988" i="5" s="1"/>
  <c r="C56" i="5"/>
  <c r="C296" i="5"/>
  <c r="C392" i="5"/>
  <c r="C680" i="5"/>
  <c r="C1016" i="5"/>
  <c r="C1400" i="5"/>
  <c r="C1496" i="5"/>
  <c r="C1688" i="5"/>
  <c r="C1784" i="5"/>
  <c r="C1976" i="5"/>
  <c r="C2168" i="5"/>
  <c r="C2360" i="5"/>
  <c r="C2456" i="5"/>
  <c r="C2600" i="5"/>
  <c r="C2696" i="5"/>
  <c r="C2888" i="5"/>
  <c r="C2984" i="5"/>
  <c r="C3128" i="5"/>
  <c r="C3224" i="5"/>
  <c r="C3320" i="5"/>
  <c r="C3464" i="5"/>
  <c r="C3560" i="5"/>
  <c r="C3656" i="5"/>
  <c r="C4136" i="5"/>
  <c r="C4376" i="5"/>
  <c r="C4424" i="5"/>
  <c r="C4808" i="5"/>
  <c r="C4904" i="5"/>
  <c r="C5048" i="5"/>
  <c r="C5192" i="5"/>
  <c r="C5288" i="5"/>
  <c r="C5384" i="5"/>
  <c r="C5528" i="5"/>
  <c r="C5912" i="5"/>
  <c r="F4364" i="5" l="1"/>
  <c r="F4989" i="5"/>
  <c r="F333" i="5"/>
  <c r="F2973" i="5"/>
  <c r="F1389" i="5"/>
  <c r="F573" i="5"/>
  <c r="F3501" i="5"/>
  <c r="F5181" i="5"/>
  <c r="F4797" i="5"/>
  <c r="G145" i="1" s="1"/>
  <c r="F4125" i="5"/>
  <c r="F3549" i="5"/>
  <c r="F2349" i="5"/>
  <c r="J78" i="1" s="1"/>
  <c r="F1773" i="5"/>
  <c r="F5325" i="5"/>
  <c r="G159" i="1" s="1"/>
  <c r="F3021" i="5"/>
  <c r="F1581" i="5"/>
  <c r="F5565" i="5"/>
  <c r="G164" i="1" s="1"/>
  <c r="F4605" i="5"/>
  <c r="F3165" i="5"/>
  <c r="F1725" i="5"/>
  <c r="F5277" i="5"/>
  <c r="G158" i="1" s="1"/>
  <c r="F1965" i="5"/>
  <c r="F381" i="5"/>
  <c r="F1821" i="5"/>
  <c r="F3645" i="5"/>
  <c r="F3453" i="5"/>
  <c r="F3117" i="5"/>
  <c r="F2685" i="5"/>
  <c r="F285" i="5"/>
  <c r="F5133" i="5"/>
  <c r="F3933" i="5"/>
  <c r="F1149" i="5"/>
  <c r="F1341" i="5"/>
  <c r="F429" i="5"/>
  <c r="F2733" i="5"/>
  <c r="F5901" i="5"/>
  <c r="G171" i="1" s="1"/>
  <c r="F3309" i="5"/>
  <c r="F2109" i="5"/>
  <c r="F3357" i="5"/>
  <c r="F4173" i="5"/>
  <c r="F5373" i="5"/>
  <c r="G160" i="1" s="1"/>
  <c r="F2205" i="5"/>
  <c r="F4941" i="5"/>
  <c r="F93" i="5"/>
  <c r="E5922" i="5"/>
  <c r="F5922" i="5" s="1"/>
  <c r="A5922" i="5"/>
  <c r="E5921" i="5"/>
  <c r="F5921" i="5" s="1"/>
  <c r="A5921" i="5"/>
  <c r="E5871" i="5"/>
  <c r="F5871" i="5" s="1"/>
  <c r="A5871" i="5"/>
  <c r="F4365" i="5" l="1"/>
  <c r="J171" i="1"/>
  <c r="J160" i="1"/>
  <c r="J158" i="1"/>
  <c r="J169" i="1"/>
  <c r="J164" i="1"/>
  <c r="J159" i="1"/>
  <c r="G54" i="1"/>
  <c r="G26" i="1"/>
  <c r="B5922" i="5"/>
  <c r="D5922" i="5"/>
  <c r="D5871" i="5"/>
  <c r="B5871" i="5"/>
  <c r="B5921" i="5"/>
  <c r="D5921" i="5"/>
  <c r="A3616" i="5"/>
  <c r="E3615" i="5"/>
  <c r="F3615" i="5" s="1"/>
  <c r="E3614" i="5"/>
  <c r="F3614" i="5" s="1"/>
  <c r="D3407" i="5"/>
  <c r="E3394" i="5"/>
  <c r="F3394" i="5" s="1"/>
  <c r="A3394" i="5"/>
  <c r="E3393" i="5"/>
  <c r="F3393" i="5" s="1"/>
  <c r="A3393" i="5"/>
  <c r="E3250" i="5"/>
  <c r="F3250" i="5" s="1"/>
  <c r="E3249" i="5"/>
  <c r="F3249" i="5" s="1"/>
  <c r="A3250" i="5"/>
  <c r="A3249" i="5"/>
  <c r="E3377" i="5"/>
  <c r="F3377" i="5" s="1"/>
  <c r="D3311" i="5"/>
  <c r="E3185" i="5"/>
  <c r="F3185" i="5" s="1"/>
  <c r="E3188" i="5"/>
  <c r="F3188" i="5" s="1"/>
  <c r="A3188" i="5"/>
  <c r="E3187" i="5"/>
  <c r="F3187" i="5" s="1"/>
  <c r="A3187" i="5"/>
  <c r="E3186" i="5"/>
  <c r="F3186" i="5" s="1"/>
  <c r="A3186" i="5"/>
  <c r="E3184" i="5"/>
  <c r="F3184" i="5" s="1"/>
  <c r="C3218" i="5"/>
  <c r="E3202" i="5"/>
  <c r="F3202" i="5" s="1"/>
  <c r="A3202" i="5"/>
  <c r="E3201" i="5"/>
  <c r="F3201" i="5" s="1"/>
  <c r="A3201" i="5"/>
  <c r="E3058" i="5"/>
  <c r="F3058" i="5" s="1"/>
  <c r="E3057" i="5"/>
  <c r="F3057" i="5" s="1"/>
  <c r="A3058" i="5"/>
  <c r="A3057" i="5"/>
  <c r="J26" i="1" l="1"/>
  <c r="J54" i="1"/>
  <c r="D3057" i="5"/>
  <c r="B3057" i="5"/>
  <c r="B3058" i="5"/>
  <c r="D3058" i="5"/>
  <c r="B3393" i="5"/>
  <c r="D3393" i="5"/>
  <c r="B3249" i="5"/>
  <c r="D3249" i="5"/>
  <c r="B3201" i="5"/>
  <c r="D3201" i="5"/>
  <c r="B3394" i="5"/>
  <c r="D3394" i="5"/>
  <c r="B3250" i="5"/>
  <c r="D3250" i="5"/>
  <c r="B3202" i="5"/>
  <c r="D3202" i="5"/>
  <c r="D3185" i="5"/>
  <c r="B3185" i="5"/>
  <c r="D3186" i="5"/>
  <c r="B3186" i="5"/>
  <c r="D3188" i="5"/>
  <c r="B3188" i="5"/>
  <c r="D3184" i="5"/>
  <c r="B3184" i="5"/>
  <c r="D3615" i="5"/>
  <c r="B3615" i="5"/>
  <c r="B3377" i="5"/>
  <c r="D3377" i="5"/>
  <c r="B3616" i="5"/>
  <c r="D3616" i="5"/>
  <c r="B3901" i="5"/>
  <c r="D3901" i="5"/>
  <c r="D3614" i="5"/>
  <c r="B3614" i="5"/>
  <c r="D3187" i="5"/>
  <c r="B3187" i="5"/>
  <c r="F3259" i="5"/>
  <c r="F3260" i="5" s="1"/>
  <c r="F3211" i="5"/>
  <c r="F3212" i="5" s="1"/>
  <c r="F3403" i="5"/>
  <c r="F3404" i="5" s="1"/>
  <c r="F3067" i="5"/>
  <c r="F3068" i="5" s="1"/>
  <c r="C2928" i="5"/>
  <c r="C2927" i="5"/>
  <c r="C2914" i="5"/>
  <c r="C2913" i="5"/>
  <c r="C2895" i="5"/>
  <c r="C2894" i="5"/>
  <c r="C2893" i="5"/>
  <c r="C2976" i="5"/>
  <c r="C2975" i="5"/>
  <c r="C2943" i="5"/>
  <c r="C2942" i="5"/>
  <c r="C2941" i="5"/>
  <c r="F3069" i="5" l="1"/>
  <c r="F3213" i="5"/>
  <c r="F3405" i="5"/>
  <c r="F3261" i="5"/>
  <c r="C2879" i="5"/>
  <c r="E2656" i="5"/>
  <c r="F2656" i="5" s="1"/>
  <c r="A2656" i="5"/>
  <c r="E2655" i="5"/>
  <c r="F2655" i="5" s="1"/>
  <c r="A2655" i="5"/>
  <c r="E2654" i="5"/>
  <c r="F2654" i="5" s="1"/>
  <c r="A2654" i="5"/>
  <c r="E2653" i="5"/>
  <c r="F2653" i="5" s="1"/>
  <c r="A2653" i="5"/>
  <c r="D2640" i="5"/>
  <c r="F2626" i="5"/>
  <c r="F2625" i="5"/>
  <c r="A2592" i="5"/>
  <c r="D2592" i="5" s="1"/>
  <c r="E2578" i="5"/>
  <c r="F2578" i="5" s="1"/>
  <c r="A2578" i="5"/>
  <c r="E2482" i="5"/>
  <c r="D2497" i="5"/>
  <c r="E2466" i="5"/>
  <c r="F2466" i="5" s="1"/>
  <c r="D2625" i="5" l="1"/>
  <c r="B2625" i="5"/>
  <c r="D2578" i="5"/>
  <c r="B2578" i="5"/>
  <c r="D2656" i="5"/>
  <c r="B2656" i="5"/>
  <c r="D2466" i="5"/>
  <c r="B2466" i="5"/>
  <c r="B2654" i="5"/>
  <c r="D2654" i="5"/>
  <c r="D2655" i="5"/>
  <c r="B2655" i="5"/>
  <c r="D2653" i="5"/>
  <c r="B2653" i="5"/>
  <c r="F2482" i="5"/>
  <c r="F2669" i="5"/>
  <c r="F2635" i="5"/>
  <c r="F2636" i="5" s="1"/>
  <c r="C1967" i="5"/>
  <c r="C1775" i="5"/>
  <c r="C1727" i="5"/>
  <c r="E981" i="5"/>
  <c r="F981" i="5" s="1"/>
  <c r="A981" i="5"/>
  <c r="F658" i="5"/>
  <c r="A575" i="5"/>
  <c r="D575" i="5" s="1"/>
  <c r="B658" i="5" l="1"/>
  <c r="D658" i="5"/>
  <c r="B981" i="5"/>
  <c r="D981" i="5"/>
  <c r="F2637" i="5"/>
  <c r="J4968" i="7" l="1"/>
  <c r="J4965" i="7"/>
  <c r="J4962" i="7"/>
  <c r="C4968" i="7"/>
  <c r="C4965" i="7"/>
  <c r="C4962" i="7"/>
  <c r="A4965" i="7"/>
  <c r="M4965" i="7" s="1"/>
  <c r="A4968" i="7"/>
  <c r="K4968" i="7" s="1"/>
  <c r="A4962" i="7"/>
  <c r="K4962" i="7" s="1"/>
  <c r="A4957" i="7"/>
  <c r="C4956" i="7"/>
  <c r="J3885" i="7"/>
  <c r="C3885" i="7"/>
  <c r="A3885" i="7"/>
  <c r="K3885" i="7" s="1"/>
  <c r="A3880" i="7"/>
  <c r="C3879" i="7"/>
  <c r="J1467" i="7"/>
  <c r="C1467" i="7"/>
  <c r="A1467" i="7"/>
  <c r="K1467" i="7" s="1"/>
  <c r="A1462" i="7"/>
  <c r="C1461" i="7"/>
  <c r="J2217" i="7"/>
  <c r="C2217" i="7"/>
  <c r="A2217" i="7"/>
  <c r="K2217" i="7" s="1"/>
  <c r="A2212" i="7"/>
  <c r="C2211" i="7"/>
  <c r="F5343" i="5"/>
  <c r="F5342" i="5"/>
  <c r="E5341" i="5"/>
  <c r="F5341" i="5" s="1"/>
  <c r="F5296" i="5"/>
  <c r="F5295" i="5"/>
  <c r="F5294" i="5"/>
  <c r="E5293" i="5"/>
  <c r="F5293" i="5" s="1"/>
  <c r="F5248" i="5"/>
  <c r="F5247" i="5"/>
  <c r="F5246" i="5"/>
  <c r="E5245" i="5"/>
  <c r="F5245" i="5" s="1"/>
  <c r="D5376" i="5"/>
  <c r="D5375" i="5"/>
  <c r="D5328" i="5"/>
  <c r="D5327" i="5"/>
  <c r="D5280" i="5"/>
  <c r="D5279" i="5"/>
  <c r="B5349" i="5"/>
  <c r="E5339" i="5"/>
  <c r="B5339" i="5"/>
  <c r="A5339" i="5"/>
  <c r="E5291" i="5"/>
  <c r="B5291" i="5"/>
  <c r="A5291" i="5"/>
  <c r="E5243" i="5"/>
  <c r="B5243" i="5"/>
  <c r="A5243" i="5"/>
  <c r="E4098" i="5"/>
  <c r="F4098" i="5" s="1"/>
  <c r="E4097" i="5"/>
  <c r="F4097" i="5" s="1"/>
  <c r="E4096" i="5"/>
  <c r="F4096" i="5" s="1"/>
  <c r="E4095" i="5"/>
  <c r="F4095" i="5" s="1"/>
  <c r="E4094" i="5"/>
  <c r="F4094" i="5" s="1"/>
  <c r="D4128" i="5"/>
  <c r="D4127" i="5"/>
  <c r="B4105" i="5"/>
  <c r="E4091" i="5"/>
  <c r="B4091" i="5"/>
  <c r="A4091" i="5"/>
  <c r="D4095" i="5" l="1"/>
  <c r="B4095" i="5"/>
  <c r="D4094" i="5"/>
  <c r="B4094" i="5"/>
  <c r="D4098" i="5"/>
  <c r="B4098" i="5"/>
  <c r="B4097" i="5"/>
  <c r="D4097" i="5"/>
  <c r="B5245" i="5"/>
  <c r="D5245" i="5"/>
  <c r="B5341" i="5"/>
  <c r="D5341" i="5"/>
  <c r="D4096" i="5"/>
  <c r="B4096" i="5"/>
  <c r="D5293" i="5"/>
  <c r="B5293" i="5"/>
  <c r="L4968" i="7"/>
  <c r="F4109" i="5"/>
  <c r="F5261" i="5"/>
  <c r="F5309" i="5"/>
  <c r="F5357" i="5"/>
  <c r="M4968" i="7"/>
  <c r="N4968" i="7" s="1"/>
  <c r="M4962" i="7"/>
  <c r="N4962" i="7" s="1"/>
  <c r="K4965" i="7"/>
  <c r="L4965" i="7" s="1"/>
  <c r="L4962" i="7"/>
  <c r="N4965" i="7"/>
  <c r="M3885" i="7"/>
  <c r="N3885" i="7" s="1"/>
  <c r="L3885" i="7"/>
  <c r="M1467" i="7"/>
  <c r="N1467" i="7" s="1"/>
  <c r="L1467" i="7"/>
  <c r="M2217" i="7"/>
  <c r="N2217" i="7" s="1"/>
  <c r="L2217" i="7"/>
  <c r="D1392" i="5" l="1"/>
  <c r="D1391" i="5"/>
  <c r="F1359" i="5"/>
  <c r="F1358" i="5"/>
  <c r="F1357" i="5"/>
  <c r="E1355" i="5"/>
  <c r="B1355" i="5"/>
  <c r="E2171" i="5"/>
  <c r="B2171" i="5"/>
  <c r="A2171" i="5"/>
  <c r="A2207" i="5"/>
  <c r="D2207" i="5" s="1"/>
  <c r="D1359" i="5" l="1"/>
  <c r="B1359" i="5"/>
  <c r="B1358" i="5"/>
  <c r="D1358" i="5"/>
  <c r="D1357" i="5"/>
  <c r="B1357" i="5"/>
  <c r="F1373" i="5"/>
  <c r="J3777" i="7" l="1"/>
  <c r="C3777" i="7"/>
  <c r="A3777" i="7"/>
  <c r="K3777" i="7" s="1"/>
  <c r="A3772" i="7"/>
  <c r="C3771" i="7"/>
  <c r="D3936" i="5"/>
  <c r="D3935" i="5"/>
  <c r="E3902" i="5"/>
  <c r="F3902" i="5" s="1"/>
  <c r="E3899" i="5"/>
  <c r="B3899" i="5"/>
  <c r="A3899" i="5"/>
  <c r="E1264" i="5"/>
  <c r="F1264" i="5" s="1"/>
  <c r="E1273" i="5"/>
  <c r="F1273" i="5" s="1"/>
  <c r="E1271" i="5"/>
  <c r="F1271" i="5" s="1"/>
  <c r="E1270" i="5"/>
  <c r="F1270" i="5" s="1"/>
  <c r="E1269" i="5"/>
  <c r="F1269" i="5" s="1"/>
  <c r="E1267" i="5"/>
  <c r="F1267" i="5" s="1"/>
  <c r="F1272" i="5"/>
  <c r="F1265" i="5"/>
  <c r="F1263" i="5"/>
  <c r="F1262" i="5"/>
  <c r="F1261" i="5"/>
  <c r="D1297" i="5"/>
  <c r="D1298" i="5"/>
  <c r="D1296" i="5"/>
  <c r="D1295" i="5"/>
  <c r="C1266" i="5"/>
  <c r="F1266" i="5" l="1"/>
  <c r="B3902" i="5"/>
  <c r="D3902" i="5"/>
  <c r="B1270" i="5"/>
  <c r="D1270" i="5"/>
  <c r="B1273" i="5"/>
  <c r="D1273" i="5"/>
  <c r="B1271" i="5"/>
  <c r="D1271" i="5"/>
  <c r="D1269" i="5"/>
  <c r="B1269" i="5"/>
  <c r="D1267" i="5"/>
  <c r="B1267" i="5"/>
  <c r="B1262" i="5"/>
  <c r="D1262" i="5"/>
  <c r="D1272" i="5"/>
  <c r="B1272" i="5"/>
  <c r="D1263" i="5"/>
  <c r="B1263" i="5"/>
  <c r="D1266" i="5"/>
  <c r="B1266" i="5"/>
  <c r="D1264" i="5"/>
  <c r="B1264" i="5"/>
  <c r="D1265" i="5"/>
  <c r="B1265" i="5"/>
  <c r="B1261" i="5"/>
  <c r="D1261" i="5"/>
  <c r="F3917" i="5"/>
  <c r="M3777" i="7"/>
  <c r="N3777" i="7" s="1"/>
  <c r="L3777" i="7"/>
  <c r="F1277" i="5" l="1"/>
  <c r="J2593" i="7" l="1"/>
  <c r="C2593" i="7"/>
  <c r="A2593" i="7"/>
  <c r="K2593" i="7" s="1"/>
  <c r="A2588" i="7"/>
  <c r="C2587" i="7"/>
  <c r="E2555" i="5"/>
  <c r="B2555" i="5"/>
  <c r="A2555" i="5"/>
  <c r="A2591" i="5"/>
  <c r="D2591" i="5" s="1"/>
  <c r="E2577" i="5"/>
  <c r="F2577" i="5" s="1"/>
  <c r="A2577" i="5"/>
  <c r="E2559" i="5"/>
  <c r="F2559" i="5" s="1"/>
  <c r="A2559" i="5"/>
  <c r="E2558" i="5"/>
  <c r="F2558" i="5" s="1"/>
  <c r="A2558" i="5"/>
  <c r="E2557" i="5"/>
  <c r="F2557" i="5" s="1"/>
  <c r="D2577" i="5" l="1"/>
  <c r="B2577" i="5"/>
  <c r="D2559" i="5"/>
  <c r="B2559" i="5"/>
  <c r="D2557" i="5"/>
  <c r="B2557" i="5"/>
  <c r="D2558" i="5"/>
  <c r="B2558" i="5"/>
  <c r="F2587" i="5"/>
  <c r="F2588" i="5" s="1"/>
  <c r="F2573" i="5"/>
  <c r="M2593" i="7"/>
  <c r="N2593" i="7" s="1"/>
  <c r="L2593" i="7"/>
  <c r="F2589" i="5" l="1"/>
  <c r="C4881" i="5" l="1"/>
  <c r="F1409" i="5" l="1"/>
  <c r="A1409" i="5"/>
  <c r="B1409" i="5" l="1"/>
  <c r="D1409" i="5"/>
  <c r="J4154" i="7" l="1"/>
  <c r="C4154" i="7"/>
  <c r="A4154" i="7"/>
  <c r="M4154" i="7" s="1"/>
  <c r="A4149" i="7"/>
  <c r="C4148" i="7"/>
  <c r="F4333" i="5"/>
  <c r="E4331" i="5"/>
  <c r="B4331" i="5"/>
  <c r="A4331" i="5"/>
  <c r="A500" i="7"/>
  <c r="C499" i="7"/>
  <c r="J615" i="7"/>
  <c r="C615" i="7"/>
  <c r="A615" i="7"/>
  <c r="K615" i="7" s="1"/>
  <c r="A610" i="7"/>
  <c r="C609" i="7"/>
  <c r="E539" i="5"/>
  <c r="B539" i="5"/>
  <c r="A539" i="5"/>
  <c r="F4349" i="5" l="1"/>
  <c r="K4154" i="7"/>
  <c r="L4154" i="7" s="1"/>
  <c r="N4154" i="7"/>
  <c r="M615" i="7"/>
  <c r="N615" i="7" s="1"/>
  <c r="L615" i="7"/>
  <c r="K4207" i="7" l="1"/>
  <c r="A4202" i="7"/>
  <c r="C4201" i="7"/>
  <c r="M4207" i="7" l="1"/>
  <c r="N4207" i="7" s="1"/>
  <c r="L4207" i="7"/>
  <c r="E4401" i="5"/>
  <c r="F4401" i="5" s="1"/>
  <c r="E4815" i="5"/>
  <c r="F4815" i="5" s="1"/>
  <c r="A4815" i="5"/>
  <c r="E4863" i="5"/>
  <c r="F4863" i="5" s="1"/>
  <c r="B4401" i="5" l="1"/>
  <c r="D4401" i="5"/>
  <c r="D4815" i="5"/>
  <c r="B4815" i="5"/>
  <c r="F4411" i="5"/>
  <c r="F4412" i="5" l="1"/>
  <c r="D4175" i="5"/>
  <c r="A3119" i="5"/>
  <c r="D3119" i="5" s="1"/>
  <c r="E3039" i="5"/>
  <c r="F3039" i="5" s="1"/>
  <c r="A3039" i="5"/>
  <c r="E2845" i="5"/>
  <c r="F2845" i="5" s="1"/>
  <c r="D2845" i="5" l="1"/>
  <c r="B2845" i="5"/>
  <c r="B3039" i="5"/>
  <c r="D3039" i="5"/>
  <c r="F4413" i="5"/>
  <c r="G137" i="1" s="1"/>
  <c r="J2433" i="7"/>
  <c r="C2433" i="7"/>
  <c r="A2433" i="7"/>
  <c r="M2433" i="7" s="1"/>
  <c r="F2317" i="5"/>
  <c r="A1679" i="5"/>
  <c r="D1679" i="5" s="1"/>
  <c r="E1665" i="5"/>
  <c r="F1665" i="5" s="1"/>
  <c r="A1665" i="5"/>
  <c r="J137" i="1" l="1"/>
  <c r="N2433" i="7"/>
  <c r="B1665" i="5"/>
  <c r="D1665" i="5"/>
  <c r="F1675" i="5"/>
  <c r="F1676" i="5" s="1"/>
  <c r="F2333" i="5"/>
  <c r="K2433" i="7"/>
  <c r="L2433" i="7" s="1"/>
  <c r="E1455" i="5"/>
  <c r="F1455" i="5" s="1"/>
  <c r="A974" i="5"/>
  <c r="A973" i="5"/>
  <c r="E993" i="5"/>
  <c r="F993" i="5" s="1"/>
  <c r="A993" i="5"/>
  <c r="A2351" i="5"/>
  <c r="D2351" i="5" s="1"/>
  <c r="D2111" i="5"/>
  <c r="B993" i="5" l="1"/>
  <c r="D993" i="5"/>
  <c r="B1455" i="5"/>
  <c r="D1455" i="5"/>
  <c r="B973" i="5"/>
  <c r="D973" i="5"/>
  <c r="D974" i="5"/>
  <c r="B974" i="5"/>
  <c r="F1003" i="5"/>
  <c r="F1004" i="5" s="1"/>
  <c r="F1677" i="5"/>
  <c r="F5920" i="5"/>
  <c r="A5920" i="5"/>
  <c r="F5919" i="5"/>
  <c r="A5919" i="5"/>
  <c r="E5918" i="5"/>
  <c r="F5918" i="5" s="1"/>
  <c r="A5918" i="5"/>
  <c r="A5952" i="5"/>
  <c r="D5952" i="5" s="1"/>
  <c r="E5937" i="5"/>
  <c r="F5937" i="5" s="1"/>
  <c r="E5917" i="5"/>
  <c r="F5917" i="5" s="1"/>
  <c r="E5870" i="5"/>
  <c r="F5870" i="5" s="1"/>
  <c r="A5870" i="5"/>
  <c r="D5937" i="5" l="1"/>
  <c r="B5937" i="5"/>
  <c r="B5920" i="5"/>
  <c r="D5920" i="5"/>
  <c r="B5918" i="5"/>
  <c r="D5918" i="5"/>
  <c r="D5919" i="5"/>
  <c r="B5919" i="5"/>
  <c r="D5870" i="5"/>
  <c r="B5870" i="5"/>
  <c r="D5917" i="5"/>
  <c r="B5917" i="5"/>
  <c r="F1005" i="5"/>
  <c r="F5933" i="5"/>
  <c r="F5947" i="5"/>
  <c r="F5948" i="5" s="1"/>
  <c r="A5904" i="5"/>
  <c r="D5904" i="5" s="1"/>
  <c r="D5567" i="5"/>
  <c r="B5531" i="5"/>
  <c r="E5531" i="5"/>
  <c r="C5150" i="5"/>
  <c r="D5183" i="5"/>
  <c r="A5136" i="5"/>
  <c r="D5136" i="5" s="1"/>
  <c r="E5101" i="5"/>
  <c r="F5101" i="5" s="1"/>
  <c r="A5101" i="5"/>
  <c r="G46" i="1" l="1"/>
  <c r="B5101" i="5"/>
  <c r="D5101" i="5"/>
  <c r="F5949" i="5"/>
  <c r="G172" i="1" s="1"/>
  <c r="F5117" i="5"/>
  <c r="J46" i="1" l="1"/>
  <c r="J172" i="1"/>
  <c r="A4607" i="5"/>
  <c r="D4607" i="5" s="1"/>
  <c r="A3552" i="5" l="1"/>
  <c r="D3552" i="5" s="1"/>
  <c r="A3504" i="5"/>
  <c r="D3504" i="5" s="1"/>
  <c r="D3167" i="5"/>
  <c r="A3120" i="5"/>
  <c r="D3120" i="5" s="1"/>
  <c r="A2481" i="5"/>
  <c r="E2465" i="5"/>
  <c r="F2465" i="5" s="1"/>
  <c r="A2465" i="5"/>
  <c r="E2866" i="5"/>
  <c r="F2866" i="5" s="1"/>
  <c r="A2866" i="5"/>
  <c r="E2865" i="5"/>
  <c r="F2865" i="5" s="1"/>
  <c r="A2865" i="5"/>
  <c r="E2914" i="5"/>
  <c r="F2914" i="5" s="1"/>
  <c r="E2913" i="5"/>
  <c r="F2913" i="5" s="1"/>
  <c r="A2914" i="5"/>
  <c r="A2913" i="5"/>
  <c r="A2735" i="5"/>
  <c r="D2735" i="5" s="1"/>
  <c r="D2879" i="5"/>
  <c r="A2639" i="5"/>
  <c r="D2639" i="5" s="1"/>
  <c r="E2464" i="5"/>
  <c r="F2464" i="5" s="1"/>
  <c r="A2464" i="5"/>
  <c r="E2481" i="5"/>
  <c r="F2481" i="5" s="1"/>
  <c r="A2495" i="5"/>
  <c r="D2495" i="5" s="1"/>
  <c r="D2447" i="5"/>
  <c r="D2914" i="5" l="1"/>
  <c r="B2914" i="5"/>
  <c r="D2481" i="5"/>
  <c r="B2481" i="5"/>
  <c r="B2913" i="5"/>
  <c r="D2913" i="5"/>
  <c r="D2865" i="5"/>
  <c r="B2865" i="5"/>
  <c r="B2866" i="5"/>
  <c r="D2866" i="5"/>
  <c r="D2464" i="5"/>
  <c r="B2464" i="5"/>
  <c r="D2465" i="5"/>
  <c r="B2465" i="5"/>
  <c r="F2875" i="5"/>
  <c r="F2876" i="5" s="1"/>
  <c r="F2923" i="5"/>
  <c r="F2924" i="5" s="1"/>
  <c r="F2491" i="5"/>
  <c r="F2492" i="5" s="1"/>
  <c r="E1935" i="5"/>
  <c r="F1935" i="5" s="1"/>
  <c r="A1935" i="5"/>
  <c r="E1934" i="5"/>
  <c r="F1934" i="5" s="1"/>
  <c r="A1934" i="5"/>
  <c r="E1933" i="5"/>
  <c r="F1933" i="5" s="1"/>
  <c r="A1933" i="5"/>
  <c r="A1967" i="5"/>
  <c r="D1967" i="5" s="1"/>
  <c r="A1823" i="5"/>
  <c r="D1823" i="5" s="1"/>
  <c r="A1775" i="5"/>
  <c r="D1775" i="5" s="1"/>
  <c r="A1727" i="5"/>
  <c r="D1727" i="5" s="1"/>
  <c r="E1553" i="5"/>
  <c r="F1553" i="5" s="1"/>
  <c r="A1553" i="5"/>
  <c r="E1458" i="5"/>
  <c r="F1458" i="5" s="1"/>
  <c r="A1458" i="5"/>
  <c r="E1457" i="5"/>
  <c r="F1457" i="5" s="1"/>
  <c r="A1457" i="5"/>
  <c r="E1119" i="5"/>
  <c r="F1119" i="5" s="1"/>
  <c r="A1119" i="5"/>
  <c r="E1118" i="5"/>
  <c r="F1118" i="5" s="1"/>
  <c r="A1118" i="5"/>
  <c r="E1117" i="5"/>
  <c r="F1117" i="5" s="1"/>
  <c r="A1117" i="5"/>
  <c r="B1457" i="5" l="1"/>
  <c r="D1457" i="5"/>
  <c r="B1117" i="5"/>
  <c r="D1117" i="5"/>
  <c r="D1118" i="5"/>
  <c r="B1118" i="5"/>
  <c r="D1119" i="5"/>
  <c r="B1119" i="5"/>
  <c r="D1935" i="5"/>
  <c r="B1935" i="5"/>
  <c r="B1458" i="5"/>
  <c r="D1458" i="5"/>
  <c r="D1933" i="5"/>
  <c r="B1933" i="5"/>
  <c r="D1553" i="5"/>
  <c r="B1553" i="5"/>
  <c r="D1934" i="5"/>
  <c r="B1934" i="5"/>
  <c r="F2493" i="5"/>
  <c r="F2925" i="5"/>
  <c r="F2877" i="5"/>
  <c r="F1133" i="5"/>
  <c r="F1949" i="5"/>
  <c r="E980" i="5" l="1"/>
  <c r="F980" i="5" s="1"/>
  <c r="E979" i="5"/>
  <c r="F979" i="5" s="1"/>
  <c r="E978" i="5"/>
  <c r="F978" i="5" s="1"/>
  <c r="E977" i="5"/>
  <c r="F977" i="5" s="1"/>
  <c r="E976" i="5"/>
  <c r="F976" i="5" s="1"/>
  <c r="E975" i="5"/>
  <c r="F975" i="5" s="1"/>
  <c r="E974" i="5"/>
  <c r="E973" i="5"/>
  <c r="F973" i="5" l="1"/>
  <c r="F974" i="5"/>
  <c r="F989" i="5" l="1"/>
  <c r="A979" i="5"/>
  <c r="A978" i="5"/>
  <c r="A976" i="5"/>
  <c r="A975" i="5"/>
  <c r="D978" i="5" l="1"/>
  <c r="B978" i="5"/>
  <c r="D979" i="5"/>
  <c r="B979" i="5"/>
  <c r="D976" i="5"/>
  <c r="B976" i="5"/>
  <c r="B975" i="5"/>
  <c r="D975" i="5"/>
  <c r="D671" i="5"/>
  <c r="F609" i="5"/>
  <c r="D623" i="5"/>
  <c r="B609" i="5" l="1"/>
  <c r="D609" i="5"/>
  <c r="F619" i="5"/>
  <c r="D432" i="5"/>
  <c r="D431" i="5"/>
  <c r="D383" i="5"/>
  <c r="D288" i="5"/>
  <c r="D287" i="5"/>
  <c r="F620" i="5" l="1"/>
  <c r="D335" i="5"/>
  <c r="F621" i="5" l="1"/>
  <c r="D3456" i="5" l="1"/>
  <c r="D3455" i="5"/>
  <c r="D3360" i="5"/>
  <c r="D3312" i="5"/>
  <c r="E3035" i="5"/>
  <c r="C3076" i="7"/>
  <c r="A3076" i="7"/>
  <c r="K3076" i="7" s="1"/>
  <c r="A3071" i="7"/>
  <c r="C3070" i="7"/>
  <c r="E3038" i="5"/>
  <c r="F3038" i="5" s="1"/>
  <c r="E3037" i="5"/>
  <c r="F3037" i="5" s="1"/>
  <c r="D3072" i="5"/>
  <c r="D3071" i="5"/>
  <c r="A3035" i="5"/>
  <c r="B3035" i="5"/>
  <c r="J3291" i="7"/>
  <c r="C3291" i="7"/>
  <c r="A3291" i="7"/>
  <c r="M3291" i="7" s="1"/>
  <c r="A3286" i="7"/>
  <c r="C3285" i="7"/>
  <c r="E3230" i="5"/>
  <c r="F3230" i="5" s="1"/>
  <c r="E3229" i="5"/>
  <c r="F3229" i="5" s="1"/>
  <c r="D3264" i="5"/>
  <c r="D3263" i="5"/>
  <c r="E3227" i="5"/>
  <c r="B3227" i="5"/>
  <c r="J3402" i="7"/>
  <c r="C3402" i="7"/>
  <c r="A3402" i="7"/>
  <c r="M3402" i="7" s="1"/>
  <c r="J3399" i="7"/>
  <c r="C3399" i="7"/>
  <c r="A3399" i="7"/>
  <c r="D3408" i="5"/>
  <c r="E3376" i="5"/>
  <c r="F3376" i="5" s="1"/>
  <c r="E3375" i="5"/>
  <c r="F3375" i="5" s="1"/>
  <c r="E3374" i="5"/>
  <c r="F3374" i="5" s="1"/>
  <c r="E3373" i="5"/>
  <c r="F3373" i="5" s="1"/>
  <c r="E3371" i="5"/>
  <c r="B3371" i="5"/>
  <c r="E3422" i="5"/>
  <c r="F3422" i="5" s="1"/>
  <c r="E3421" i="5"/>
  <c r="F3421" i="5" s="1"/>
  <c r="B3229" i="5" l="1"/>
  <c r="D3229" i="5"/>
  <c r="D3373" i="5"/>
  <c r="B3373" i="5"/>
  <c r="B3374" i="5"/>
  <c r="D3374" i="5"/>
  <c r="B3422" i="5"/>
  <c r="D3422" i="5"/>
  <c r="B3230" i="5"/>
  <c r="D3230" i="5"/>
  <c r="B3421" i="5"/>
  <c r="D3421" i="5"/>
  <c r="B3038" i="5"/>
  <c r="D3038" i="5"/>
  <c r="D3376" i="5"/>
  <c r="B3376" i="5"/>
  <c r="D3375" i="5"/>
  <c r="B3375" i="5"/>
  <c r="B3037" i="5"/>
  <c r="D3037" i="5"/>
  <c r="F3437" i="5"/>
  <c r="F3245" i="5"/>
  <c r="F3389" i="5"/>
  <c r="F3053" i="5"/>
  <c r="M3076" i="7"/>
  <c r="N3076" i="7" s="1"/>
  <c r="N3402" i="7"/>
  <c r="L3076" i="7"/>
  <c r="N3291" i="7"/>
  <c r="K3291" i="7"/>
  <c r="L3291" i="7" s="1"/>
  <c r="K3402" i="7"/>
  <c r="L3402" i="7" s="1"/>
  <c r="E4958" i="5" l="1"/>
  <c r="F4958" i="5" s="1"/>
  <c r="E4957" i="5"/>
  <c r="F4957" i="5" s="1"/>
  <c r="D4992" i="5"/>
  <c r="D4991" i="5"/>
  <c r="E4955" i="5"/>
  <c r="B4955" i="5"/>
  <c r="J3236" i="7"/>
  <c r="C3236" i="7"/>
  <c r="A3236" i="7"/>
  <c r="M3236" i="7" s="1"/>
  <c r="A3231" i="7"/>
  <c r="C3230" i="7"/>
  <c r="D3218" i="5"/>
  <c r="D3217" i="5"/>
  <c r="D3216" i="5"/>
  <c r="E3183" i="5"/>
  <c r="F3183" i="5" s="1"/>
  <c r="E3182" i="5"/>
  <c r="F3182" i="5" s="1"/>
  <c r="E3181" i="5"/>
  <c r="F3181" i="5" s="1"/>
  <c r="E3179" i="5"/>
  <c r="B3179" i="5"/>
  <c r="A3179" i="5"/>
  <c r="B3275" i="5"/>
  <c r="A3275" i="5"/>
  <c r="E3275" i="5"/>
  <c r="J1519" i="7"/>
  <c r="C1519" i="7"/>
  <c r="A1519" i="7"/>
  <c r="M1519" i="7" s="1"/>
  <c r="A1514" i="7"/>
  <c r="C1513" i="7"/>
  <c r="D1441" i="5"/>
  <c r="D1440" i="5"/>
  <c r="D1439" i="5"/>
  <c r="F1425" i="5"/>
  <c r="F1408" i="5"/>
  <c r="F1406" i="5"/>
  <c r="E1403" i="5"/>
  <c r="B1403" i="5"/>
  <c r="A1403" i="5"/>
  <c r="D1473" i="5" l="1"/>
  <c r="B1473" i="5"/>
  <c r="D1425" i="5"/>
  <c r="B1425" i="5"/>
  <c r="D4958" i="5"/>
  <c r="B4958" i="5"/>
  <c r="D3182" i="5"/>
  <c r="B3182" i="5"/>
  <c r="D1407" i="5"/>
  <c r="B1407" i="5"/>
  <c r="D4957" i="5"/>
  <c r="B4957" i="5"/>
  <c r="D1408" i="5"/>
  <c r="B1408" i="5"/>
  <c r="B1405" i="5"/>
  <c r="D1405" i="5"/>
  <c r="B3181" i="5"/>
  <c r="D3181" i="5"/>
  <c r="D1406" i="5"/>
  <c r="B1406" i="5"/>
  <c r="D3183" i="5"/>
  <c r="B3183" i="5"/>
  <c r="F3197" i="5"/>
  <c r="F1435" i="5"/>
  <c r="F1436" i="5" s="1"/>
  <c r="F4973" i="5"/>
  <c r="N3236" i="7"/>
  <c r="K3236" i="7"/>
  <c r="L3236" i="7" s="1"/>
  <c r="N1519" i="7"/>
  <c r="K1519" i="7"/>
  <c r="L1519" i="7" s="1"/>
  <c r="F1437" i="5" l="1"/>
  <c r="E1473" i="5"/>
  <c r="F1473" i="5" s="1"/>
  <c r="C1407" i="5"/>
  <c r="F1407" i="5" s="1"/>
  <c r="C1405" i="5"/>
  <c r="F1405" i="5" l="1"/>
  <c r="F1483" i="5"/>
  <c r="F1484" i="5" s="1"/>
  <c r="E1552" i="5"/>
  <c r="F1552" i="5" s="1"/>
  <c r="E1551" i="5"/>
  <c r="F1551" i="5" s="1"/>
  <c r="E1550" i="5"/>
  <c r="F1550" i="5" s="1"/>
  <c r="E1549" i="5"/>
  <c r="F1549" i="5" s="1"/>
  <c r="D1584" i="5"/>
  <c r="D1583" i="5"/>
  <c r="J1573" i="7"/>
  <c r="C1573" i="7"/>
  <c r="A1573" i="7"/>
  <c r="E1456" i="5"/>
  <c r="E1454" i="5"/>
  <c r="F1454" i="5" s="1"/>
  <c r="E1453" i="5"/>
  <c r="D1488" i="5"/>
  <c r="D1487" i="5"/>
  <c r="C1456" i="5"/>
  <c r="C1453" i="5"/>
  <c r="E1451" i="5"/>
  <c r="B1451" i="5"/>
  <c r="A1451" i="5"/>
  <c r="J1041" i="7"/>
  <c r="C1041" i="7"/>
  <c r="A1041" i="7"/>
  <c r="K1041" i="7" s="1"/>
  <c r="A1036" i="7"/>
  <c r="C1035" i="7"/>
  <c r="D1008" i="5"/>
  <c r="D1007" i="5"/>
  <c r="E971" i="5"/>
  <c r="B971" i="5"/>
  <c r="A971" i="5"/>
  <c r="D2928" i="5"/>
  <c r="A2927" i="5"/>
  <c r="D2927" i="5" s="1"/>
  <c r="A48" i="5"/>
  <c r="D48" i="5" s="1"/>
  <c r="F1421" i="5" l="1"/>
  <c r="F1456" i="5"/>
  <c r="F1453" i="5"/>
  <c r="D35" i="5"/>
  <c r="B35" i="5"/>
  <c r="D1549" i="5"/>
  <c r="B1549" i="5"/>
  <c r="D977" i="5"/>
  <c r="B977" i="5"/>
  <c r="D1551" i="5"/>
  <c r="B1551" i="5"/>
  <c r="B980" i="5"/>
  <c r="D980" i="5"/>
  <c r="B1454" i="5"/>
  <c r="D1454" i="5"/>
  <c r="B1550" i="5"/>
  <c r="D1550" i="5"/>
  <c r="D1456" i="5"/>
  <c r="B1456" i="5"/>
  <c r="B1552" i="5"/>
  <c r="D1552" i="5"/>
  <c r="D1453" i="5"/>
  <c r="B1453" i="5"/>
  <c r="F1485" i="5"/>
  <c r="F1565" i="5"/>
  <c r="M1041" i="7"/>
  <c r="N1041" i="7" s="1"/>
  <c r="L1041" i="7"/>
  <c r="F1469" i="5" l="1"/>
  <c r="A4850" i="7" l="1"/>
  <c r="A4849" i="7"/>
  <c r="A4796" i="7"/>
  <c r="A4795" i="7"/>
  <c r="A4742" i="7"/>
  <c r="A4741" i="7"/>
  <c r="A4689" i="7"/>
  <c r="A4688" i="7"/>
  <c r="A4636" i="7"/>
  <c r="A4635" i="7"/>
  <c r="A4582" i="7"/>
  <c r="A4581" i="7"/>
  <c r="A4528" i="7"/>
  <c r="A4527" i="7"/>
  <c r="A4474" i="7"/>
  <c r="A4473" i="7"/>
  <c r="A4366" i="7"/>
  <c r="A4365" i="7"/>
  <c r="A3933" i="7"/>
  <c r="E3469" i="5"/>
  <c r="F3469" i="5" s="1"/>
  <c r="A3469" i="5"/>
  <c r="E3470" i="5"/>
  <c r="F3470" i="5" s="1"/>
  <c r="D3469" i="5" l="1"/>
  <c r="B3469" i="5"/>
  <c r="F3485" i="5"/>
  <c r="A6" i="5" l="1"/>
  <c r="A5" i="6"/>
  <c r="J3453" i="7" l="1"/>
  <c r="C3453" i="7"/>
  <c r="A3453" i="7"/>
  <c r="J3456" i="7"/>
  <c r="C3456" i="7"/>
  <c r="A3456" i="7"/>
  <c r="M3456" i="7" s="1"/>
  <c r="E3467" i="5"/>
  <c r="B3467" i="5"/>
  <c r="A3503" i="5"/>
  <c r="D3503" i="5" s="1"/>
  <c r="D41" i="4"/>
  <c r="C41" i="4"/>
  <c r="D35" i="4"/>
  <c r="C35" i="4"/>
  <c r="D24" i="4"/>
  <c r="C24" i="4"/>
  <c r="C44" i="4" l="1"/>
  <c r="C45" i="4" s="1"/>
  <c r="D3470" i="5"/>
  <c r="B3470" i="5"/>
  <c r="F4368" i="5"/>
  <c r="F4367" i="5"/>
  <c r="N3456" i="7"/>
  <c r="K3456" i="7"/>
  <c r="L3456" i="7" s="1"/>
  <c r="C775" i="5" l="1"/>
  <c r="C2071" i="5"/>
  <c r="C2023" i="5"/>
  <c r="F775" i="5"/>
  <c r="C4279" i="5"/>
  <c r="C5719" i="5"/>
  <c r="C5671" i="5"/>
  <c r="C4471" i="5"/>
  <c r="C247" i="5"/>
  <c r="C151" i="5"/>
  <c r="C199" i="5"/>
  <c r="C2407" i="5"/>
  <c r="C5623" i="5"/>
  <c r="C5815" i="5"/>
  <c r="C5767" i="5"/>
  <c r="C4759" i="5"/>
  <c r="C3607" i="5"/>
  <c r="C1927" i="5"/>
  <c r="C1879" i="5"/>
  <c r="D44" i="4"/>
  <c r="D45" i="4" s="1"/>
  <c r="C919" i="5"/>
  <c r="C967" i="5"/>
  <c r="C823" i="5"/>
  <c r="C871" i="5"/>
  <c r="C1255" i="5"/>
  <c r="C3991" i="5"/>
  <c r="C3847" i="5"/>
  <c r="C4039" i="5"/>
  <c r="C3895" i="5"/>
  <c r="C3799" i="5"/>
  <c r="C5431" i="5"/>
  <c r="C1111" i="5"/>
  <c r="C1207" i="5"/>
  <c r="C1639" i="5"/>
  <c r="C1543" i="5"/>
  <c r="C3751" i="5"/>
  <c r="C2791" i="5"/>
  <c r="C2551" i="5"/>
  <c r="C2263" i="5"/>
  <c r="C2311" i="5"/>
  <c r="C2839" i="5"/>
  <c r="C5479" i="5"/>
  <c r="C4327" i="5"/>
  <c r="C5239" i="5"/>
  <c r="C4231" i="5"/>
  <c r="C3703" i="5"/>
  <c r="C4087" i="5"/>
  <c r="C4519" i="5"/>
  <c r="C4663" i="5"/>
  <c r="C4567" i="5"/>
  <c r="C1063" i="5"/>
  <c r="C487" i="5"/>
  <c r="C535" i="5"/>
  <c r="C5095" i="5"/>
  <c r="C5863" i="5"/>
  <c r="C5287" i="5"/>
  <c r="C4135" i="5"/>
  <c r="C5335" i="5"/>
  <c r="C5383" i="5"/>
  <c r="C2215" i="5"/>
  <c r="C1399" i="5"/>
  <c r="C3943" i="5"/>
  <c r="C2599" i="5"/>
  <c r="C4375" i="5"/>
  <c r="C583" i="5"/>
  <c r="C4423" i="5"/>
  <c r="C5575" i="5"/>
  <c r="C3415" i="5"/>
  <c r="C3271" i="5"/>
  <c r="C3079" i="5"/>
  <c r="C4999" i="5"/>
  <c r="C3223" i="5"/>
  <c r="C1447" i="5"/>
  <c r="C1495" i="5"/>
  <c r="C1015" i="5"/>
  <c r="C3511" i="5"/>
  <c r="F4374" i="5"/>
  <c r="D7" i="5"/>
  <c r="F8" i="1"/>
  <c r="F776" i="5" l="1"/>
  <c r="F777" i="5" s="1"/>
  <c r="F247" i="5"/>
  <c r="F5719" i="5"/>
  <c r="F199" i="5"/>
  <c r="F5671" i="5"/>
  <c r="F4279" i="5"/>
  <c r="F4423" i="5"/>
  <c r="F4424" i="5" s="1"/>
  <c r="F823" i="5"/>
  <c r="F4375" i="5"/>
  <c r="F4376" i="5" s="1"/>
  <c r="J4586" i="7"/>
  <c r="C4586" i="7"/>
  <c r="A4586" i="7"/>
  <c r="M4586" i="7" s="1"/>
  <c r="M3399" i="7"/>
  <c r="H36" i="1" l="1"/>
  <c r="F731" i="5"/>
  <c r="F5720" i="5"/>
  <c r="F5721" i="5" s="1"/>
  <c r="F5672" i="5"/>
  <c r="F5673" i="5" s="1"/>
  <c r="F4280" i="5"/>
  <c r="F200" i="5"/>
  <c r="F248" i="5"/>
  <c r="F249" i="5" s="1"/>
  <c r="F824" i="5"/>
  <c r="F4425" i="5"/>
  <c r="H137" i="1" s="1"/>
  <c r="F4377" i="5"/>
  <c r="K4586" i="7"/>
  <c r="L4586" i="7" s="1"/>
  <c r="N4586" i="7"/>
  <c r="K3399" i="7"/>
  <c r="L3399" i="7" s="1"/>
  <c r="N3399" i="7"/>
  <c r="A4909" i="5"/>
  <c r="E4909" i="5"/>
  <c r="F4909" i="5" s="1"/>
  <c r="A4864" i="5"/>
  <c r="E4864" i="5"/>
  <c r="F4864" i="5" s="1"/>
  <c r="F4816" i="5"/>
  <c r="F4768" i="5"/>
  <c r="F201" i="5" l="1"/>
  <c r="H167" i="1"/>
  <c r="F5675" i="5"/>
  <c r="H166" i="1"/>
  <c r="F5627" i="5"/>
  <c r="H20" i="1"/>
  <c r="F203" i="5"/>
  <c r="F4281" i="5"/>
  <c r="K137" i="1"/>
  <c r="F825" i="5"/>
  <c r="F4925" i="5"/>
  <c r="B4909" i="5"/>
  <c r="D4909" i="5"/>
  <c r="B4864" i="5"/>
  <c r="D4864" i="5"/>
  <c r="D4816" i="5"/>
  <c r="F155" i="5" l="1"/>
  <c r="H19" i="1"/>
  <c r="L19" i="1" s="1"/>
  <c r="K166" i="1"/>
  <c r="L166" i="1"/>
  <c r="E166" i="1"/>
  <c r="H130" i="1"/>
  <c r="F4235" i="5"/>
  <c r="K167" i="1"/>
  <c r="L167" i="1"/>
  <c r="E167" i="1"/>
  <c r="K20" i="1"/>
  <c r="L20" i="1"/>
  <c r="E20" i="1"/>
  <c r="F779" i="5"/>
  <c r="H38" i="1"/>
  <c r="A5505" i="5"/>
  <c r="E5505" i="5"/>
  <c r="F5505" i="5" s="1"/>
  <c r="E5483" i="5"/>
  <c r="B5483" i="5"/>
  <c r="A5483" i="5"/>
  <c r="J4370" i="7"/>
  <c r="C4370" i="7"/>
  <c r="A4370" i="7"/>
  <c r="M4370" i="7" s="1"/>
  <c r="M4483" i="7"/>
  <c r="J4478" i="7"/>
  <c r="C4478" i="7"/>
  <c r="A4478" i="7"/>
  <c r="M4478" i="7" s="1"/>
  <c r="J4535" i="7"/>
  <c r="C4535" i="7"/>
  <c r="A4535" i="7"/>
  <c r="M4535" i="7" s="1"/>
  <c r="J4532" i="7"/>
  <c r="C4532" i="7"/>
  <c r="A4532" i="7"/>
  <c r="M4532" i="7" s="1"/>
  <c r="J4640" i="7"/>
  <c r="C4640" i="7"/>
  <c r="A4640" i="7"/>
  <c r="M4640" i="7" s="1"/>
  <c r="M4693" i="7"/>
  <c r="J4746" i="7"/>
  <c r="C4746" i="7"/>
  <c r="A4746" i="7"/>
  <c r="M4746" i="7" s="1"/>
  <c r="J4800" i="7"/>
  <c r="C4800" i="7"/>
  <c r="A4800" i="7"/>
  <c r="M4800" i="7" s="1"/>
  <c r="J4854" i="7"/>
  <c r="C4854" i="7"/>
  <c r="A4854" i="7"/>
  <c r="M4854" i="7" s="1"/>
  <c r="J5070" i="7"/>
  <c r="C5070" i="7"/>
  <c r="A5070" i="7"/>
  <c r="M5070" i="7" s="1"/>
  <c r="J5124" i="7"/>
  <c r="C5124" i="7"/>
  <c r="A5124" i="7"/>
  <c r="M5124" i="7" s="1"/>
  <c r="J5394" i="7"/>
  <c r="C5394" i="7"/>
  <c r="A5394" i="7"/>
  <c r="M5448" i="7"/>
  <c r="J5554" i="7"/>
  <c r="C5554" i="7"/>
  <c r="A5554" i="7"/>
  <c r="M5554" i="7" s="1"/>
  <c r="J3938" i="7"/>
  <c r="C3938" i="7"/>
  <c r="A3938" i="7"/>
  <c r="M3938" i="7" s="1"/>
  <c r="M3561" i="7"/>
  <c r="M3453" i="7"/>
  <c r="J1201" i="7"/>
  <c r="C1201" i="7"/>
  <c r="A1201" i="7"/>
  <c r="M1201" i="7" s="1"/>
  <c r="J1363" i="7"/>
  <c r="C1363" i="7"/>
  <c r="A1363" i="7"/>
  <c r="M1363" i="7" s="1"/>
  <c r="M1416" i="7"/>
  <c r="J1789" i="7"/>
  <c r="C1789" i="7"/>
  <c r="A1789" i="7"/>
  <c r="M1789" i="7" s="1"/>
  <c r="J1846" i="7"/>
  <c r="C1846" i="7"/>
  <c r="A1846" i="7"/>
  <c r="M1846" i="7" s="1"/>
  <c r="J1843" i="7"/>
  <c r="C1843" i="7"/>
  <c r="A1843" i="7"/>
  <c r="M1843" i="7" s="1"/>
  <c r="J1895" i="7"/>
  <c r="C1895" i="7"/>
  <c r="A1895" i="7"/>
  <c r="M1895" i="7" s="1"/>
  <c r="J1949" i="7"/>
  <c r="C1949" i="7"/>
  <c r="A1949" i="7"/>
  <c r="M1949" i="7" s="1"/>
  <c r="J2111" i="7"/>
  <c r="C2111" i="7"/>
  <c r="A2111" i="7"/>
  <c r="M2111" i="7" s="1"/>
  <c r="J2165" i="7"/>
  <c r="C2165" i="7"/>
  <c r="A2165" i="7"/>
  <c r="M2165" i="7" s="1"/>
  <c r="J2325" i="7"/>
  <c r="C2325" i="7"/>
  <c r="A2325" i="7"/>
  <c r="M2325" i="7" s="1"/>
  <c r="J2487" i="7"/>
  <c r="C2487" i="7"/>
  <c r="A2487" i="7"/>
  <c r="M2487" i="7" s="1"/>
  <c r="J2646" i="7"/>
  <c r="C2646" i="7"/>
  <c r="A2646" i="7"/>
  <c r="M2646" i="7" s="1"/>
  <c r="J2700" i="7"/>
  <c r="C2700" i="7"/>
  <c r="A2700" i="7"/>
  <c r="M2700" i="7" s="1"/>
  <c r="J2753" i="7"/>
  <c r="C2753" i="7"/>
  <c r="A2753" i="7"/>
  <c r="M2753" i="7" s="1"/>
  <c r="J2861" i="7"/>
  <c r="C2861" i="7"/>
  <c r="A2861" i="7"/>
  <c r="M2861" i="7" s="1"/>
  <c r="J2915" i="7"/>
  <c r="C2915" i="7"/>
  <c r="A2915" i="7"/>
  <c r="M2915" i="7" s="1"/>
  <c r="J2968" i="7"/>
  <c r="C2968" i="7"/>
  <c r="A2968" i="7"/>
  <c r="M2968" i="7" s="1"/>
  <c r="J3022" i="7"/>
  <c r="C3022" i="7"/>
  <c r="A3022" i="7"/>
  <c r="M3022" i="7" s="1"/>
  <c r="J3129" i="7"/>
  <c r="C3129" i="7"/>
  <c r="A3129" i="7"/>
  <c r="M3129" i="7" s="1"/>
  <c r="J3182" i="7"/>
  <c r="C3182" i="7"/>
  <c r="A3182" i="7"/>
  <c r="M3182" i="7" s="1"/>
  <c r="J3349" i="7"/>
  <c r="C3349" i="7"/>
  <c r="A3349" i="7"/>
  <c r="M3349" i="7" s="1"/>
  <c r="J3346" i="7"/>
  <c r="C3346" i="7"/>
  <c r="A3346" i="7"/>
  <c r="A3341" i="7"/>
  <c r="C3340" i="7"/>
  <c r="J778" i="7"/>
  <c r="C778" i="7"/>
  <c r="A778" i="7"/>
  <c r="M778" i="7" s="1"/>
  <c r="J670" i="7"/>
  <c r="C670" i="7"/>
  <c r="A670" i="7"/>
  <c r="M670" i="7" s="1"/>
  <c r="J451" i="7"/>
  <c r="C451" i="7"/>
  <c r="A451" i="7"/>
  <c r="M451" i="7" s="1"/>
  <c r="J397" i="7"/>
  <c r="C397" i="7"/>
  <c r="A397" i="7"/>
  <c r="M397" i="7" s="1"/>
  <c r="J287" i="7"/>
  <c r="C287" i="7"/>
  <c r="A287" i="7"/>
  <c r="M287" i="7" s="1"/>
  <c r="A773" i="7"/>
  <c r="C772" i="7"/>
  <c r="A665" i="7"/>
  <c r="C664" i="7"/>
  <c r="A446" i="7"/>
  <c r="C445" i="7"/>
  <c r="A392" i="7"/>
  <c r="C391" i="7"/>
  <c r="A282" i="7"/>
  <c r="C281" i="7"/>
  <c r="J67" i="7"/>
  <c r="C67" i="7"/>
  <c r="A67" i="7"/>
  <c r="M67" i="7" s="1"/>
  <c r="A62" i="7"/>
  <c r="C61" i="7"/>
  <c r="C6" i="7"/>
  <c r="A7" i="7"/>
  <c r="E19" i="1" l="1"/>
  <c r="K19" i="1"/>
  <c r="K130" i="1"/>
  <c r="E130" i="1"/>
  <c r="L130" i="1"/>
  <c r="K38" i="1"/>
  <c r="E38" i="1"/>
  <c r="L38" i="1"/>
  <c r="D5505" i="5"/>
  <c r="B5505" i="5"/>
  <c r="F5515" i="5"/>
  <c r="M3346" i="7"/>
  <c r="N3346" i="7" s="1"/>
  <c r="M1573" i="7"/>
  <c r="N1573" i="7" s="1"/>
  <c r="M5394" i="7"/>
  <c r="N5394" i="7" s="1"/>
  <c r="N4483" i="7"/>
  <c r="K4483" i="7"/>
  <c r="L4483" i="7" s="1"/>
  <c r="N4535" i="7"/>
  <c r="K4535" i="7"/>
  <c r="L4535" i="7" s="1"/>
  <c r="N5554" i="7"/>
  <c r="K5554" i="7"/>
  <c r="L5554" i="7" s="1"/>
  <c r="N5448" i="7"/>
  <c r="K5448" i="7"/>
  <c r="L5448" i="7" s="1"/>
  <c r="K5394" i="7"/>
  <c r="L5394" i="7" s="1"/>
  <c r="N5124" i="7"/>
  <c r="K5124" i="7"/>
  <c r="L5124" i="7" s="1"/>
  <c r="N5070" i="7"/>
  <c r="K5070" i="7"/>
  <c r="L5070" i="7" s="1"/>
  <c r="N4854" i="7"/>
  <c r="K4854" i="7"/>
  <c r="L4854" i="7" s="1"/>
  <c r="N4800" i="7"/>
  <c r="K4800" i="7"/>
  <c r="L4800" i="7" s="1"/>
  <c r="K4693" i="7"/>
  <c r="L4693" i="7" s="1"/>
  <c r="N4746" i="7"/>
  <c r="N4693" i="7"/>
  <c r="K4746" i="7"/>
  <c r="L4746" i="7" s="1"/>
  <c r="N4640" i="7"/>
  <c r="K4640" i="7"/>
  <c r="L4640" i="7" s="1"/>
  <c r="N4532" i="7"/>
  <c r="K4532" i="7"/>
  <c r="L4532" i="7" s="1"/>
  <c r="N4478" i="7"/>
  <c r="K4478" i="7"/>
  <c r="L4478" i="7" s="1"/>
  <c r="N4370" i="7"/>
  <c r="K4370" i="7"/>
  <c r="L4370" i="7" s="1"/>
  <c r="N3938" i="7"/>
  <c r="K3938" i="7"/>
  <c r="L3938" i="7" s="1"/>
  <c r="N3561" i="7"/>
  <c r="K3561" i="7"/>
  <c r="L3561" i="7" s="1"/>
  <c r="N3453" i="7"/>
  <c r="K3453" i="7"/>
  <c r="L3453" i="7" s="1"/>
  <c r="N1846" i="7"/>
  <c r="K1846" i="7"/>
  <c r="L1846" i="7" s="1"/>
  <c r="N3349" i="7"/>
  <c r="K3349" i="7"/>
  <c r="L3349" i="7" s="1"/>
  <c r="K3346" i="7"/>
  <c r="L3346" i="7" s="1"/>
  <c r="N3182" i="7"/>
  <c r="K3182" i="7"/>
  <c r="L3182" i="7" s="1"/>
  <c r="N3129" i="7"/>
  <c r="K3129" i="7"/>
  <c r="L3129" i="7" s="1"/>
  <c r="N3022" i="7"/>
  <c r="K3022" i="7"/>
  <c r="L3022" i="7" s="1"/>
  <c r="N2968" i="7"/>
  <c r="K2968" i="7"/>
  <c r="L2968" i="7" s="1"/>
  <c r="N2915" i="7"/>
  <c r="K2915" i="7"/>
  <c r="L2915" i="7" s="1"/>
  <c r="N2861" i="7"/>
  <c r="K2861" i="7"/>
  <c r="L2861" i="7" s="1"/>
  <c r="N2753" i="7"/>
  <c r="K2753" i="7"/>
  <c r="L2753" i="7" s="1"/>
  <c r="N2700" i="7"/>
  <c r="K2700" i="7"/>
  <c r="L2700" i="7" s="1"/>
  <c r="N2646" i="7"/>
  <c r="K2646" i="7"/>
  <c r="L2646" i="7" s="1"/>
  <c r="N2487" i="7"/>
  <c r="K2487" i="7"/>
  <c r="L2487" i="7" s="1"/>
  <c r="N2325" i="7"/>
  <c r="K2325" i="7"/>
  <c r="L2325" i="7" s="1"/>
  <c r="N2165" i="7"/>
  <c r="K2165" i="7"/>
  <c r="L2165" i="7" s="1"/>
  <c r="N2111" i="7"/>
  <c r="K2111" i="7"/>
  <c r="L2111" i="7" s="1"/>
  <c r="N1949" i="7"/>
  <c r="K1949" i="7"/>
  <c r="L1949" i="7" s="1"/>
  <c r="N1895" i="7"/>
  <c r="K1895" i="7"/>
  <c r="L1895" i="7" s="1"/>
  <c r="N1843" i="7"/>
  <c r="K1843" i="7"/>
  <c r="L1843" i="7" s="1"/>
  <c r="N1789" i="7"/>
  <c r="K1789" i="7"/>
  <c r="L1789" i="7" s="1"/>
  <c r="K1573" i="7"/>
  <c r="L1573" i="7" s="1"/>
  <c r="N1416" i="7"/>
  <c r="K1416" i="7"/>
  <c r="L1416" i="7" s="1"/>
  <c r="N1363" i="7"/>
  <c r="K1363" i="7"/>
  <c r="L1363" i="7" s="1"/>
  <c r="N1201" i="7"/>
  <c r="K1201" i="7"/>
  <c r="L1201" i="7" s="1"/>
  <c r="N778" i="7"/>
  <c r="K778" i="7"/>
  <c r="L778" i="7" s="1"/>
  <c r="N670" i="7"/>
  <c r="K670" i="7"/>
  <c r="L670" i="7" s="1"/>
  <c r="N451" i="7"/>
  <c r="K451" i="7"/>
  <c r="L451" i="7" s="1"/>
  <c r="N397" i="7"/>
  <c r="K397" i="7"/>
  <c r="L397" i="7" s="1"/>
  <c r="N287" i="7"/>
  <c r="K287" i="7"/>
  <c r="L287" i="7" s="1"/>
  <c r="N67" i="7"/>
  <c r="K67" i="7"/>
  <c r="L67" i="7" s="1"/>
  <c r="F5516" i="5" l="1"/>
  <c r="C12" i="7"/>
  <c r="A12" i="7"/>
  <c r="J12" i="7"/>
  <c r="F5517" i="5" l="1"/>
  <c r="M12" i="7"/>
  <c r="N12" i="7" s="1"/>
  <c r="K12" i="7"/>
  <c r="G163" i="1" l="1"/>
  <c r="L12" i="7"/>
  <c r="J163" i="1" l="1"/>
  <c r="J155" i="1" s="1"/>
  <c r="G155" i="1" s="1"/>
  <c r="A11" i="4"/>
  <c r="R70" i="2" l="1"/>
  <c r="U70" i="2" s="1"/>
  <c r="F70" i="2"/>
  <c r="I144" i="2"/>
  <c r="F144" i="2"/>
  <c r="U107" i="2"/>
  <c r="O70" i="2"/>
  <c r="R144" i="2"/>
  <c r="F107" i="2"/>
  <c r="R107" i="2"/>
  <c r="L144" i="2"/>
  <c r="L70" i="2"/>
  <c r="O144" i="2"/>
  <c r="I107" i="2"/>
  <c r="O107" i="2"/>
  <c r="I70" i="2"/>
  <c r="L107" i="2"/>
  <c r="U33" i="2"/>
  <c r="O33" i="2"/>
  <c r="I33" i="2"/>
  <c r="R33" i="2"/>
  <c r="L33" i="2"/>
  <c r="F33" i="2"/>
  <c r="J156" i="1"/>
  <c r="U144" i="2" l="1"/>
  <c r="F4814" i="5"/>
  <c r="C5149" i="5"/>
  <c r="A5008" i="5"/>
  <c r="E5008" i="5"/>
  <c r="E4671" i="5"/>
  <c r="F4671" i="5" s="1"/>
  <c r="F4670" i="5"/>
  <c r="E4669" i="5"/>
  <c r="F4669" i="5" s="1"/>
  <c r="A4669" i="5"/>
  <c r="A4608" i="5"/>
  <c r="D4608" i="5" s="1"/>
  <c r="E4575" i="5"/>
  <c r="F4575" i="5" s="1"/>
  <c r="A4575" i="5"/>
  <c r="F4574" i="5"/>
  <c r="E4573" i="5"/>
  <c r="F4573" i="5" s="1"/>
  <c r="A4573" i="5"/>
  <c r="B4574" i="5" l="1"/>
  <c r="D4574" i="5"/>
  <c r="D4671" i="5"/>
  <c r="B4671" i="5"/>
  <c r="B5008" i="5"/>
  <c r="D5008" i="5"/>
  <c r="D4575" i="5"/>
  <c r="B4575" i="5"/>
  <c r="D4670" i="5"/>
  <c r="B4670" i="5"/>
  <c r="B4573" i="5"/>
  <c r="D4573" i="5"/>
  <c r="B4669" i="5"/>
  <c r="D4669" i="5"/>
  <c r="D4814" i="5"/>
  <c r="B4814" i="5"/>
  <c r="F4589" i="5"/>
  <c r="F4685" i="5"/>
  <c r="A5951" i="5"/>
  <c r="D5951" i="5" s="1"/>
  <c r="E4139" i="5" l="1"/>
  <c r="B4139" i="5"/>
  <c r="A4139" i="5"/>
  <c r="A3551" i="5"/>
  <c r="D3551" i="5" s="1"/>
  <c r="D3359" i="5"/>
  <c r="E3087" i="5"/>
  <c r="F3087" i="5" s="1"/>
  <c r="A3087" i="5"/>
  <c r="A2991" i="5"/>
  <c r="E2991" i="5"/>
  <c r="F2991" i="5" s="1"/>
  <c r="D3087" i="5" l="1"/>
  <c r="B3087" i="5"/>
  <c r="D2991" i="5"/>
  <c r="B2991" i="5"/>
  <c r="F2943" i="5" l="1"/>
  <c r="F2895" i="5"/>
  <c r="E2942" i="5"/>
  <c r="F2942" i="5" s="1"/>
  <c r="D2976" i="5"/>
  <c r="D2975" i="5"/>
  <c r="F2941" i="5"/>
  <c r="B2941" i="5" l="1"/>
  <c r="D2941" i="5"/>
  <c r="D2895" i="5"/>
  <c r="B2895" i="5"/>
  <c r="B2942" i="5"/>
  <c r="D2942" i="5"/>
  <c r="B2943" i="5"/>
  <c r="D2943" i="5"/>
  <c r="F2957" i="5"/>
  <c r="E2463" i="5"/>
  <c r="F2463" i="5" s="1"/>
  <c r="A2463" i="5"/>
  <c r="E2462" i="5"/>
  <c r="F2462" i="5" s="1"/>
  <c r="A2462" i="5"/>
  <c r="E2461" i="5"/>
  <c r="F2461" i="5" s="1"/>
  <c r="A2461" i="5"/>
  <c r="A2496" i="5"/>
  <c r="D2496" i="5" s="1"/>
  <c r="A2159" i="5"/>
  <c r="D2159" i="5" s="1"/>
  <c r="E2145" i="5"/>
  <c r="F2145" i="5" s="1"/>
  <c r="A2145" i="5"/>
  <c r="A1648" i="5"/>
  <c r="E1648" i="5"/>
  <c r="F1648" i="5" s="1"/>
  <c r="A1152" i="5"/>
  <c r="D1152" i="5" s="1"/>
  <c r="A96" i="5"/>
  <c r="A95" i="5"/>
  <c r="D96" i="5" l="1"/>
  <c r="D95" i="5"/>
  <c r="B2145" i="5"/>
  <c r="D2145" i="5"/>
  <c r="B2463" i="5"/>
  <c r="D2463" i="5"/>
  <c r="B1648" i="5"/>
  <c r="D1648" i="5"/>
  <c r="D2462" i="5"/>
  <c r="B2462" i="5"/>
  <c r="D2461" i="5"/>
  <c r="B2461" i="5"/>
  <c r="F2155" i="5"/>
  <c r="F2477" i="5"/>
  <c r="F2156" i="5" l="1"/>
  <c r="F2157" i="5" l="1"/>
  <c r="E4763" i="5" l="1"/>
  <c r="E4667" i="5"/>
  <c r="E4571" i="5"/>
  <c r="E3611" i="5"/>
  <c r="E3515" i="5"/>
  <c r="E3419" i="5"/>
  <c r="E3323" i="5"/>
  <c r="E3131" i="5"/>
  <c r="E3083" i="5"/>
  <c r="E2987" i="5"/>
  <c r="E2891" i="5"/>
  <c r="E2843" i="5"/>
  <c r="E2699" i="5"/>
  <c r="E2651" i="5"/>
  <c r="E2603" i="5"/>
  <c r="E2459" i="5"/>
  <c r="E2411" i="5"/>
  <c r="E2315" i="5"/>
  <c r="E2123" i="5"/>
  <c r="E1931" i="5"/>
  <c r="E1547" i="5"/>
  <c r="F4590" i="5" l="1"/>
  <c r="F990" i="5"/>
  <c r="F4974" i="5"/>
  <c r="F5550" i="5"/>
  <c r="F3918" i="5"/>
  <c r="F4110" i="5"/>
  <c r="F1470" i="5"/>
  <c r="F3390" i="5"/>
  <c r="F4398" i="5"/>
  <c r="F2190" i="5"/>
  <c r="F5262" i="5"/>
  <c r="F3486" i="5"/>
  <c r="F1422" i="5"/>
  <c r="F3246" i="5"/>
  <c r="F4350" i="5"/>
  <c r="F5310" i="5"/>
  <c r="F3198" i="5"/>
  <c r="F3054" i="5"/>
  <c r="F558" i="5"/>
  <c r="F2574" i="5"/>
  <c r="F1374" i="5"/>
  <c r="F5358" i="5"/>
  <c r="G124" i="1"/>
  <c r="G55" i="1"/>
  <c r="G74" i="1"/>
  <c r="G120" i="1"/>
  <c r="G83" i="1"/>
  <c r="G132" i="1"/>
  <c r="H132" i="1"/>
  <c r="G31" i="1"/>
  <c r="G97" i="1"/>
  <c r="G102" i="1"/>
  <c r="G105" i="1"/>
  <c r="G149" i="1"/>
  <c r="G101" i="1"/>
  <c r="G56" i="1"/>
  <c r="G57" i="1"/>
  <c r="G108" i="1"/>
  <c r="F4926" i="5"/>
  <c r="J149" i="1" l="1"/>
  <c r="K132" i="1"/>
  <c r="J55" i="1"/>
  <c r="K136" i="1"/>
  <c r="J108" i="1"/>
  <c r="J102" i="1"/>
  <c r="J136" i="1"/>
  <c r="J83" i="1"/>
  <c r="J97" i="1"/>
  <c r="F4927" i="5"/>
  <c r="J105" i="1"/>
  <c r="J132" i="1"/>
  <c r="J56" i="1"/>
  <c r="J124" i="1"/>
  <c r="J57" i="1"/>
  <c r="J120" i="1"/>
  <c r="F270" i="5"/>
  <c r="F1950" i="5"/>
  <c r="F5118" i="5"/>
  <c r="F1278" i="5"/>
  <c r="F4686" i="5"/>
  <c r="F654" i="5"/>
  <c r="F702" i="5"/>
  <c r="F366" i="5"/>
  <c r="F2670" i="5"/>
  <c r="F606" i="5"/>
  <c r="F1134" i="5"/>
  <c r="F3438" i="5"/>
  <c r="F2958" i="5"/>
  <c r="F414" i="5"/>
  <c r="F5934" i="5"/>
  <c r="F5359" i="5"/>
  <c r="F2575" i="5"/>
  <c r="F3199" i="5"/>
  <c r="F3247" i="5"/>
  <c r="F3487" i="5"/>
  <c r="F5263" i="5"/>
  <c r="F1471" i="5"/>
  <c r="F4111" i="5"/>
  <c r="F991" i="5"/>
  <c r="F318" i="5"/>
  <c r="F2334" i="5"/>
  <c r="F1566" i="5"/>
  <c r="F4591" i="5"/>
  <c r="F5502" i="5"/>
  <c r="F2142" i="5"/>
  <c r="F2478" i="5"/>
  <c r="F2094" i="5"/>
  <c r="F1375" i="5"/>
  <c r="F559" i="5"/>
  <c r="F3055" i="5"/>
  <c r="F5311" i="5"/>
  <c r="F4351" i="5"/>
  <c r="F1423" i="5"/>
  <c r="F2191" i="5"/>
  <c r="F4399" i="5"/>
  <c r="F137" i="1" s="1"/>
  <c r="F3391" i="5"/>
  <c r="F3919" i="5"/>
  <c r="F5551" i="5"/>
  <c r="F4975" i="5"/>
  <c r="G94" i="1"/>
  <c r="G73" i="1"/>
  <c r="I137" i="1" l="1"/>
  <c r="L137" i="1"/>
  <c r="E137" i="1"/>
  <c r="J73" i="1"/>
  <c r="F271" i="5"/>
  <c r="F164" i="1"/>
  <c r="F46" i="1"/>
  <c r="F159" i="1"/>
  <c r="F160" i="1"/>
  <c r="F158" i="1"/>
  <c r="I136" i="1"/>
  <c r="F703" i="5"/>
  <c r="F31" i="1"/>
  <c r="F83" i="1"/>
  <c r="F101" i="1"/>
  <c r="F1279" i="5"/>
  <c r="F4687" i="5"/>
  <c r="F102" i="1"/>
  <c r="F2671" i="5"/>
  <c r="F57" i="1"/>
  <c r="F124" i="1"/>
  <c r="F55" i="1"/>
  <c r="F5119" i="5"/>
  <c r="F74" i="1"/>
  <c r="F367" i="5"/>
  <c r="F655" i="5"/>
  <c r="F1951" i="5"/>
  <c r="F105" i="1"/>
  <c r="F97" i="1"/>
  <c r="F132" i="1"/>
  <c r="F120" i="1"/>
  <c r="F2143" i="5"/>
  <c r="F2959" i="5"/>
  <c r="F4331" i="5"/>
  <c r="F2335" i="5"/>
  <c r="F415" i="5"/>
  <c r="F3439" i="5"/>
  <c r="F2095" i="5"/>
  <c r="F5503" i="5"/>
  <c r="F4379" i="5"/>
  <c r="F56" i="1"/>
  <c r="F149" i="1"/>
  <c r="F2479" i="5"/>
  <c r="F1567" i="5"/>
  <c r="F319" i="5"/>
  <c r="F5935" i="5"/>
  <c r="F1135" i="5"/>
  <c r="F607" i="5"/>
  <c r="I169" i="1"/>
  <c r="F108" i="1"/>
  <c r="I160" i="1" l="1"/>
  <c r="I149" i="1"/>
  <c r="I55" i="1"/>
  <c r="I159" i="1"/>
  <c r="I46" i="1"/>
  <c r="I132" i="1"/>
  <c r="I57" i="1"/>
  <c r="I56" i="1"/>
  <c r="I105" i="1"/>
  <c r="I158" i="1"/>
  <c r="I164" i="1"/>
  <c r="F163" i="1"/>
  <c r="F172" i="1"/>
  <c r="I78" i="1"/>
  <c r="I120" i="1"/>
  <c r="I124" i="1"/>
  <c r="F35" i="1"/>
  <c r="I97" i="1"/>
  <c r="I108" i="1"/>
  <c r="I83" i="1"/>
  <c r="I102" i="1"/>
  <c r="L132" i="1"/>
  <c r="F26" i="1"/>
  <c r="E132" i="1"/>
  <c r="F94" i="1"/>
  <c r="I172" i="1" l="1"/>
  <c r="I26" i="1"/>
  <c r="I163" i="1"/>
  <c r="F13" i="5"/>
  <c r="D2687" i="5" l="1"/>
  <c r="A5389" i="7"/>
  <c r="C5388" i="7"/>
  <c r="A5119" i="7"/>
  <c r="C5118" i="7"/>
  <c r="A5065" i="7"/>
  <c r="C5064" i="7"/>
  <c r="C5442" i="7"/>
  <c r="A5443" i="7"/>
  <c r="C4687" i="7"/>
  <c r="C4740" i="7"/>
  <c r="A3394" i="7"/>
  <c r="C3393" i="7"/>
  <c r="A2482" i="7"/>
  <c r="C2481" i="7"/>
  <c r="C4364" i="7"/>
  <c r="A2910" i="7"/>
  <c r="C2909" i="7"/>
  <c r="B3419" i="5"/>
  <c r="B11" i="5"/>
  <c r="B59" i="5"/>
  <c r="B251" i="5"/>
  <c r="B347" i="5"/>
  <c r="B395" i="5"/>
  <c r="B587" i="5"/>
  <c r="B635" i="5"/>
  <c r="B683" i="5"/>
  <c r="B1115" i="5"/>
  <c r="B1259" i="5"/>
  <c r="B1547" i="5"/>
  <c r="B1643" i="5"/>
  <c r="B1691" i="5"/>
  <c r="B1739" i="5"/>
  <c r="B1787" i="5"/>
  <c r="B1931" i="5"/>
  <c r="B2123" i="5"/>
  <c r="B2315" i="5"/>
  <c r="B2411" i="5"/>
  <c r="B2459" i="5"/>
  <c r="B2603" i="5"/>
  <c r="B2651" i="5"/>
  <c r="B2699" i="5"/>
  <c r="B2843" i="5"/>
  <c r="B2891" i="5"/>
  <c r="B2939" i="5"/>
  <c r="B2987" i="5"/>
  <c r="B3083" i="5"/>
  <c r="B3131" i="5"/>
  <c r="B3323" i="5"/>
  <c r="B3515" i="5"/>
  <c r="B3611" i="5"/>
  <c r="B4571" i="5"/>
  <c r="B4667" i="5"/>
  <c r="B4763" i="5"/>
  <c r="B4811" i="5"/>
  <c r="B4859" i="5"/>
  <c r="B4907" i="5"/>
  <c r="B5003" i="5"/>
  <c r="B5099" i="5"/>
  <c r="B5147" i="5"/>
  <c r="B5867" i="5"/>
  <c r="B5915" i="5"/>
  <c r="F3325" i="5"/>
  <c r="F3327" i="5"/>
  <c r="E3326" i="5"/>
  <c r="F3326" i="5" s="1"/>
  <c r="E3277" i="5"/>
  <c r="F3277" i="5" s="1"/>
  <c r="E3279" i="5"/>
  <c r="F3279" i="5" s="1"/>
  <c r="E3278" i="5"/>
  <c r="F3278" i="5" s="1"/>
  <c r="A2459" i="5"/>
  <c r="E2894" i="5"/>
  <c r="F2894" i="5" s="1"/>
  <c r="E2893" i="5"/>
  <c r="F2893" i="5" s="1"/>
  <c r="A2891" i="5"/>
  <c r="C1195" i="7"/>
  <c r="A1196" i="7"/>
  <c r="C1357" i="7"/>
  <c r="A1358" i="7"/>
  <c r="C1410" i="7"/>
  <c r="A1411" i="7"/>
  <c r="C1567" i="7"/>
  <c r="A1568" i="7"/>
  <c r="C1783" i="7"/>
  <c r="A1784" i="7"/>
  <c r="C1837" i="7"/>
  <c r="A1838" i="7"/>
  <c r="C1889" i="7"/>
  <c r="A1890" i="7"/>
  <c r="C1943" i="7"/>
  <c r="A1944" i="7"/>
  <c r="C1997" i="7"/>
  <c r="A1998" i="7"/>
  <c r="C2105" i="7"/>
  <c r="A2106" i="7"/>
  <c r="C2159" i="7"/>
  <c r="A2160" i="7"/>
  <c r="C2319" i="7"/>
  <c r="A2320" i="7"/>
  <c r="C2427" i="7"/>
  <c r="A2428" i="7"/>
  <c r="C2640" i="7"/>
  <c r="A2641" i="7"/>
  <c r="C2694" i="7"/>
  <c r="A2695" i="7"/>
  <c r="C2747" i="7"/>
  <c r="A2748" i="7"/>
  <c r="C2855" i="7"/>
  <c r="A2856" i="7"/>
  <c r="C2962" i="7"/>
  <c r="A2963" i="7"/>
  <c r="C3016" i="7"/>
  <c r="A3017" i="7"/>
  <c r="C3123" i="7"/>
  <c r="A3124" i="7"/>
  <c r="C3176" i="7"/>
  <c r="A3177" i="7"/>
  <c r="C3447" i="7"/>
  <c r="A3448" i="7"/>
  <c r="C3932" i="7"/>
  <c r="C4472" i="7"/>
  <c r="C4526" i="7"/>
  <c r="C4580" i="7"/>
  <c r="C4634" i="7"/>
  <c r="C4794" i="7"/>
  <c r="C4848" i="7"/>
  <c r="C5548" i="7"/>
  <c r="A5549" i="7"/>
  <c r="F1309" i="5"/>
  <c r="A11" i="5"/>
  <c r="E11" i="5"/>
  <c r="A59" i="5"/>
  <c r="E59" i="5"/>
  <c r="F62" i="5"/>
  <c r="E63" i="5"/>
  <c r="E64" i="5"/>
  <c r="E251" i="5"/>
  <c r="A347" i="5"/>
  <c r="E347" i="5"/>
  <c r="A395" i="5"/>
  <c r="E395" i="5"/>
  <c r="A587" i="5"/>
  <c r="E587" i="5"/>
  <c r="A635" i="5"/>
  <c r="E635" i="5"/>
  <c r="F657" i="5"/>
  <c r="A683" i="5"/>
  <c r="E683" i="5"/>
  <c r="F705" i="5"/>
  <c r="A1115" i="5"/>
  <c r="E1115" i="5"/>
  <c r="A1259" i="5"/>
  <c r="E1259" i="5"/>
  <c r="A1281" i="5"/>
  <c r="E1281" i="5"/>
  <c r="F1281" i="5" s="1"/>
  <c r="F1312" i="5"/>
  <c r="F1310" i="5"/>
  <c r="F1311" i="5"/>
  <c r="A1643" i="5"/>
  <c r="E1643" i="5"/>
  <c r="E1647" i="5"/>
  <c r="F1647" i="5" s="1"/>
  <c r="E1645" i="5"/>
  <c r="F1645" i="5" s="1"/>
  <c r="E1646" i="5"/>
  <c r="F1646" i="5" s="1"/>
  <c r="A1680" i="5"/>
  <c r="D1680" i="5" s="1"/>
  <c r="A1691" i="5"/>
  <c r="E1691" i="5"/>
  <c r="A1696" i="5"/>
  <c r="E1696" i="5"/>
  <c r="F1696" i="5" s="1"/>
  <c r="A1693" i="5"/>
  <c r="E1693" i="5"/>
  <c r="F1693" i="5" s="1"/>
  <c r="A1694" i="5"/>
  <c r="E1694" i="5"/>
  <c r="F1694" i="5" s="1"/>
  <c r="A1695" i="5"/>
  <c r="E1695" i="5"/>
  <c r="F1695" i="5" s="1"/>
  <c r="A1728" i="5"/>
  <c r="D1728" i="5" s="1"/>
  <c r="A1739" i="5"/>
  <c r="E1739" i="5"/>
  <c r="A1744" i="5"/>
  <c r="E1744" i="5"/>
  <c r="F1744" i="5" s="1"/>
  <c r="A1741" i="5"/>
  <c r="E1741" i="5"/>
  <c r="F1741" i="5" s="1"/>
  <c r="A1742" i="5"/>
  <c r="E1742" i="5"/>
  <c r="F1742" i="5" s="1"/>
  <c r="A1743" i="5"/>
  <c r="E1743" i="5"/>
  <c r="F1743" i="5" s="1"/>
  <c r="A1776" i="5"/>
  <c r="D1776" i="5" s="1"/>
  <c r="A1787" i="5"/>
  <c r="E1787" i="5"/>
  <c r="A1789" i="5"/>
  <c r="E1789" i="5"/>
  <c r="F1789" i="5" s="1"/>
  <c r="A1791" i="5"/>
  <c r="E1791" i="5"/>
  <c r="F1791" i="5" s="1"/>
  <c r="A1790" i="5"/>
  <c r="E1790" i="5"/>
  <c r="F1790" i="5" s="1"/>
  <c r="A1792" i="5"/>
  <c r="E1792" i="5"/>
  <c r="F1792" i="5" s="1"/>
  <c r="A1824" i="5"/>
  <c r="D1824" i="5" s="1"/>
  <c r="A1931" i="5"/>
  <c r="A1968" i="5"/>
  <c r="D1968" i="5" s="1"/>
  <c r="A2123" i="5"/>
  <c r="A2315" i="5"/>
  <c r="A2411" i="5"/>
  <c r="A2413" i="5"/>
  <c r="E2413" i="5"/>
  <c r="F2413" i="5" s="1"/>
  <c r="A2433" i="5"/>
  <c r="E2433" i="5"/>
  <c r="F2433" i="5" s="1"/>
  <c r="A2448" i="5"/>
  <c r="D2448" i="5" s="1"/>
  <c r="A2603" i="5"/>
  <c r="A2605" i="5"/>
  <c r="E2605" i="5"/>
  <c r="F2605" i="5" s="1"/>
  <c r="A2607" i="5"/>
  <c r="E2607" i="5"/>
  <c r="F2607" i="5" s="1"/>
  <c r="F2606" i="5"/>
  <c r="A2651" i="5"/>
  <c r="D2688" i="5"/>
  <c r="A2699" i="5"/>
  <c r="E2701" i="5"/>
  <c r="F2701" i="5" s="1"/>
  <c r="E2702" i="5"/>
  <c r="F2702" i="5" s="1"/>
  <c r="D2736" i="5"/>
  <c r="E2846" i="5"/>
  <c r="F2846" i="5" s="1"/>
  <c r="D2880" i="5"/>
  <c r="A2939" i="5"/>
  <c r="E2939" i="5"/>
  <c r="A2987" i="5"/>
  <c r="A2989" i="5"/>
  <c r="E2989" i="5"/>
  <c r="F2989" i="5" s="1"/>
  <c r="A2990" i="5"/>
  <c r="E2990" i="5"/>
  <c r="F2990" i="5" s="1"/>
  <c r="A3024" i="5"/>
  <c r="D3024" i="5" s="1"/>
  <c r="A3023" i="5"/>
  <c r="D3023" i="5" s="1"/>
  <c r="A3083" i="5"/>
  <c r="A3085" i="5"/>
  <c r="B3085" i="5" s="1"/>
  <c r="E3085" i="5"/>
  <c r="F3085" i="5" s="1"/>
  <c r="A3086" i="5"/>
  <c r="E3086" i="5"/>
  <c r="F3086" i="5" s="1"/>
  <c r="A3131" i="5"/>
  <c r="E3136" i="5"/>
  <c r="F3136" i="5" s="1"/>
  <c r="E3135" i="5"/>
  <c r="F3135" i="5" s="1"/>
  <c r="E3134" i="5"/>
  <c r="F3134" i="5" s="1"/>
  <c r="F3133" i="5"/>
  <c r="D3168" i="5"/>
  <c r="E3518" i="5"/>
  <c r="F3518" i="5" s="1"/>
  <c r="E3517" i="5"/>
  <c r="F3517" i="5" s="1"/>
  <c r="A3611" i="5"/>
  <c r="E3613" i="5"/>
  <c r="F3613" i="5" s="1"/>
  <c r="D3648" i="5"/>
  <c r="D3647" i="5"/>
  <c r="F4141" i="5"/>
  <c r="A4176" i="5"/>
  <c r="D4176" i="5" s="1"/>
  <c r="A4571" i="5"/>
  <c r="A4667" i="5"/>
  <c r="A4689" i="5"/>
  <c r="D4689" i="5" s="1"/>
  <c r="E4689" i="5"/>
  <c r="F4689" i="5" s="1"/>
  <c r="A4763" i="5"/>
  <c r="A4765" i="5"/>
  <c r="E4765" i="5"/>
  <c r="F4765" i="5" s="1"/>
  <c r="A4767" i="5"/>
  <c r="E4767" i="5"/>
  <c r="F4767" i="5" s="1"/>
  <c r="F4766" i="5"/>
  <c r="A4800" i="5"/>
  <c r="D4800" i="5" s="1"/>
  <c r="A4799" i="5"/>
  <c r="D4799" i="5" s="1"/>
  <c r="A4811" i="5"/>
  <c r="E4811" i="5"/>
  <c r="A4813" i="5"/>
  <c r="E4813" i="5"/>
  <c r="F4813" i="5" s="1"/>
  <c r="A4833" i="5"/>
  <c r="E4833" i="5"/>
  <c r="F4833" i="5" s="1"/>
  <c r="A4848" i="5"/>
  <c r="D4848" i="5" s="1"/>
  <c r="A4847" i="5"/>
  <c r="D4847" i="5" s="1"/>
  <c r="A4859" i="5"/>
  <c r="E4859" i="5"/>
  <c r="A4861" i="5"/>
  <c r="E4861" i="5"/>
  <c r="F4861" i="5" s="1"/>
  <c r="A4863" i="5"/>
  <c r="F4862" i="5"/>
  <c r="A4881" i="5"/>
  <c r="E4881" i="5"/>
  <c r="F4881" i="5" s="1"/>
  <c r="A4896" i="5"/>
  <c r="D4896" i="5" s="1"/>
  <c r="A4895" i="5"/>
  <c r="D4895" i="5" s="1"/>
  <c r="A4907" i="5"/>
  <c r="E4907" i="5"/>
  <c r="A4944" i="5"/>
  <c r="D4944" i="5" s="1"/>
  <c r="A4943" i="5"/>
  <c r="D4943" i="5" s="1"/>
  <c r="A5003" i="5"/>
  <c r="E5003" i="5"/>
  <c r="A5005" i="5"/>
  <c r="C5005" i="5"/>
  <c r="E5005" i="5"/>
  <c r="A5007" i="5"/>
  <c r="C5007" i="5"/>
  <c r="E5007" i="5"/>
  <c r="C5008" i="5"/>
  <c r="F5008" i="5" s="1"/>
  <c r="A5009" i="5"/>
  <c r="C5009" i="5"/>
  <c r="E5009" i="5"/>
  <c r="F5006" i="5"/>
  <c r="A5025" i="5"/>
  <c r="F5025" i="5"/>
  <c r="A5039" i="5"/>
  <c r="D5039" i="5" s="1"/>
  <c r="A5099" i="5"/>
  <c r="E5099" i="5"/>
  <c r="A5135" i="5"/>
  <c r="D5135" i="5" s="1"/>
  <c r="A5147" i="5"/>
  <c r="E5147" i="5"/>
  <c r="E5149" i="5"/>
  <c r="F5149" i="5" s="1"/>
  <c r="E5150" i="5"/>
  <c r="F5150" i="5" s="1"/>
  <c r="A5867" i="5"/>
  <c r="E5867" i="5"/>
  <c r="F5869" i="5"/>
  <c r="D5903" i="5"/>
  <c r="A5915" i="5"/>
  <c r="E5915" i="5"/>
  <c r="A181" i="1"/>
  <c r="B181" i="1"/>
  <c r="A183" i="1"/>
  <c r="B183" i="1"/>
  <c r="A185" i="1"/>
  <c r="B185" i="1"/>
  <c r="A187" i="1"/>
  <c r="B187" i="1"/>
  <c r="A189" i="1"/>
  <c r="B189" i="1"/>
  <c r="A191" i="1"/>
  <c r="B191" i="1"/>
  <c r="A193" i="1"/>
  <c r="B193" i="1"/>
  <c r="C631" i="5"/>
  <c r="F384" i="5"/>
  <c r="C3319" i="5"/>
  <c r="C2167" i="5"/>
  <c r="C4903" i="5"/>
  <c r="C4855" i="5"/>
  <c r="C343" i="5"/>
  <c r="C4951" i="5"/>
  <c r="C727" i="5"/>
  <c r="F727" i="5" s="1"/>
  <c r="M505" i="7" l="1"/>
  <c r="N505" i="7" s="1"/>
  <c r="K505" i="7"/>
  <c r="M2003" i="7"/>
  <c r="N2003" i="7" s="1"/>
  <c r="K2003" i="7"/>
  <c r="L2003" i="7" s="1"/>
  <c r="F63" i="5"/>
  <c r="F64" i="5"/>
  <c r="D4881" i="5"/>
  <c r="D5025" i="5"/>
  <c r="B5025" i="5"/>
  <c r="F5009" i="5"/>
  <c r="F5007" i="5"/>
  <c r="F5005" i="5"/>
  <c r="D2433" i="5"/>
  <c r="B2433" i="5"/>
  <c r="D657" i="5"/>
  <c r="B657" i="5"/>
  <c r="B4833" i="5"/>
  <c r="D4833" i="5"/>
  <c r="D1281" i="5"/>
  <c r="B1281" i="5"/>
  <c r="D705" i="5"/>
  <c r="B705" i="5"/>
  <c r="B3518" i="5"/>
  <c r="D3518" i="5"/>
  <c r="D63" i="5"/>
  <c r="B63" i="5"/>
  <c r="D3277" i="5"/>
  <c r="B3277" i="5"/>
  <c r="D3613" i="5"/>
  <c r="B3613" i="5"/>
  <c r="D1696" i="5"/>
  <c r="B1696" i="5"/>
  <c r="D62" i="5"/>
  <c r="B62" i="5"/>
  <c r="B61" i="5"/>
  <c r="D61" i="5"/>
  <c r="B3326" i="5"/>
  <c r="D3326" i="5"/>
  <c r="D3278" i="5"/>
  <c r="B3278" i="5"/>
  <c r="B5009" i="5"/>
  <c r="D5009" i="5"/>
  <c r="B4141" i="5"/>
  <c r="D4141" i="5"/>
  <c r="B3517" i="5"/>
  <c r="D3517" i="5"/>
  <c r="B64" i="5"/>
  <c r="D64" i="5"/>
  <c r="D3279" i="5"/>
  <c r="B3279" i="5"/>
  <c r="B2607" i="5"/>
  <c r="D2607" i="5"/>
  <c r="B1744" i="5"/>
  <c r="D1744" i="5"/>
  <c r="D1646" i="5"/>
  <c r="B1646" i="5"/>
  <c r="D3325" i="5"/>
  <c r="B3325" i="5"/>
  <c r="D5149" i="5"/>
  <c r="B5149" i="5"/>
  <c r="D4862" i="5"/>
  <c r="B4862" i="5"/>
  <c r="D3135" i="5"/>
  <c r="B3135" i="5"/>
  <c r="D2702" i="5"/>
  <c r="B2702" i="5"/>
  <c r="B1790" i="5"/>
  <c r="D1790" i="5"/>
  <c r="D1693" i="5"/>
  <c r="B1693" i="5"/>
  <c r="B5007" i="5"/>
  <c r="D5007" i="5"/>
  <c r="D4863" i="5"/>
  <c r="B4863" i="5"/>
  <c r="B4766" i="5"/>
  <c r="D4766" i="5"/>
  <c r="D2413" i="5"/>
  <c r="B2413" i="5"/>
  <c r="B1743" i="5"/>
  <c r="D1743" i="5"/>
  <c r="D1645" i="5"/>
  <c r="B1645" i="5"/>
  <c r="B2893" i="5"/>
  <c r="D2893" i="5"/>
  <c r="D5869" i="5"/>
  <c r="B5869" i="5"/>
  <c r="B5006" i="5"/>
  <c r="D5006" i="5"/>
  <c r="B3136" i="5"/>
  <c r="D3136" i="5"/>
  <c r="D1791" i="5"/>
  <c r="B1791" i="5"/>
  <c r="D4861" i="5"/>
  <c r="B4861" i="5"/>
  <c r="B4813" i="5"/>
  <c r="D4813" i="5"/>
  <c r="B4767" i="5"/>
  <c r="D4767" i="5"/>
  <c r="D2605" i="5"/>
  <c r="B2605" i="5"/>
  <c r="B1742" i="5"/>
  <c r="D1742" i="5"/>
  <c r="D1647" i="5"/>
  <c r="B1647" i="5"/>
  <c r="B2894" i="5"/>
  <c r="D2894" i="5"/>
  <c r="B5005" i="5"/>
  <c r="D5005" i="5"/>
  <c r="B2990" i="5"/>
  <c r="D2990" i="5"/>
  <c r="B2846" i="5"/>
  <c r="D2846" i="5"/>
  <c r="B1789" i="5"/>
  <c r="D1789" i="5"/>
  <c r="D1695" i="5"/>
  <c r="B1695" i="5"/>
  <c r="B4765" i="5"/>
  <c r="D4765" i="5"/>
  <c r="D3086" i="5"/>
  <c r="B3086" i="5"/>
  <c r="B1741" i="5"/>
  <c r="D1741" i="5"/>
  <c r="D5150" i="5"/>
  <c r="B5150" i="5"/>
  <c r="D3134" i="5"/>
  <c r="B3134" i="5"/>
  <c r="B2989" i="5"/>
  <c r="D2989" i="5"/>
  <c r="B1792" i="5"/>
  <c r="D1792" i="5"/>
  <c r="D1694" i="5"/>
  <c r="B1694" i="5"/>
  <c r="D3085" i="5"/>
  <c r="D2606" i="5"/>
  <c r="B2606" i="5"/>
  <c r="D3133" i="5"/>
  <c r="B3133" i="5"/>
  <c r="B2701" i="5"/>
  <c r="D2701" i="5"/>
  <c r="F728" i="5"/>
  <c r="F5165" i="5"/>
  <c r="F5035" i="5"/>
  <c r="F5036" i="5" s="1"/>
  <c r="F3149" i="5"/>
  <c r="F3150" i="5" s="1"/>
  <c r="F2861" i="5"/>
  <c r="F1805" i="5"/>
  <c r="F1709" i="5"/>
  <c r="F1291" i="5"/>
  <c r="F1292" i="5" s="1"/>
  <c r="F715" i="5"/>
  <c r="F667" i="5"/>
  <c r="F3293" i="5"/>
  <c r="F3294" i="5" s="1"/>
  <c r="F4843" i="5"/>
  <c r="F4844" i="5" s="1"/>
  <c r="F4781" i="5"/>
  <c r="F4782" i="5" s="1"/>
  <c r="F4699" i="5"/>
  <c r="F4700" i="5" s="1"/>
  <c r="F2429" i="5"/>
  <c r="F2430" i="5" s="1"/>
  <c r="F1757" i="5"/>
  <c r="F1758" i="5" s="1"/>
  <c r="F1661" i="5"/>
  <c r="F1662" i="5" s="1"/>
  <c r="F2909" i="5"/>
  <c r="F5885" i="5"/>
  <c r="F5886" i="5" s="1"/>
  <c r="F4891" i="5"/>
  <c r="F4892" i="5" s="1"/>
  <c r="F4157" i="5"/>
  <c r="F3629" i="5"/>
  <c r="F3533" i="5"/>
  <c r="F3534" i="5" s="1"/>
  <c r="F3005" i="5"/>
  <c r="F3006" i="5" s="1"/>
  <c r="F2717" i="5"/>
  <c r="F2718" i="5" s="1"/>
  <c r="F4877" i="5"/>
  <c r="F4878" i="5" s="1"/>
  <c r="F4829" i="5"/>
  <c r="F3101" i="5"/>
  <c r="F3102" i="5" s="1"/>
  <c r="F2621" i="5"/>
  <c r="F2443" i="5"/>
  <c r="F2444" i="5" s="1"/>
  <c r="F1325" i="5"/>
  <c r="F3341" i="5"/>
  <c r="C3127" i="5"/>
  <c r="C5143" i="5"/>
  <c r="C4615" i="5"/>
  <c r="C2119" i="5"/>
  <c r="C1687" i="5"/>
  <c r="C4711" i="5"/>
  <c r="C3175" i="5"/>
  <c r="C4807" i="5"/>
  <c r="C5047" i="5"/>
  <c r="C2887" i="5"/>
  <c r="C2743" i="5"/>
  <c r="C3367" i="5"/>
  <c r="C3463" i="5"/>
  <c r="C5527" i="5"/>
  <c r="C5191" i="5"/>
  <c r="C1351" i="5"/>
  <c r="C3655" i="5"/>
  <c r="C679" i="5"/>
  <c r="C4183" i="5"/>
  <c r="C2359" i="5"/>
  <c r="C1783" i="5"/>
  <c r="C1735" i="5"/>
  <c r="C1303" i="5"/>
  <c r="C103" i="5"/>
  <c r="C2935" i="5"/>
  <c r="C2503" i="5"/>
  <c r="C391" i="5"/>
  <c r="C5911" i="5"/>
  <c r="C1159" i="5"/>
  <c r="C5959" i="5"/>
  <c r="C2647" i="5"/>
  <c r="C2455" i="5"/>
  <c r="C3559" i="5"/>
  <c r="C3031" i="5"/>
  <c r="C1975" i="5"/>
  <c r="C2983" i="5"/>
  <c r="C439" i="5"/>
  <c r="C295" i="5"/>
  <c r="C2695" i="5"/>
  <c r="C1831" i="5"/>
  <c r="C1591" i="5"/>
  <c r="G106" i="1"/>
  <c r="F29" i="5"/>
  <c r="F30" i="5" s="1"/>
  <c r="J145" i="1"/>
  <c r="G68" i="1"/>
  <c r="G92" i="1"/>
  <c r="L505" i="7" l="1"/>
  <c r="M2" i="7"/>
  <c r="J92" i="1"/>
  <c r="J68" i="1"/>
  <c r="J106" i="1"/>
  <c r="F77" i="5"/>
  <c r="F78" i="5" s="1"/>
  <c r="F5021" i="5"/>
  <c r="F5022" i="5" s="1"/>
  <c r="F3535" i="5"/>
  <c r="F1293" i="5"/>
  <c r="F3103" i="5"/>
  <c r="F4783" i="5"/>
  <c r="F1663" i="5"/>
  <c r="F4845" i="5"/>
  <c r="G146" i="1" s="1"/>
  <c r="F4893" i="5"/>
  <c r="F1759" i="5"/>
  <c r="F3295" i="5"/>
  <c r="F5037" i="5"/>
  <c r="F5887" i="5"/>
  <c r="F2431" i="5"/>
  <c r="F729" i="5"/>
  <c r="F4879" i="5"/>
  <c r="F2719" i="5"/>
  <c r="F3151" i="5"/>
  <c r="F2445" i="5"/>
  <c r="F3007" i="5"/>
  <c r="F4701" i="5"/>
  <c r="F5527" i="5"/>
  <c r="F1710" i="5"/>
  <c r="F2862" i="5"/>
  <c r="F2622" i="5"/>
  <c r="F4830" i="5"/>
  <c r="F668" i="5"/>
  <c r="F716" i="5"/>
  <c r="F3342" i="5"/>
  <c r="F3630" i="5"/>
  <c r="F2910" i="5"/>
  <c r="F1806" i="5"/>
  <c r="F1326" i="5"/>
  <c r="F4158" i="5"/>
  <c r="F5166" i="5"/>
  <c r="G103" i="1"/>
  <c r="F25" i="1"/>
  <c r="G96" i="1"/>
  <c r="F27" i="1"/>
  <c r="G109" i="1"/>
  <c r="G77" i="1"/>
  <c r="G81" i="1"/>
  <c r="F53" i="1"/>
  <c r="G153" i="1"/>
  <c r="G50" i="1"/>
  <c r="G86" i="1"/>
  <c r="G64" i="1"/>
  <c r="F152" i="1"/>
  <c r="G25" i="1"/>
  <c r="G62" i="1"/>
  <c r="F50" i="1"/>
  <c r="F143" i="1"/>
  <c r="G59" i="1"/>
  <c r="G87" i="1"/>
  <c r="G84" i="1"/>
  <c r="G33" i="1"/>
  <c r="G141" i="1"/>
  <c r="G93" i="1"/>
  <c r="G63" i="1"/>
  <c r="G28" i="1"/>
  <c r="F148" i="1"/>
  <c r="F81" i="1"/>
  <c r="G17" i="1"/>
  <c r="F28" i="1"/>
  <c r="F33" i="1"/>
  <c r="F86" i="1"/>
  <c r="F106" i="1"/>
  <c r="C55" i="5"/>
  <c r="J144" i="1"/>
  <c r="G27" i="1"/>
  <c r="G99" i="1"/>
  <c r="J93" i="1" l="1"/>
  <c r="J62" i="1"/>
  <c r="J50" i="1"/>
  <c r="J96" i="1"/>
  <c r="I28" i="1"/>
  <c r="J141" i="1"/>
  <c r="J25" i="1"/>
  <c r="J153" i="1"/>
  <c r="I25" i="1"/>
  <c r="I53" i="1"/>
  <c r="J103" i="1"/>
  <c r="J64" i="1"/>
  <c r="J99" i="1"/>
  <c r="I143" i="1"/>
  <c r="I33" i="1"/>
  <c r="J63" i="1"/>
  <c r="I50" i="1"/>
  <c r="I27" i="1"/>
  <c r="J87" i="1"/>
  <c r="I106" i="1"/>
  <c r="I148" i="1"/>
  <c r="J109" i="1"/>
  <c r="F171" i="1"/>
  <c r="J17" i="1"/>
  <c r="I144" i="1"/>
  <c r="J59" i="1"/>
  <c r="J28" i="1"/>
  <c r="J33" i="1"/>
  <c r="J27" i="1"/>
  <c r="H35" i="1"/>
  <c r="G143" i="1"/>
  <c r="F96" i="1"/>
  <c r="G150" i="1"/>
  <c r="F64" i="1"/>
  <c r="F62" i="1"/>
  <c r="F145" i="1"/>
  <c r="F98" i="1"/>
  <c r="G53" i="1"/>
  <c r="F147" i="1"/>
  <c r="F80" i="1"/>
  <c r="G80" i="1"/>
  <c r="F87" i="1"/>
  <c r="F103" i="1"/>
  <c r="G147" i="1"/>
  <c r="F5528" i="5"/>
  <c r="F5167" i="5"/>
  <c r="F3631" i="5"/>
  <c r="F717" i="5"/>
  <c r="F5023" i="5"/>
  <c r="F1711" i="5"/>
  <c r="F2911" i="5"/>
  <c r="F669" i="5"/>
  <c r="F79" i="5"/>
  <c r="F1327" i="5"/>
  <c r="F1807" i="5"/>
  <c r="F3343" i="5"/>
  <c r="F2623" i="5"/>
  <c r="F2863" i="5"/>
  <c r="F4831" i="5"/>
  <c r="F4159" i="5"/>
  <c r="G104" i="1"/>
  <c r="G114" i="1"/>
  <c r="G128" i="1"/>
  <c r="G98" i="1"/>
  <c r="F73" i="1"/>
  <c r="F34" i="1"/>
  <c r="F31" i="5"/>
  <c r="G65" i="1"/>
  <c r="F59" i="1"/>
  <c r="F99" i="1"/>
  <c r="F68" i="1"/>
  <c r="F141" i="1"/>
  <c r="J146" i="1"/>
  <c r="G152" i="1"/>
  <c r="G72" i="1"/>
  <c r="E36" i="1" l="1"/>
  <c r="I96" i="1"/>
  <c r="I141" i="1"/>
  <c r="J104" i="1"/>
  <c r="I73" i="1"/>
  <c r="J114" i="1"/>
  <c r="J147" i="1"/>
  <c r="J143" i="1"/>
  <c r="I68" i="1"/>
  <c r="I103" i="1"/>
  <c r="I98" i="1"/>
  <c r="I87" i="1"/>
  <c r="I145" i="1"/>
  <c r="J128" i="1"/>
  <c r="J126" i="1" s="1"/>
  <c r="I99" i="1"/>
  <c r="I59" i="1"/>
  <c r="I62" i="1"/>
  <c r="I171" i="1"/>
  <c r="J98" i="1"/>
  <c r="I64" i="1"/>
  <c r="I147" i="1"/>
  <c r="J150" i="1"/>
  <c r="F146" i="1"/>
  <c r="J53" i="1"/>
  <c r="F54" i="1"/>
  <c r="F150" i="1"/>
  <c r="F683" i="5"/>
  <c r="G34" i="1"/>
  <c r="F63" i="1"/>
  <c r="F104" i="1"/>
  <c r="F17" i="1"/>
  <c r="I17" i="1" s="1"/>
  <c r="F5529" i="5"/>
  <c r="F65" i="1"/>
  <c r="F16" i="1"/>
  <c r="G35" i="1"/>
  <c r="F114" i="1"/>
  <c r="F92" i="1"/>
  <c r="F84" i="1"/>
  <c r="F128" i="1"/>
  <c r="F153" i="1"/>
  <c r="F72" i="1"/>
  <c r="F93" i="1"/>
  <c r="F77" i="1"/>
  <c r="G148" i="1"/>
  <c r="F109" i="1"/>
  <c r="I155" i="1" l="1"/>
  <c r="F155" i="1" s="1"/>
  <c r="I92" i="1"/>
  <c r="I16" i="1"/>
  <c r="I14" i="1" s="1"/>
  <c r="F14" i="1" s="1"/>
  <c r="I146" i="1"/>
  <c r="I54" i="1"/>
  <c r="I153" i="1"/>
  <c r="I63" i="1"/>
  <c r="I109" i="1"/>
  <c r="J148" i="1"/>
  <c r="I150" i="1"/>
  <c r="H163" i="1"/>
  <c r="I114" i="1"/>
  <c r="I112" i="1" s="1"/>
  <c r="I128" i="1"/>
  <c r="I126" i="1" s="1"/>
  <c r="I104" i="1"/>
  <c r="I93" i="1"/>
  <c r="E35" i="1"/>
  <c r="F5483" i="5"/>
  <c r="J112" i="1"/>
  <c r="G126" i="1"/>
  <c r="H126" i="2" l="1"/>
  <c r="H89" i="2"/>
  <c r="T89" i="2"/>
  <c r="K89" i="2"/>
  <c r="T126" i="2"/>
  <c r="K126" i="2"/>
  <c r="E89" i="2"/>
  <c r="Q89" i="2"/>
  <c r="Q126" i="2"/>
  <c r="N126" i="2"/>
  <c r="N89" i="2"/>
  <c r="E126" i="2"/>
  <c r="N52" i="2"/>
  <c r="N15" i="2"/>
  <c r="Q52" i="2"/>
  <c r="E52" i="2"/>
  <c r="Q15" i="2"/>
  <c r="E15" i="2"/>
  <c r="T52" i="2"/>
  <c r="H52" i="2"/>
  <c r="T15" i="2"/>
  <c r="H15" i="2"/>
  <c r="K52" i="2"/>
  <c r="K15" i="2"/>
  <c r="R138" i="2"/>
  <c r="F138" i="2"/>
  <c r="I101" i="2"/>
  <c r="L101" i="2"/>
  <c r="I138" i="2"/>
  <c r="F101" i="2"/>
  <c r="R101" i="2"/>
  <c r="U101" i="2"/>
  <c r="O138" i="2"/>
  <c r="L138" i="2"/>
  <c r="O101" i="2"/>
  <c r="O64" i="2"/>
  <c r="R27" i="2"/>
  <c r="F27" i="2"/>
  <c r="R64" i="2"/>
  <c r="F64" i="2"/>
  <c r="U27" i="2"/>
  <c r="I27" i="2"/>
  <c r="I64" i="2"/>
  <c r="L27" i="2"/>
  <c r="L64" i="2"/>
  <c r="O27" i="2"/>
  <c r="E144" i="2"/>
  <c r="K107" i="2"/>
  <c r="N70" i="2"/>
  <c r="T33" i="2"/>
  <c r="H33" i="2"/>
  <c r="N144" i="2"/>
  <c r="T107" i="2"/>
  <c r="H107" i="2"/>
  <c r="K70" i="2"/>
  <c r="Q33" i="2"/>
  <c r="E33" i="2"/>
  <c r="N107" i="2"/>
  <c r="E70" i="2"/>
  <c r="K144" i="2"/>
  <c r="Q107" i="2"/>
  <c r="E107" i="2"/>
  <c r="H70" i="2"/>
  <c r="N33" i="2"/>
  <c r="H144" i="2"/>
  <c r="Q70" i="2"/>
  <c r="T70" i="2" s="1"/>
  <c r="K33" i="2"/>
  <c r="Q144" i="2"/>
  <c r="I156" i="1"/>
  <c r="K163" i="1"/>
  <c r="L163" i="1"/>
  <c r="E163" i="1"/>
  <c r="J127" i="1"/>
  <c r="G189" i="1"/>
  <c r="G112" i="1"/>
  <c r="R135" i="2" l="1"/>
  <c r="F135" i="2"/>
  <c r="O98" i="2"/>
  <c r="O135" i="2"/>
  <c r="F98" i="2"/>
  <c r="R98" i="2"/>
  <c r="I135" i="2"/>
  <c r="L135" i="2"/>
  <c r="I98" i="2"/>
  <c r="U98" i="2"/>
  <c r="L98" i="2"/>
  <c r="R61" i="2"/>
  <c r="F61" i="2"/>
  <c r="L24" i="2"/>
  <c r="O61" i="2"/>
  <c r="I24" i="2"/>
  <c r="L61" i="2"/>
  <c r="F24" i="2"/>
  <c r="O24" i="2"/>
  <c r="U24" i="2"/>
  <c r="R24" i="2"/>
  <c r="I61" i="2"/>
  <c r="U64" i="2"/>
  <c r="U138" i="2" s="1"/>
  <c r="T144" i="2"/>
  <c r="G193" i="1"/>
  <c r="G187" i="1"/>
  <c r="F126" i="1"/>
  <c r="F112" i="1"/>
  <c r="J113" i="1"/>
  <c r="U61" i="2" l="1"/>
  <c r="U135" i="2" s="1"/>
  <c r="Q135" i="2"/>
  <c r="E135" i="2"/>
  <c r="K98" i="2"/>
  <c r="N135" i="2"/>
  <c r="N98" i="2"/>
  <c r="H135" i="2"/>
  <c r="H98" i="2"/>
  <c r="K135" i="2"/>
  <c r="E98" i="2"/>
  <c r="Q98" i="2"/>
  <c r="T98" i="2"/>
  <c r="H61" i="2"/>
  <c r="T24" i="2"/>
  <c r="H24" i="2"/>
  <c r="K61" i="2"/>
  <c r="K24" i="2"/>
  <c r="N61" i="2"/>
  <c r="N24" i="2"/>
  <c r="Q61" i="2"/>
  <c r="E61" i="2"/>
  <c r="Q24" i="2"/>
  <c r="E24" i="2"/>
  <c r="N138" i="2"/>
  <c r="E101" i="2"/>
  <c r="Q101" i="2"/>
  <c r="Q138" i="2"/>
  <c r="E138" i="2"/>
  <c r="N101" i="2"/>
  <c r="H101" i="2"/>
  <c r="H138" i="2"/>
  <c r="K101" i="2"/>
  <c r="T101" i="2"/>
  <c r="K138" i="2"/>
  <c r="K64" i="2"/>
  <c r="N27" i="2"/>
  <c r="N64" i="2"/>
  <c r="Q27" i="2"/>
  <c r="E27" i="2"/>
  <c r="Q64" i="2"/>
  <c r="E64" i="2"/>
  <c r="T27" i="2"/>
  <c r="H27" i="2"/>
  <c r="H64" i="2"/>
  <c r="K27" i="2"/>
  <c r="I127" i="1"/>
  <c r="F187" i="1"/>
  <c r="F189" i="1"/>
  <c r="F193" i="1"/>
  <c r="I113" i="1"/>
  <c r="T61" i="2" l="1"/>
  <c r="T135" i="2" s="1"/>
  <c r="T64" i="2"/>
  <c r="T138" i="2" s="1"/>
  <c r="F43" i="5"/>
  <c r="F44" i="5" l="1"/>
  <c r="F45" i="5" l="1"/>
  <c r="G16" i="1" l="1"/>
  <c r="J16" i="1" l="1"/>
  <c r="J14" i="1" l="1"/>
  <c r="G14" i="1" l="1"/>
  <c r="U126" i="2" l="1"/>
  <c r="L126" i="2"/>
  <c r="L89" i="2"/>
  <c r="I126" i="2"/>
  <c r="O126" i="2"/>
  <c r="I89" i="2"/>
  <c r="U89" i="2"/>
  <c r="R126" i="2"/>
  <c r="F126" i="2"/>
  <c r="F89" i="2"/>
  <c r="R89" i="2"/>
  <c r="O89" i="2"/>
  <c r="R52" i="2"/>
  <c r="F52" i="2"/>
  <c r="R15" i="2"/>
  <c r="F15" i="2"/>
  <c r="U52" i="2"/>
  <c r="I52" i="2"/>
  <c r="U15" i="2"/>
  <c r="I15" i="2"/>
  <c r="L52" i="2"/>
  <c r="L15" i="2"/>
  <c r="O52" i="2"/>
  <c r="O15" i="2"/>
  <c r="J15" i="1" l="1"/>
  <c r="F181" i="1"/>
  <c r="G181" i="1"/>
  <c r="I15" i="1"/>
  <c r="E501" i="19" l="1"/>
  <c r="D503" i="19" s="1"/>
  <c r="E488" i="19"/>
  <c r="J65" i="1" l="1"/>
  <c r="I65" i="1"/>
  <c r="D759" i="19" l="1"/>
  <c r="D566" i="19"/>
  <c r="E882" i="19"/>
  <c r="E884" i="19" s="1"/>
  <c r="D886" i="19" s="1"/>
  <c r="E786" i="19"/>
  <c r="D791" i="19" s="1"/>
  <c r="D711" i="19"/>
  <c r="D177" i="19"/>
  <c r="D179" i="19" s="1"/>
  <c r="D321" i="19"/>
  <c r="D323" i="19" s="1"/>
  <c r="D1112" i="19"/>
  <c r="D1117" i="19" s="1"/>
  <c r="D679" i="19"/>
  <c r="D682" i="19" s="1"/>
  <c r="D684" i="19" s="1"/>
  <c r="E1122" i="19"/>
  <c r="D737" i="19"/>
  <c r="D740" i="19" s="1"/>
  <c r="E370" i="19"/>
  <c r="D372" i="19" s="1"/>
  <c r="D1088" i="19"/>
  <c r="D1091" i="19" s="1"/>
  <c r="D1125" i="19" l="1"/>
  <c r="D841" i="19"/>
  <c r="I86" i="1"/>
  <c r="J86" i="1"/>
  <c r="D220" i="19"/>
  <c r="H220" i="19" s="1"/>
  <c r="H225" i="19" s="1"/>
  <c r="D227" i="19" s="1"/>
  <c r="C233" i="19" s="1"/>
  <c r="J101" i="1"/>
  <c r="I101" i="1"/>
  <c r="J84" i="1"/>
  <c r="I84" i="1"/>
  <c r="J90" i="1"/>
  <c r="I90" i="1"/>
  <c r="J72" i="1"/>
  <c r="I72" i="1"/>
  <c r="J80" i="1"/>
  <c r="I80" i="1"/>
  <c r="J48" i="1"/>
  <c r="I48" i="1"/>
  <c r="J51" i="1"/>
  <c r="I51" i="1"/>
  <c r="J82" i="1"/>
  <c r="I82" i="1"/>
  <c r="E650" i="19"/>
  <c r="E653" i="19" s="1"/>
  <c r="D657" i="19" s="1"/>
  <c r="D659" i="19" s="1"/>
  <c r="D510" i="19"/>
  <c r="D512" i="19" s="1"/>
  <c r="D607" i="19"/>
  <c r="D701" i="19"/>
  <c r="D304" i="19"/>
  <c r="G233" i="19" l="1"/>
  <c r="G234" i="19" s="1"/>
  <c r="D306" i="19"/>
  <c r="J138" i="1"/>
  <c r="I138" i="1"/>
  <c r="J94" i="1"/>
  <c r="I94" i="1"/>
  <c r="J140" i="1"/>
  <c r="I140" i="1"/>
  <c r="J74" i="1"/>
  <c r="I74" i="1"/>
  <c r="I66" i="1"/>
  <c r="D1216" i="19"/>
  <c r="E1218" i="19" s="1"/>
  <c r="J77" i="1"/>
  <c r="I77" i="1"/>
  <c r="I81" i="1"/>
  <c r="J81" i="1"/>
  <c r="D1076" i="19"/>
  <c r="D1081" i="19" s="1"/>
  <c r="J31" i="1"/>
  <c r="I31" i="1"/>
  <c r="E236" i="19"/>
  <c r="I36" i="1" l="1"/>
  <c r="K36" i="1"/>
  <c r="L36" i="1"/>
  <c r="J36" i="1"/>
  <c r="J47" i="1"/>
  <c r="I47" i="1"/>
  <c r="I43" i="1" s="1"/>
  <c r="F43" i="1" s="1"/>
  <c r="I152" i="1"/>
  <c r="J152" i="1"/>
  <c r="I34" i="1"/>
  <c r="J34" i="1"/>
  <c r="I35" i="1"/>
  <c r="K35" i="1"/>
  <c r="L35" i="1"/>
  <c r="J35" i="1"/>
  <c r="Q132" i="2" l="1"/>
  <c r="H132" i="2"/>
  <c r="Q95" i="2"/>
  <c r="E95" i="2"/>
  <c r="K58" i="2"/>
  <c r="Q21" i="2"/>
  <c r="E21" i="2"/>
  <c r="E132" i="2"/>
  <c r="T95" i="2"/>
  <c r="H95" i="2"/>
  <c r="N58" i="2"/>
  <c r="T21" i="2"/>
  <c r="H21" i="2"/>
  <c r="K132" i="2"/>
  <c r="N95" i="2"/>
  <c r="T58" i="2"/>
  <c r="H58" i="2"/>
  <c r="N21" i="2"/>
  <c r="N132" i="2"/>
  <c r="K95" i="2"/>
  <c r="Q58" i="2"/>
  <c r="E58" i="2"/>
  <c r="K21" i="2"/>
  <c r="J134" i="1"/>
  <c r="G134" i="1" s="1"/>
  <c r="J22" i="1"/>
  <c r="G22" i="1" s="1"/>
  <c r="I134" i="1"/>
  <c r="F134" i="1" s="1"/>
  <c r="I22" i="1"/>
  <c r="T132" i="2" l="1"/>
  <c r="E141" i="2"/>
  <c r="U92" i="2"/>
  <c r="L129" i="2"/>
  <c r="O129" i="2"/>
  <c r="I129" i="2"/>
  <c r="F92" i="2"/>
  <c r="L92" i="2"/>
  <c r="R92" i="2"/>
  <c r="R129" i="2"/>
  <c r="I92" i="2"/>
  <c r="F129" i="2"/>
  <c r="O92" i="2"/>
  <c r="R141" i="2"/>
  <c r="F141" i="2"/>
  <c r="L104" i="2"/>
  <c r="I141" i="2"/>
  <c r="I104" i="2"/>
  <c r="O141" i="2"/>
  <c r="L141" i="2"/>
  <c r="F104" i="2"/>
  <c r="R104" i="2"/>
  <c r="U104" i="2"/>
  <c r="O104" i="2"/>
  <c r="N141" i="2"/>
  <c r="H104" i="2"/>
  <c r="Q141" i="2"/>
  <c r="E104" i="2"/>
  <c r="Q104" i="2"/>
  <c r="K104" i="2"/>
  <c r="H141" i="2"/>
  <c r="N104" i="2"/>
  <c r="K141" i="2"/>
  <c r="T104" i="2"/>
  <c r="R55" i="2"/>
  <c r="F55" i="2"/>
  <c r="R18" i="2"/>
  <c r="I55" i="2"/>
  <c r="U18" i="2"/>
  <c r="I18" i="2"/>
  <c r="F18" i="2"/>
  <c r="L55" i="2"/>
  <c r="L18" i="2"/>
  <c r="O55" i="2"/>
  <c r="O18" i="2"/>
  <c r="R67" i="2"/>
  <c r="F67" i="2"/>
  <c r="L30" i="2"/>
  <c r="I67" i="2"/>
  <c r="O30" i="2"/>
  <c r="L67" i="2"/>
  <c r="R30" i="2"/>
  <c r="F30" i="2"/>
  <c r="O67" i="2"/>
  <c r="U30" i="2"/>
  <c r="I30" i="2"/>
  <c r="N67" i="2"/>
  <c r="T30" i="2"/>
  <c r="H30" i="2"/>
  <c r="Q67" i="2"/>
  <c r="E67" i="2"/>
  <c r="K30" i="2"/>
  <c r="H67" i="2"/>
  <c r="N30" i="2"/>
  <c r="K67" i="2"/>
  <c r="Q30" i="2"/>
  <c r="E30" i="2"/>
  <c r="J135" i="1"/>
  <c r="I44" i="1"/>
  <c r="J23" i="1"/>
  <c r="I135" i="1"/>
  <c r="G191" i="1"/>
  <c r="F185" i="1"/>
  <c r="F22" i="1"/>
  <c r="F191" i="1"/>
  <c r="G183" i="1"/>
  <c r="U55" i="2" l="1"/>
  <c r="U129" i="2" s="1"/>
  <c r="Q129" i="2"/>
  <c r="K129" i="2"/>
  <c r="K148" i="2" s="1"/>
  <c r="E129" i="2"/>
  <c r="E148" i="2" s="1"/>
  <c r="E92" i="2"/>
  <c r="E111" i="2" s="1"/>
  <c r="K92" i="2"/>
  <c r="K111" i="2" s="1"/>
  <c r="Q92" i="2"/>
  <c r="Q111" i="2" s="1"/>
  <c r="T92" i="2"/>
  <c r="N129" i="2"/>
  <c r="N148" i="2" s="1"/>
  <c r="H129" i="2"/>
  <c r="H148" i="2" s="1"/>
  <c r="H92" i="2"/>
  <c r="H111" i="2" s="1"/>
  <c r="N92" i="2"/>
  <c r="U67" i="2"/>
  <c r="U141" i="2" s="1"/>
  <c r="T67" i="2"/>
  <c r="T141" i="2" s="1"/>
  <c r="N55" i="2"/>
  <c r="N74" i="2" s="1"/>
  <c r="N18" i="2"/>
  <c r="N37" i="2" s="1"/>
  <c r="Q55" i="2"/>
  <c r="Q74" i="2" s="1"/>
  <c r="E55" i="2"/>
  <c r="E74" i="2" s="1"/>
  <c r="Q18" i="2"/>
  <c r="Q37" i="2" s="1"/>
  <c r="H55" i="2"/>
  <c r="H74" i="2" s="1"/>
  <c r="T18" i="2"/>
  <c r="T37" i="2" s="1"/>
  <c r="H18" i="2"/>
  <c r="H37" i="2" s="1"/>
  <c r="E18" i="2"/>
  <c r="E37" i="2" s="1"/>
  <c r="K55" i="2"/>
  <c r="K74" i="2" s="1"/>
  <c r="K18" i="2"/>
  <c r="K37" i="2" s="1"/>
  <c r="L175" i="1"/>
  <c r="I23" i="1"/>
  <c r="F183" i="1"/>
  <c r="T55" i="2" l="1"/>
  <c r="T129" i="2" s="1"/>
  <c r="T148" i="2" s="1"/>
  <c r="N111" i="2"/>
  <c r="T111" i="2"/>
  <c r="Q148" i="2"/>
  <c r="E41" i="2"/>
  <c r="H41" i="2" s="1"/>
  <c r="F195" i="1"/>
  <c r="K41" i="2" l="1"/>
  <c r="H43" i="2"/>
  <c r="T74" i="2"/>
  <c r="E43" i="2"/>
  <c r="K43" i="2" l="1"/>
  <c r="N41" i="2"/>
  <c r="F1860" i="5"/>
  <c r="F1867" i="5" s="1"/>
  <c r="Q41" i="2" l="1"/>
  <c r="N43" i="2"/>
  <c r="F1868" i="5"/>
  <c r="F1869" i="5" s="1"/>
  <c r="Q43" i="2" l="1"/>
  <c r="T41" i="2"/>
  <c r="G66" i="1"/>
  <c r="E78" i="2" l="1"/>
  <c r="T43" i="2"/>
  <c r="J66" i="1"/>
  <c r="J43" i="1" s="1"/>
  <c r="E80" i="2" l="1"/>
  <c r="H78" i="2"/>
  <c r="L2" i="7"/>
  <c r="N2" i="7" s="1"/>
  <c r="G43" i="1"/>
  <c r="R132" i="2" s="1"/>
  <c r="F132" i="2" l="1"/>
  <c r="U95" i="2"/>
  <c r="I95" i="2"/>
  <c r="O58" i="2"/>
  <c r="U21" i="2"/>
  <c r="I21" i="2"/>
  <c r="R95" i="2"/>
  <c r="F21" i="2"/>
  <c r="O132" i="2"/>
  <c r="L95" i="2"/>
  <c r="R58" i="2"/>
  <c r="F58" i="2"/>
  <c r="L21" i="2"/>
  <c r="I132" i="2"/>
  <c r="L132" i="2"/>
  <c r="O95" i="2"/>
  <c r="U58" i="2"/>
  <c r="I58" i="2"/>
  <c r="O21" i="2"/>
  <c r="F95" i="2"/>
  <c r="L58" i="2"/>
  <c r="L74" i="2" s="1"/>
  <c r="R21" i="2"/>
  <c r="H80" i="2"/>
  <c r="K78" i="2"/>
  <c r="G185" i="1"/>
  <c r="L176" i="1"/>
  <c r="J44" i="1"/>
  <c r="U132" i="2" l="1"/>
  <c r="U148" i="2" s="1"/>
  <c r="L148" i="2"/>
  <c r="O148" i="2"/>
  <c r="L111" i="2"/>
  <c r="F111" i="2"/>
  <c r="O111" i="2"/>
  <c r="I111" i="2"/>
  <c r="R111" i="2"/>
  <c r="F148" i="2"/>
  <c r="U111" i="2"/>
  <c r="I148" i="2"/>
  <c r="R148" i="2"/>
  <c r="R37" i="2"/>
  <c r="O37" i="2"/>
  <c r="F37" i="2"/>
  <c r="O74" i="2"/>
  <c r="K80" i="2"/>
  <c r="N78" i="2"/>
  <c r="U37" i="2"/>
  <c r="I37" i="2"/>
  <c r="F74" i="2"/>
  <c r="L37" i="2"/>
  <c r="I74" i="2"/>
  <c r="R74" i="2"/>
  <c r="G195" i="1"/>
  <c r="Q78" i="2" l="1"/>
  <c r="N80" i="2"/>
  <c r="U74" i="2"/>
  <c r="F41" i="2"/>
  <c r="F43" i="2" s="1"/>
  <c r="I41" i="2" l="1"/>
  <c r="I43" i="2" s="1"/>
  <c r="Q80" i="2"/>
  <c r="T78" i="2"/>
  <c r="E3456" i="5"/>
  <c r="F3456" i="5" s="1"/>
  <c r="E143" i="5"/>
  <c r="E1103" i="5"/>
  <c r="E4463" i="5"/>
  <c r="F4463" i="5" s="1"/>
  <c r="E4464" i="5"/>
  <c r="E2015" i="5" l="1"/>
  <c r="F2015" i="5" s="1"/>
  <c r="E2064" i="5"/>
  <c r="E2018" i="5"/>
  <c r="E2068" i="5"/>
  <c r="E2017" i="5"/>
  <c r="E2066" i="5"/>
  <c r="E2067" i="5"/>
  <c r="E2069" i="5"/>
  <c r="E2016" i="5"/>
  <c r="F2016" i="5" s="1"/>
  <c r="E2065" i="5"/>
  <c r="T80" i="2"/>
  <c r="E115" i="2"/>
  <c r="L41" i="2"/>
  <c r="L43" i="2" s="1"/>
  <c r="E336" i="5"/>
  <c r="E4319" i="5"/>
  <c r="F4319" i="5" s="1"/>
  <c r="E2784" i="5"/>
  <c r="F2784" i="5" s="1"/>
  <c r="E95" i="5"/>
  <c r="F95" i="5" s="1"/>
  <c r="E4799" i="5"/>
  <c r="F4799" i="5" s="1"/>
  <c r="E3312" i="5"/>
  <c r="F3312" i="5" s="1"/>
  <c r="E3215" i="5"/>
  <c r="F3215" i="5" s="1"/>
  <c r="E4751" i="5"/>
  <c r="F4751" i="5" s="1"/>
  <c r="E5039" i="5"/>
  <c r="F5039" i="5" s="1"/>
  <c r="E5424" i="5"/>
  <c r="F5424" i="5" s="1"/>
  <c r="E2399" i="5"/>
  <c r="F2399" i="5" s="1"/>
  <c r="E4032" i="5"/>
  <c r="F4032" i="5" s="1"/>
  <c r="E287" i="5"/>
  <c r="F287" i="5" s="1"/>
  <c r="E1055" i="5"/>
  <c r="F1055" i="5" s="1"/>
  <c r="E3551" i="5"/>
  <c r="F3551" i="5" s="1"/>
  <c r="E1298" i="5"/>
  <c r="F1298" i="5" s="1"/>
  <c r="E2687" i="5"/>
  <c r="F2687" i="5" s="1"/>
  <c r="E4991" i="5"/>
  <c r="F4991" i="5" s="1"/>
  <c r="E2831" i="5"/>
  <c r="F2831" i="5" s="1"/>
  <c r="E5328" i="5"/>
  <c r="F5328" i="5" s="1"/>
  <c r="E1295" i="5"/>
  <c r="F1295" i="5" s="1"/>
  <c r="E1583" i="5"/>
  <c r="F1583" i="5" s="1"/>
  <c r="E5472" i="5"/>
  <c r="F5472" i="5" s="1"/>
  <c r="E3647" i="5"/>
  <c r="F3647" i="5" s="1"/>
  <c r="E2975" i="5"/>
  <c r="F2975" i="5" s="1"/>
  <c r="E4128" i="5"/>
  <c r="F4128" i="5" s="1"/>
  <c r="E5376" i="5"/>
  <c r="F5376" i="5" s="1"/>
  <c r="E4752" i="5"/>
  <c r="E2832" i="5"/>
  <c r="E5904" i="5"/>
  <c r="E288" i="5"/>
  <c r="E1248" i="5"/>
  <c r="E1008" i="5"/>
  <c r="E1440" i="5"/>
  <c r="E2928" i="5"/>
  <c r="E5856" i="5"/>
  <c r="E432" i="5"/>
  <c r="E1584" i="5"/>
  <c r="E1104" i="5"/>
  <c r="E4320" i="5"/>
  <c r="E4224" i="5"/>
  <c r="E4992" i="5"/>
  <c r="E4560" i="5"/>
  <c r="E1488" i="5"/>
  <c r="E1056" i="5"/>
  <c r="E912" i="5"/>
  <c r="E1344" i="5"/>
  <c r="E4512" i="5"/>
  <c r="E3072" i="5"/>
  <c r="E3218" i="5"/>
  <c r="E3552" i="5"/>
  <c r="E5952" i="5"/>
  <c r="E3504" i="5"/>
  <c r="E2303" i="5"/>
  <c r="E5759" i="5"/>
  <c r="E4704" i="5"/>
  <c r="E3599" i="5"/>
  <c r="E2591" i="5"/>
  <c r="E3119" i="5"/>
  <c r="E2255" i="5"/>
  <c r="E1919" i="5"/>
  <c r="E1535" i="5"/>
  <c r="E3311" i="5"/>
  <c r="E3407" i="5"/>
  <c r="E5615" i="5"/>
  <c r="E479" i="5"/>
  <c r="E2159" i="5"/>
  <c r="E2879" i="5"/>
  <c r="E1679" i="5"/>
  <c r="E527" i="5"/>
  <c r="E2639" i="5"/>
  <c r="E623" i="5"/>
  <c r="E5567" i="5"/>
  <c r="E335" i="5"/>
  <c r="E2447" i="5"/>
  <c r="E383" i="5"/>
  <c r="E3167" i="5"/>
  <c r="E1151" i="5"/>
  <c r="E4607" i="5"/>
  <c r="E1967" i="5"/>
  <c r="E1775" i="5"/>
  <c r="E2543" i="5"/>
  <c r="E1871" i="5"/>
  <c r="E4175" i="5"/>
  <c r="E2495" i="5"/>
  <c r="E575" i="5"/>
  <c r="E2207" i="5"/>
  <c r="E671" i="5"/>
  <c r="E1391" i="5"/>
  <c r="E1199" i="5"/>
  <c r="E1823" i="5"/>
  <c r="E2111" i="5"/>
  <c r="E1727" i="5"/>
  <c r="E4655" i="5"/>
  <c r="E2351" i="5"/>
  <c r="E47" i="5"/>
  <c r="E959" i="5"/>
  <c r="E2783" i="5"/>
  <c r="E4031" i="5"/>
  <c r="E3839" i="5"/>
  <c r="E4079" i="5"/>
  <c r="E3887" i="5"/>
  <c r="E3695" i="5"/>
  <c r="E5327" i="5"/>
  <c r="E5279" i="5"/>
  <c r="E863" i="5"/>
  <c r="E3935" i="5"/>
  <c r="E5375" i="5"/>
  <c r="E1631" i="5"/>
  <c r="E3743" i="5"/>
  <c r="E3791" i="5"/>
  <c r="E3983" i="5"/>
  <c r="E5423" i="5"/>
  <c r="E4127" i="5"/>
  <c r="E4943" i="5"/>
  <c r="E4895" i="5"/>
  <c r="E3023" i="5"/>
  <c r="E4847" i="5"/>
  <c r="E4848" i="5"/>
  <c r="E4944" i="5"/>
  <c r="E1296" i="5"/>
  <c r="E5136" i="5"/>
  <c r="E4800" i="5"/>
  <c r="E4896" i="5"/>
  <c r="E4608" i="5"/>
  <c r="E4559" i="5"/>
  <c r="E4511" i="5"/>
  <c r="E5183" i="5"/>
  <c r="E4703" i="5"/>
  <c r="E5135" i="5"/>
  <c r="E1343" i="5"/>
  <c r="E2735" i="5"/>
  <c r="E1007" i="5"/>
  <c r="E2448" i="5"/>
  <c r="E4176" i="5"/>
  <c r="E1728" i="5"/>
  <c r="E2976" i="5"/>
  <c r="E1824" i="5"/>
  <c r="E3168" i="5"/>
  <c r="E1152" i="5"/>
  <c r="E1680" i="5"/>
  <c r="E2544" i="5"/>
  <c r="E1968" i="5"/>
  <c r="E2496" i="5"/>
  <c r="E1776" i="5"/>
  <c r="E2880" i="5"/>
  <c r="E1872" i="5"/>
  <c r="E1920" i="5"/>
  <c r="E1632" i="5"/>
  <c r="E1392" i="5"/>
  <c r="E2640" i="5"/>
  <c r="E3217" i="5"/>
  <c r="E1536" i="5"/>
  <c r="E2352" i="5"/>
  <c r="E2592" i="5"/>
  <c r="E480" i="5"/>
  <c r="E4223" i="5"/>
  <c r="E1439" i="5"/>
  <c r="E5855" i="5"/>
  <c r="E3071" i="5"/>
  <c r="E1247" i="5"/>
  <c r="E5903" i="5"/>
  <c r="E5951" i="5"/>
  <c r="E2927" i="5"/>
  <c r="E431" i="5"/>
  <c r="E5471" i="5"/>
  <c r="F1103" i="5"/>
  <c r="E3455" i="5"/>
  <c r="E5087" i="5"/>
  <c r="E1441" i="5"/>
  <c r="E1297" i="5"/>
  <c r="E1487" i="5"/>
  <c r="E3360" i="5"/>
  <c r="E3263" i="5"/>
  <c r="E5807" i="5"/>
  <c r="E2688" i="5"/>
  <c r="E2545" i="5"/>
  <c r="E3216" i="5"/>
  <c r="E2497" i="5"/>
  <c r="E3264" i="5"/>
  <c r="E5808" i="5"/>
  <c r="E96" i="5"/>
  <c r="E3359" i="5"/>
  <c r="E911" i="5"/>
  <c r="E3600" i="5"/>
  <c r="E3503" i="5"/>
  <c r="E5231" i="5"/>
  <c r="F143" i="5"/>
  <c r="E3120" i="5"/>
  <c r="E2736" i="5"/>
  <c r="E4080" i="5"/>
  <c r="E3840" i="5"/>
  <c r="E3936" i="5"/>
  <c r="E3696" i="5"/>
  <c r="E48" i="5"/>
  <c r="E3648" i="5"/>
  <c r="E3984" i="5"/>
  <c r="E3792" i="5"/>
  <c r="E5280" i="5"/>
  <c r="E3024" i="5"/>
  <c r="E3408" i="5"/>
  <c r="E1633" i="5"/>
  <c r="E3744" i="5"/>
  <c r="E3888" i="5"/>
  <c r="F2068" i="5" l="1"/>
  <c r="F2064" i="5"/>
  <c r="F2067" i="5"/>
  <c r="F2017" i="5"/>
  <c r="F2065" i="5"/>
  <c r="F2066" i="5"/>
  <c r="F2018" i="5"/>
  <c r="F2069" i="5"/>
  <c r="E117" i="2"/>
  <c r="H115" i="2"/>
  <c r="O41" i="2"/>
  <c r="O43" i="2" s="1"/>
  <c r="F336" i="5"/>
  <c r="F3888" i="5"/>
  <c r="F3216" i="5"/>
  <c r="F3360" i="5"/>
  <c r="F1297" i="5"/>
  <c r="F2927" i="5"/>
  <c r="F1439" i="5"/>
  <c r="F2352" i="5"/>
  <c r="F1872" i="5"/>
  <c r="F4176" i="5"/>
  <c r="F1343" i="5"/>
  <c r="F4896" i="5"/>
  <c r="F3023" i="5"/>
  <c r="F1631" i="5"/>
  <c r="F4079" i="5"/>
  <c r="F4655" i="5"/>
  <c r="F671" i="5"/>
  <c r="F1967" i="5"/>
  <c r="F527" i="5"/>
  <c r="F479" i="5"/>
  <c r="F2255" i="5"/>
  <c r="F2832" i="5"/>
  <c r="F2838" i="5" s="1"/>
  <c r="F1633" i="5"/>
  <c r="F3024" i="5"/>
  <c r="F3744" i="5"/>
  <c r="F3696" i="5"/>
  <c r="F2736" i="5"/>
  <c r="F1441" i="5"/>
  <c r="F3455" i="5"/>
  <c r="F5951" i="5"/>
  <c r="F1536" i="5"/>
  <c r="F2976" i="5"/>
  <c r="F5183" i="5"/>
  <c r="F4800" i="5"/>
  <c r="F4848" i="5"/>
  <c r="F4895" i="5"/>
  <c r="F5375" i="5"/>
  <c r="F1727" i="5"/>
  <c r="F2207" i="5"/>
  <c r="F4607" i="5"/>
  <c r="F3599" i="5"/>
  <c r="F3504" i="5"/>
  <c r="F912" i="5"/>
  <c r="F4224" i="5"/>
  <c r="F1440" i="5"/>
  <c r="F4464" i="5"/>
  <c r="F3120" i="5"/>
  <c r="F911" i="5"/>
  <c r="F5903" i="5"/>
  <c r="F4223" i="5"/>
  <c r="F2544" i="5"/>
  <c r="F4511" i="5"/>
  <c r="F4943" i="5"/>
  <c r="F3935" i="5"/>
  <c r="F3839" i="5"/>
  <c r="F2111" i="5"/>
  <c r="F575" i="5"/>
  <c r="F1151" i="5"/>
  <c r="F1679" i="5"/>
  <c r="F5615" i="5"/>
  <c r="F5952" i="5"/>
  <c r="F1056" i="5"/>
  <c r="F4320" i="5"/>
  <c r="F1008" i="5"/>
  <c r="F3936" i="5"/>
  <c r="F3359" i="5"/>
  <c r="F5046" i="5"/>
  <c r="F3217" i="5"/>
  <c r="F2880" i="5"/>
  <c r="F2448" i="5"/>
  <c r="F5135" i="5"/>
  <c r="F4559" i="5"/>
  <c r="F5136" i="5"/>
  <c r="F4127" i="5"/>
  <c r="F863" i="5"/>
  <c r="F4031" i="5"/>
  <c r="F47" i="5"/>
  <c r="F1823" i="5"/>
  <c r="F2495" i="5"/>
  <c r="F3167" i="5"/>
  <c r="F335" i="5"/>
  <c r="F2879" i="5"/>
  <c r="F3407" i="5"/>
  <c r="F3552" i="5"/>
  <c r="F1488" i="5"/>
  <c r="F1104" i="5"/>
  <c r="F3648" i="5"/>
  <c r="F5280" i="5"/>
  <c r="F3840" i="5"/>
  <c r="F96" i="5"/>
  <c r="F2545" i="5"/>
  <c r="F2688" i="5"/>
  <c r="F1247" i="5"/>
  <c r="F480" i="5"/>
  <c r="F2640" i="5"/>
  <c r="F1776" i="5"/>
  <c r="F1968" i="5"/>
  <c r="F1680" i="5"/>
  <c r="F1296" i="5"/>
  <c r="F5423" i="5"/>
  <c r="F5279" i="5"/>
  <c r="F2783" i="5"/>
  <c r="F4175" i="5"/>
  <c r="F383" i="5"/>
  <c r="F5567" i="5"/>
  <c r="F2159" i="5"/>
  <c r="F3311" i="5"/>
  <c r="F3119" i="5"/>
  <c r="F4704" i="5"/>
  <c r="F3218" i="5"/>
  <c r="F4560" i="5"/>
  <c r="F1584" i="5"/>
  <c r="F150" i="5"/>
  <c r="F3503" i="5"/>
  <c r="F5808" i="5"/>
  <c r="F3071" i="5"/>
  <c r="F2592" i="5"/>
  <c r="F1392" i="5"/>
  <c r="F2496" i="5"/>
  <c r="F4608" i="5"/>
  <c r="F3983" i="5"/>
  <c r="F5327" i="5"/>
  <c r="F959" i="5"/>
  <c r="F1199" i="5"/>
  <c r="F1871" i="5"/>
  <c r="F2447" i="5"/>
  <c r="F623" i="5"/>
  <c r="F2591" i="5"/>
  <c r="F5759" i="5"/>
  <c r="F3072" i="5"/>
  <c r="F432" i="5"/>
  <c r="F1248" i="5"/>
  <c r="F4752" i="5"/>
  <c r="F4758" i="5" s="1"/>
  <c r="F3792" i="5"/>
  <c r="F4080" i="5"/>
  <c r="F3600" i="5"/>
  <c r="F3264" i="5"/>
  <c r="F5807" i="5"/>
  <c r="F5087" i="5"/>
  <c r="F5471" i="5"/>
  <c r="F5855" i="5"/>
  <c r="F1632" i="5"/>
  <c r="F3168" i="5"/>
  <c r="F1007" i="5"/>
  <c r="F4944" i="5"/>
  <c r="F3791" i="5"/>
  <c r="F3695" i="5"/>
  <c r="F2351" i="5"/>
  <c r="F2543" i="5"/>
  <c r="F2639" i="5"/>
  <c r="F1535" i="5"/>
  <c r="F2303" i="5"/>
  <c r="F4512" i="5"/>
  <c r="F5856" i="5"/>
  <c r="F288" i="5"/>
  <c r="F2406" i="5"/>
  <c r="F3408" i="5"/>
  <c r="F3984" i="5"/>
  <c r="F48" i="5"/>
  <c r="F5231" i="5"/>
  <c r="F2497" i="5"/>
  <c r="F3263" i="5"/>
  <c r="F1487" i="5"/>
  <c r="F431" i="5"/>
  <c r="F1920" i="5"/>
  <c r="F1152" i="5"/>
  <c r="F1824" i="5"/>
  <c r="F1728" i="5"/>
  <c r="F2735" i="5"/>
  <c r="F4703" i="5"/>
  <c r="F4847" i="5"/>
  <c r="F3743" i="5"/>
  <c r="F3887" i="5"/>
  <c r="F1391" i="5"/>
  <c r="F1775" i="5"/>
  <c r="F1919" i="5"/>
  <c r="F1344" i="5"/>
  <c r="F4992" i="5"/>
  <c r="F2928" i="5"/>
  <c r="F5904" i="5"/>
  <c r="F2022" i="5" l="1"/>
  <c r="F2023" i="5" s="1"/>
  <c r="F2070" i="5"/>
  <c r="F1302" i="5"/>
  <c r="F1303" i="5" s="1"/>
  <c r="F4806" i="5"/>
  <c r="F4807" i="5" s="1"/>
  <c r="F4808" i="5" s="1"/>
  <c r="F4809" i="5" s="1"/>
  <c r="H117" i="2"/>
  <c r="K115" i="2"/>
  <c r="R41" i="2"/>
  <c r="R43" i="2" s="1"/>
  <c r="F2982" i="5"/>
  <c r="F2983" i="5" s="1"/>
  <c r="F2984" i="5" s="1"/>
  <c r="F102" i="5"/>
  <c r="F103" i="5" s="1"/>
  <c r="F4998" i="5"/>
  <c r="F1590" i="5"/>
  <c r="F4759" i="5"/>
  <c r="F4760" i="5" s="1"/>
  <c r="F4761" i="5" s="1"/>
  <c r="F1398" i="5"/>
  <c r="F1350" i="5"/>
  <c r="F2550" i="5"/>
  <c r="F2839" i="5"/>
  <c r="F2840" i="5" s="1"/>
  <c r="F2841" i="5" s="1"/>
  <c r="F2454" i="5"/>
  <c r="F3126" i="5"/>
  <c r="F3174" i="5"/>
  <c r="F3366" i="5"/>
  <c r="F4950" i="5"/>
  <c r="F2214" i="5"/>
  <c r="F2262" i="5"/>
  <c r="F1974" i="5"/>
  <c r="F1638" i="5"/>
  <c r="F1062" i="5"/>
  <c r="F2742" i="5"/>
  <c r="F1494" i="5"/>
  <c r="F1254" i="5"/>
  <c r="F582" i="5"/>
  <c r="F3750" i="5"/>
  <c r="F3270" i="5"/>
  <c r="F2310" i="5"/>
  <c r="F2646" i="5"/>
  <c r="F2358" i="5"/>
  <c r="F1014" i="5"/>
  <c r="F5862" i="5"/>
  <c r="F1878" i="5"/>
  <c r="F966" i="5"/>
  <c r="F3318" i="5"/>
  <c r="F4182" i="5"/>
  <c r="F5430" i="5"/>
  <c r="F1110" i="5"/>
  <c r="F2694" i="5"/>
  <c r="F3414" i="5"/>
  <c r="F2502" i="5"/>
  <c r="F1686" i="5"/>
  <c r="F2118" i="5"/>
  <c r="F4518" i="5"/>
  <c r="F4230" i="5"/>
  <c r="F4470" i="5"/>
  <c r="F1734" i="5"/>
  <c r="F5958" i="5"/>
  <c r="F486" i="5"/>
  <c r="F678" i="5"/>
  <c r="F3030" i="5"/>
  <c r="F1446" i="5"/>
  <c r="F2407" i="5"/>
  <c r="F5094" i="5"/>
  <c r="F3894" i="5"/>
  <c r="F2598" i="5"/>
  <c r="F4134" i="5"/>
  <c r="F3222" i="5"/>
  <c r="F5814" i="5"/>
  <c r="F390" i="5"/>
  <c r="F1926" i="5"/>
  <c r="F3702" i="5"/>
  <c r="F5478" i="5"/>
  <c r="F1206" i="5"/>
  <c r="F5334" i="5"/>
  <c r="F3510" i="5"/>
  <c r="F2166" i="5"/>
  <c r="F2886" i="5"/>
  <c r="F1830" i="5"/>
  <c r="F4038" i="5"/>
  <c r="F4566" i="5"/>
  <c r="F5047" i="5"/>
  <c r="F3846" i="5"/>
  <c r="F5910" i="5"/>
  <c r="F3558" i="5"/>
  <c r="F3606" i="5"/>
  <c r="F294" i="5"/>
  <c r="F3462" i="5"/>
  <c r="F534" i="5"/>
  <c r="F4662" i="5"/>
  <c r="F2934" i="5"/>
  <c r="F5238" i="5"/>
  <c r="F5286" i="5"/>
  <c r="F1591" i="5"/>
  <c r="F1592" i="5" s="1"/>
  <c r="F5622" i="5"/>
  <c r="F4902" i="5"/>
  <c r="F1782" i="5"/>
  <c r="F4854" i="5"/>
  <c r="F3654" i="5"/>
  <c r="F4710" i="5"/>
  <c r="F1542" i="5"/>
  <c r="F5766" i="5"/>
  <c r="F630" i="5"/>
  <c r="F4999" i="5"/>
  <c r="F3990" i="5"/>
  <c r="F3078" i="5"/>
  <c r="F2790" i="5"/>
  <c r="F54" i="5"/>
  <c r="F918" i="5"/>
  <c r="F4614" i="5"/>
  <c r="F5382" i="5"/>
  <c r="F5190" i="5"/>
  <c r="F4086" i="5"/>
  <c r="F438" i="5"/>
  <c r="F3798" i="5"/>
  <c r="F5574" i="5"/>
  <c r="F342" i="5"/>
  <c r="F870" i="5"/>
  <c r="F5142" i="5"/>
  <c r="F1158" i="5"/>
  <c r="F3942" i="5"/>
  <c r="F151" i="5"/>
  <c r="F152" i="5" s="1"/>
  <c r="F4326" i="5"/>
  <c r="F2024" i="5" l="1"/>
  <c r="F2025" i="5" s="1"/>
  <c r="F2071" i="5"/>
  <c r="F2072" i="5" s="1"/>
  <c r="F2073" i="5" s="1"/>
  <c r="H70" i="1" s="1"/>
  <c r="K70" i="1" s="1"/>
  <c r="K117" i="2"/>
  <c r="N115" i="2"/>
  <c r="U41" i="2"/>
  <c r="U43" i="2" s="1"/>
  <c r="F153" i="5"/>
  <c r="F107" i="5" s="1"/>
  <c r="F2985" i="5"/>
  <c r="H94" i="1" s="1"/>
  <c r="F2795" i="5"/>
  <c r="H90" i="1"/>
  <c r="H145" i="1"/>
  <c r="F4763" i="5"/>
  <c r="H144" i="1"/>
  <c r="F4715" i="5"/>
  <c r="F919" i="5"/>
  <c r="F3703" i="5"/>
  <c r="F3704" i="5" s="1"/>
  <c r="F5815" i="5"/>
  <c r="F5816" i="5" s="1"/>
  <c r="F5817" i="5" s="1"/>
  <c r="F5959" i="5"/>
  <c r="F5960" i="5" s="1"/>
  <c r="F1063" i="5"/>
  <c r="F1064" i="5" s="1"/>
  <c r="F1065" i="5" s="1"/>
  <c r="F4615" i="5"/>
  <c r="F4616" i="5" s="1"/>
  <c r="F1543" i="5"/>
  <c r="F1544" i="5" s="1"/>
  <c r="F1545" i="5" s="1"/>
  <c r="F104" i="5"/>
  <c r="F3991" i="5"/>
  <c r="F3992" i="5" s="1"/>
  <c r="F631" i="5"/>
  <c r="F632" i="5" s="1"/>
  <c r="F633" i="5" s="1"/>
  <c r="F3655" i="5"/>
  <c r="F3656" i="5" s="1"/>
  <c r="F3657" i="5" s="1"/>
  <c r="F1783" i="5"/>
  <c r="F4903" i="5"/>
  <c r="F4904" i="5" s="1"/>
  <c r="F1593" i="5"/>
  <c r="F2935" i="5"/>
  <c r="F2936" i="5" s="1"/>
  <c r="F535" i="5"/>
  <c r="F5048" i="5"/>
  <c r="F4231" i="5"/>
  <c r="F4232" i="5" s="1"/>
  <c r="F4233" i="5" s="1"/>
  <c r="F2119" i="5"/>
  <c r="F2120" i="5" s="1"/>
  <c r="F2121" i="5" s="1"/>
  <c r="F2075" i="5" s="1"/>
  <c r="F5287" i="5"/>
  <c r="F5288" i="5" s="1"/>
  <c r="F5575" i="5"/>
  <c r="F2791" i="5"/>
  <c r="F2792" i="5" s="1"/>
  <c r="F4855" i="5"/>
  <c r="F3607" i="5"/>
  <c r="F3608" i="5" s="1"/>
  <c r="F3609" i="5" s="1"/>
  <c r="F4567" i="5"/>
  <c r="F4568" i="5" s="1"/>
  <c r="F4569" i="5" s="1"/>
  <c r="F1831" i="5"/>
  <c r="F1832" i="5" s="1"/>
  <c r="F3415" i="5"/>
  <c r="F3416" i="5" s="1"/>
  <c r="F3417" i="5" s="1"/>
  <c r="F1111" i="5"/>
  <c r="F1112" i="5" s="1"/>
  <c r="F1015" i="5"/>
  <c r="F1016" i="5" s="1"/>
  <c r="F1017" i="5" s="1"/>
  <c r="F2647" i="5"/>
  <c r="F2648" i="5" s="1"/>
  <c r="F3271" i="5"/>
  <c r="F3272" i="5" s="1"/>
  <c r="F583" i="5"/>
  <c r="F2743" i="5"/>
  <c r="F2744" i="5" s="1"/>
  <c r="F2745" i="5" s="1"/>
  <c r="F1351" i="5"/>
  <c r="F1352" i="5" s="1"/>
  <c r="F3943" i="5"/>
  <c r="F3944" i="5" s="1"/>
  <c r="F3945" i="5" s="1"/>
  <c r="F439" i="5"/>
  <c r="F440" i="5" s="1"/>
  <c r="F441" i="5" s="1"/>
  <c r="F4087" i="5"/>
  <c r="F5383" i="5"/>
  <c r="F5384" i="5" s="1"/>
  <c r="F3847" i="5"/>
  <c r="F1207" i="5"/>
  <c r="F1208" i="5" s="1"/>
  <c r="F1209" i="5" s="1"/>
  <c r="F5479" i="5"/>
  <c r="F5480" i="5" s="1"/>
  <c r="F5481" i="5" s="1"/>
  <c r="F4135" i="5"/>
  <c r="F4136" i="5" s="1"/>
  <c r="F4137" i="5" s="1"/>
  <c r="F3895" i="5"/>
  <c r="F3896" i="5" s="1"/>
  <c r="F3897" i="5" s="1"/>
  <c r="F3031" i="5"/>
  <c r="F3032" i="5" s="1"/>
  <c r="F487" i="5"/>
  <c r="F5431" i="5"/>
  <c r="F5432" i="5" s="1"/>
  <c r="F5433" i="5" s="1"/>
  <c r="F967" i="5"/>
  <c r="F968" i="5" s="1"/>
  <c r="F969" i="5" s="1"/>
  <c r="F4951" i="5"/>
  <c r="F4952" i="5" s="1"/>
  <c r="F391" i="5"/>
  <c r="F392" i="5" s="1"/>
  <c r="F3319" i="5"/>
  <c r="F3320" i="5" s="1"/>
  <c r="F3321" i="5" s="1"/>
  <c r="F1975" i="5"/>
  <c r="F4711" i="5"/>
  <c r="F871" i="5"/>
  <c r="F872" i="5" s="1"/>
  <c r="F3079" i="5"/>
  <c r="F3080" i="5" s="1"/>
  <c r="F3081" i="5" s="1"/>
  <c r="F5767" i="5"/>
  <c r="F5768" i="5" s="1"/>
  <c r="F5769" i="5" s="1"/>
  <c r="F5623" i="5"/>
  <c r="F5624" i="5" s="1"/>
  <c r="F5239" i="5"/>
  <c r="F5240" i="5" s="1"/>
  <c r="F5241" i="5" s="1"/>
  <c r="F4663" i="5"/>
  <c r="F4664" i="5" s="1"/>
  <c r="F4665" i="5" s="1"/>
  <c r="F3463" i="5"/>
  <c r="F3464" i="5" s="1"/>
  <c r="F295" i="5"/>
  <c r="F3511" i="5"/>
  <c r="F2408" i="5"/>
  <c r="F1735" i="5"/>
  <c r="F4519" i="5"/>
  <c r="F1687" i="5"/>
  <c r="F1688" i="5" s="1"/>
  <c r="F1689" i="5" s="1"/>
  <c r="F3127" i="5"/>
  <c r="F3128" i="5" s="1"/>
  <c r="F4327" i="5"/>
  <c r="F5000" i="5"/>
  <c r="F3559" i="5"/>
  <c r="F4039" i="5"/>
  <c r="F2887" i="5"/>
  <c r="F2888" i="5" s="1"/>
  <c r="F2889" i="5" s="1"/>
  <c r="F2503" i="5"/>
  <c r="F2504" i="5" s="1"/>
  <c r="F2505" i="5" s="1"/>
  <c r="F5863" i="5"/>
  <c r="F5864" i="5" s="1"/>
  <c r="F5865" i="5" s="1"/>
  <c r="F2359" i="5"/>
  <c r="F2360" i="5" s="1"/>
  <c r="F2361" i="5" s="1"/>
  <c r="F2311" i="5"/>
  <c r="F2312" i="5" s="1"/>
  <c r="F1495" i="5"/>
  <c r="F1496" i="5" s="1"/>
  <c r="F1497" i="5" s="1"/>
  <c r="F2551" i="5"/>
  <c r="F2552" i="5" s="1"/>
  <c r="F2553" i="5" s="1"/>
  <c r="F1159" i="5"/>
  <c r="F5143" i="5"/>
  <c r="F343" i="5"/>
  <c r="F344" i="5" s="1"/>
  <c r="F345" i="5" s="1"/>
  <c r="F3799" i="5"/>
  <c r="F3800" i="5" s="1"/>
  <c r="F3801" i="5" s="1"/>
  <c r="F5191" i="5"/>
  <c r="F55" i="5"/>
  <c r="F56" i="5" s="1"/>
  <c r="F57" i="5" s="1"/>
  <c r="F1304" i="5"/>
  <c r="F5911" i="5"/>
  <c r="F5912" i="5" s="1"/>
  <c r="F2167" i="5"/>
  <c r="F2168" i="5" s="1"/>
  <c r="F2169" i="5" s="1"/>
  <c r="F5335" i="5"/>
  <c r="F1927" i="5"/>
  <c r="F1928" i="5" s="1"/>
  <c r="F3223" i="5"/>
  <c r="F3224" i="5" s="1"/>
  <c r="F3225" i="5" s="1"/>
  <c r="F2599" i="5"/>
  <c r="F2600" i="5" s="1"/>
  <c r="F2601" i="5" s="1"/>
  <c r="F5095" i="5"/>
  <c r="F5096" i="5" s="1"/>
  <c r="F1447" i="5"/>
  <c r="F1448" i="5" s="1"/>
  <c r="F679" i="5"/>
  <c r="F680" i="5" s="1"/>
  <c r="F681" i="5" s="1"/>
  <c r="F4471" i="5"/>
  <c r="F4472" i="5" s="1"/>
  <c r="F4473" i="5" s="1"/>
  <c r="F2695" i="5"/>
  <c r="F2696" i="5" s="1"/>
  <c r="F4183" i="5"/>
  <c r="F4184" i="5" s="1"/>
  <c r="F4185" i="5" s="1"/>
  <c r="F1879" i="5"/>
  <c r="F1880" i="5" s="1"/>
  <c r="F1881" i="5" s="1"/>
  <c r="F3751" i="5"/>
  <c r="F3752" i="5" s="1"/>
  <c r="F3753" i="5" s="1"/>
  <c r="F1255" i="5"/>
  <c r="F1256" i="5" s="1"/>
  <c r="F1257" i="5" s="1"/>
  <c r="F1639" i="5"/>
  <c r="F2263" i="5"/>
  <c r="F2264" i="5" s="1"/>
  <c r="F2265" i="5" s="1"/>
  <c r="F2215" i="5"/>
  <c r="F3367" i="5"/>
  <c r="F3368" i="5" s="1"/>
  <c r="F3175" i="5"/>
  <c r="F3176" i="5" s="1"/>
  <c r="F2455" i="5"/>
  <c r="F2456" i="5" s="1"/>
  <c r="F1399" i="5"/>
  <c r="F1400" i="5" s="1"/>
  <c r="F1401" i="5" s="1"/>
  <c r="F1979" i="5" l="1"/>
  <c r="H69" i="1"/>
  <c r="K69" i="1" s="1"/>
  <c r="L70" i="1"/>
  <c r="E70" i="1"/>
  <c r="F2027" i="5"/>
  <c r="F105" i="5"/>
  <c r="F5049" i="5"/>
  <c r="H18" i="1"/>
  <c r="L18" i="1" s="1"/>
  <c r="Q115" i="2"/>
  <c r="N117" i="2"/>
  <c r="F78" i="2"/>
  <c r="F80" i="2" s="1"/>
  <c r="F2939" i="5"/>
  <c r="F3129" i="5"/>
  <c r="F5192" i="5"/>
  <c r="F5193" i="5" s="1"/>
  <c r="F5144" i="5"/>
  <c r="F5145" i="5" s="1"/>
  <c r="F1976" i="5"/>
  <c r="F1977" i="5" s="1"/>
  <c r="F4953" i="5"/>
  <c r="H148" i="1" s="1"/>
  <c r="F1784" i="5"/>
  <c r="F1785" i="5" s="1"/>
  <c r="F4328" i="5"/>
  <c r="F4329" i="5" s="1"/>
  <c r="F3848" i="5"/>
  <c r="F3849" i="5" s="1"/>
  <c r="F1929" i="5"/>
  <c r="H67" i="1" s="1"/>
  <c r="F2793" i="5"/>
  <c r="H88" i="1" s="1"/>
  <c r="F5001" i="5"/>
  <c r="F3705" i="5"/>
  <c r="F3512" i="5"/>
  <c r="F3513" i="5" s="1"/>
  <c r="F873" i="5"/>
  <c r="H39" i="1" s="1"/>
  <c r="F5289" i="5"/>
  <c r="F3993" i="5"/>
  <c r="F3947" i="5" s="1"/>
  <c r="F2697" i="5"/>
  <c r="F2651" i="5" s="1"/>
  <c r="F2216" i="5"/>
  <c r="F2217" i="5" s="1"/>
  <c r="F4040" i="5"/>
  <c r="F4041" i="5" s="1"/>
  <c r="F5625" i="5"/>
  <c r="F3033" i="5"/>
  <c r="F2987" i="5" s="1"/>
  <c r="F4088" i="5"/>
  <c r="F4089" i="5" s="1"/>
  <c r="H52" i="1"/>
  <c r="F1211" i="5"/>
  <c r="H83" i="1"/>
  <c r="F2555" i="5"/>
  <c r="F2843" i="5"/>
  <c r="H92" i="1"/>
  <c r="F4523" i="5"/>
  <c r="H140" i="1"/>
  <c r="F971" i="5"/>
  <c r="H46" i="1"/>
  <c r="F1019" i="5"/>
  <c r="H47" i="1"/>
  <c r="H110" i="1"/>
  <c r="F3563" i="5"/>
  <c r="H116" i="1"/>
  <c r="F3707" i="5"/>
  <c r="F4427" i="5"/>
  <c r="H138" i="1"/>
  <c r="F3179" i="5"/>
  <c r="H101" i="1"/>
  <c r="H57" i="1"/>
  <c r="F1451" i="5"/>
  <c r="H62" i="1"/>
  <c r="F1643" i="5"/>
  <c r="H119" i="1"/>
  <c r="F3851" i="5"/>
  <c r="F2123" i="5"/>
  <c r="H73" i="1"/>
  <c r="F5435" i="5"/>
  <c r="H162" i="1"/>
  <c r="H117" i="1"/>
  <c r="F3755" i="5"/>
  <c r="F2315" i="5"/>
  <c r="H77" i="1"/>
  <c r="F1163" i="5"/>
  <c r="H51" i="1"/>
  <c r="H28" i="1"/>
  <c r="F395" i="5"/>
  <c r="H105" i="1"/>
  <c r="F3371" i="5"/>
  <c r="F1835" i="5"/>
  <c r="H66" i="1"/>
  <c r="F1355" i="5"/>
  <c r="H55" i="1"/>
  <c r="F635" i="5"/>
  <c r="H34" i="1"/>
  <c r="H170" i="1"/>
  <c r="F5819" i="5"/>
  <c r="H168" i="1"/>
  <c r="F5723" i="5"/>
  <c r="H41" i="1"/>
  <c r="F923" i="5"/>
  <c r="H72" i="1"/>
  <c r="F4139" i="5"/>
  <c r="H128" i="1"/>
  <c r="H16" i="1"/>
  <c r="F11" i="5"/>
  <c r="F299" i="5"/>
  <c r="H26" i="1"/>
  <c r="H161" i="1"/>
  <c r="F5387" i="5"/>
  <c r="F2507" i="5"/>
  <c r="H82" i="1"/>
  <c r="H81" i="1"/>
  <c r="F2459" i="5"/>
  <c r="H157" i="1"/>
  <c r="F5195" i="5"/>
  <c r="H97" i="1"/>
  <c r="F3035" i="5"/>
  <c r="F4187" i="5"/>
  <c r="H129" i="1"/>
  <c r="F587" i="5"/>
  <c r="H33" i="1"/>
  <c r="H169" i="1"/>
  <c r="F5771" i="5"/>
  <c r="H120" i="1"/>
  <c r="F3899" i="5"/>
  <c r="E145" i="1"/>
  <c r="K145" i="1"/>
  <c r="L145" i="1"/>
  <c r="F1449" i="5"/>
  <c r="F5336" i="5"/>
  <c r="F5913" i="5"/>
  <c r="F2313" i="5"/>
  <c r="F3560" i="5"/>
  <c r="F3465" i="5"/>
  <c r="F393" i="5"/>
  <c r="F1353" i="5"/>
  <c r="F3273" i="5"/>
  <c r="F1833" i="5"/>
  <c r="F2937" i="5"/>
  <c r="H58" i="1"/>
  <c r="F1499" i="5"/>
  <c r="H124" i="1"/>
  <c r="F4091" i="5"/>
  <c r="F3611" i="5"/>
  <c r="H114" i="1"/>
  <c r="K144" i="1"/>
  <c r="E144" i="1"/>
  <c r="L144" i="1"/>
  <c r="K90" i="1"/>
  <c r="E90" i="1"/>
  <c r="L90" i="1"/>
  <c r="F4520" i="5"/>
  <c r="F4521" i="5" s="1"/>
  <c r="F4619" i="5"/>
  <c r="H142" i="1"/>
  <c r="F488" i="5"/>
  <c r="F2649" i="5"/>
  <c r="F1113" i="5"/>
  <c r="H59" i="1"/>
  <c r="F1547" i="5"/>
  <c r="F2699" i="5"/>
  <c r="H87" i="1"/>
  <c r="F2457" i="5"/>
  <c r="F3369" i="5"/>
  <c r="F5097" i="5"/>
  <c r="F1640" i="5"/>
  <c r="F1641" i="5" s="1"/>
  <c r="F1305" i="5"/>
  <c r="F4905" i="5"/>
  <c r="F4617" i="5"/>
  <c r="K94" i="1"/>
  <c r="E94" i="1"/>
  <c r="L94" i="1"/>
  <c r="F2409" i="5"/>
  <c r="H75" i="1"/>
  <c r="F2219" i="5"/>
  <c r="H103" i="1"/>
  <c r="F3275" i="5"/>
  <c r="F3177" i="5"/>
  <c r="H17" i="1"/>
  <c r="F59" i="5"/>
  <c r="F1160" i="5"/>
  <c r="F1736" i="5"/>
  <c r="F1737" i="5" s="1"/>
  <c r="F296" i="5"/>
  <c r="F297" i="5" s="1"/>
  <c r="F4712" i="5"/>
  <c r="F5385" i="5"/>
  <c r="F584" i="5"/>
  <c r="F585" i="5" s="1"/>
  <c r="F4856" i="5"/>
  <c r="F5576" i="5"/>
  <c r="F536" i="5"/>
  <c r="F5961" i="5"/>
  <c r="F920" i="5"/>
  <c r="H150" i="1" l="1"/>
  <c r="F5003" i="5"/>
  <c r="L69" i="1"/>
  <c r="E69" i="1"/>
  <c r="F3083" i="5"/>
  <c r="K18" i="1"/>
  <c r="E18" i="1"/>
  <c r="F5337" i="5"/>
  <c r="F2747" i="5"/>
  <c r="H121" i="1"/>
  <c r="L121" i="1" s="1"/>
  <c r="F3659" i="5"/>
  <c r="H115" i="1"/>
  <c r="E115" i="1" s="1"/>
  <c r="H98" i="1"/>
  <c r="L98" i="1" s="1"/>
  <c r="F4955" i="5"/>
  <c r="H86" i="1"/>
  <c r="E86" i="1" s="1"/>
  <c r="H149" i="1"/>
  <c r="Q117" i="2"/>
  <c r="T115" i="2"/>
  <c r="I78" i="2"/>
  <c r="L78" i="2" s="1"/>
  <c r="F3561" i="5"/>
  <c r="H109" i="1" s="1"/>
  <c r="F5579" i="5"/>
  <c r="F4907" i="5"/>
  <c r="F5243" i="5"/>
  <c r="H158" i="1"/>
  <c r="K158" i="1" s="1"/>
  <c r="H165" i="1"/>
  <c r="H123" i="1"/>
  <c r="F4043" i="5"/>
  <c r="F3995" i="5"/>
  <c r="H122" i="1"/>
  <c r="F1883" i="5"/>
  <c r="H96" i="1"/>
  <c r="F827" i="5"/>
  <c r="F1739" i="5"/>
  <c r="H64" i="1"/>
  <c r="K64" i="1" s="1"/>
  <c r="H68" i="1"/>
  <c r="E68" i="1" s="1"/>
  <c r="F1931" i="5"/>
  <c r="F5099" i="5"/>
  <c r="H152" i="1"/>
  <c r="E152" i="1" s="1"/>
  <c r="F5147" i="5"/>
  <c r="H153" i="1"/>
  <c r="F2171" i="5"/>
  <c r="H74" i="1"/>
  <c r="K74" i="1" s="1"/>
  <c r="F3803" i="5"/>
  <c r="H118" i="1"/>
  <c r="K118" i="1" s="1"/>
  <c r="H131" i="1"/>
  <c r="F4283" i="5"/>
  <c r="F4713" i="5"/>
  <c r="F3467" i="5"/>
  <c r="H108" i="1"/>
  <c r="L108" i="1" s="1"/>
  <c r="F1161" i="5"/>
  <c r="F1115" i="5" s="1"/>
  <c r="H63" i="1"/>
  <c r="F1691" i="5"/>
  <c r="F539" i="5"/>
  <c r="H31" i="1"/>
  <c r="F4475" i="5"/>
  <c r="H139" i="1"/>
  <c r="F251" i="5"/>
  <c r="H25" i="1"/>
  <c r="H172" i="1"/>
  <c r="F5915" i="5"/>
  <c r="H60" i="1"/>
  <c r="F1595" i="5"/>
  <c r="H160" i="1"/>
  <c r="F5339" i="5"/>
  <c r="H141" i="1"/>
  <c r="F4571" i="5"/>
  <c r="F1259" i="5"/>
  <c r="H53" i="1"/>
  <c r="F5051" i="5"/>
  <c r="H151" i="1"/>
  <c r="E87" i="1"/>
  <c r="K87" i="1"/>
  <c r="L87" i="1"/>
  <c r="K148" i="1"/>
  <c r="E148" i="1"/>
  <c r="L148" i="1"/>
  <c r="L120" i="1"/>
  <c r="K120" i="1"/>
  <c r="E120" i="1"/>
  <c r="E33" i="1"/>
  <c r="K33" i="1"/>
  <c r="L33" i="1"/>
  <c r="L97" i="1"/>
  <c r="K97" i="1"/>
  <c r="E97" i="1"/>
  <c r="K168" i="1"/>
  <c r="L168" i="1"/>
  <c r="E168" i="1"/>
  <c r="E34" i="1"/>
  <c r="K34" i="1"/>
  <c r="L34" i="1"/>
  <c r="K77" i="1"/>
  <c r="E77" i="1"/>
  <c r="L77" i="1"/>
  <c r="F489" i="5"/>
  <c r="F1787" i="5"/>
  <c r="H65" i="1"/>
  <c r="H56" i="1"/>
  <c r="F1403" i="5"/>
  <c r="K81" i="1"/>
  <c r="E81" i="1"/>
  <c r="L81" i="1"/>
  <c r="E26" i="1"/>
  <c r="K26" i="1"/>
  <c r="L26" i="1"/>
  <c r="E128" i="1"/>
  <c r="K128" i="1"/>
  <c r="L128" i="1"/>
  <c r="K88" i="1"/>
  <c r="E88" i="1"/>
  <c r="L88" i="1"/>
  <c r="L105" i="1"/>
  <c r="K105" i="1"/>
  <c r="E105" i="1"/>
  <c r="L73" i="1"/>
  <c r="K73" i="1"/>
  <c r="E73" i="1"/>
  <c r="E110" i="1"/>
  <c r="L110" i="1"/>
  <c r="K110" i="1"/>
  <c r="E46" i="1"/>
  <c r="L46" i="1"/>
  <c r="K46" i="1"/>
  <c r="K75" i="1"/>
  <c r="E75" i="1"/>
  <c r="L75" i="1"/>
  <c r="K157" i="1"/>
  <c r="E157" i="1"/>
  <c r="L157" i="1"/>
  <c r="E170" i="1"/>
  <c r="K170" i="1"/>
  <c r="L170" i="1"/>
  <c r="E62" i="1"/>
  <c r="L62" i="1"/>
  <c r="K62" i="1"/>
  <c r="E138" i="1"/>
  <c r="L138" i="1"/>
  <c r="K138" i="1"/>
  <c r="K47" i="1"/>
  <c r="E47" i="1"/>
  <c r="L47" i="1"/>
  <c r="K150" i="1"/>
  <c r="E150" i="1"/>
  <c r="L150" i="1"/>
  <c r="F921" i="5"/>
  <c r="H104" i="1"/>
  <c r="F3323" i="5"/>
  <c r="F2603" i="5"/>
  <c r="H84" i="1"/>
  <c r="K124" i="1"/>
  <c r="L124" i="1"/>
  <c r="E124" i="1"/>
  <c r="H76" i="1"/>
  <c r="F2267" i="5"/>
  <c r="K129" i="1"/>
  <c r="E129" i="1"/>
  <c r="L129" i="1"/>
  <c r="K82" i="1"/>
  <c r="E82" i="1"/>
  <c r="L82" i="1"/>
  <c r="K55" i="1"/>
  <c r="L55" i="1"/>
  <c r="E55" i="1"/>
  <c r="K39" i="1"/>
  <c r="E39" i="1"/>
  <c r="L39" i="1"/>
  <c r="E140" i="1"/>
  <c r="L140" i="1"/>
  <c r="K140" i="1"/>
  <c r="E83" i="1"/>
  <c r="L83" i="1"/>
  <c r="K83" i="1"/>
  <c r="F1067" i="5"/>
  <c r="H48" i="1"/>
  <c r="E114" i="1"/>
  <c r="L114" i="1"/>
  <c r="K114" i="1"/>
  <c r="F537" i="5"/>
  <c r="E103" i="1"/>
  <c r="L103" i="1"/>
  <c r="K103" i="1"/>
  <c r="F2411" i="5"/>
  <c r="H80" i="1"/>
  <c r="H102" i="1"/>
  <c r="F3227" i="5"/>
  <c r="H27" i="1"/>
  <c r="F347" i="5"/>
  <c r="E16" i="1"/>
  <c r="K16" i="1"/>
  <c r="E117" i="1"/>
  <c r="K117" i="1"/>
  <c r="L117" i="1"/>
  <c r="K57" i="1"/>
  <c r="E57" i="1"/>
  <c r="L57" i="1"/>
  <c r="F3131" i="5"/>
  <c r="H99" i="1"/>
  <c r="F2363" i="5"/>
  <c r="H78" i="1"/>
  <c r="H147" i="1"/>
  <c r="F4859" i="5"/>
  <c r="E59" i="1"/>
  <c r="K59" i="1"/>
  <c r="L59" i="1"/>
  <c r="F2891" i="5"/>
  <c r="H93" i="1"/>
  <c r="E161" i="1"/>
  <c r="K161" i="1"/>
  <c r="L161" i="1"/>
  <c r="E72" i="1"/>
  <c r="L72" i="1"/>
  <c r="K72" i="1"/>
  <c r="E41" i="1"/>
  <c r="K41" i="1"/>
  <c r="L41" i="1"/>
  <c r="E28" i="1"/>
  <c r="K28" i="1"/>
  <c r="L28" i="1"/>
  <c r="F5577" i="5"/>
  <c r="K142" i="1"/>
  <c r="E142" i="1"/>
  <c r="L142" i="1"/>
  <c r="F1307" i="5"/>
  <c r="H54" i="1"/>
  <c r="F5867" i="5"/>
  <c r="H171" i="1"/>
  <c r="K162" i="1"/>
  <c r="E162" i="1"/>
  <c r="L162" i="1"/>
  <c r="E101" i="1"/>
  <c r="K101" i="1"/>
  <c r="L101" i="1"/>
  <c r="L116" i="1"/>
  <c r="K116" i="1"/>
  <c r="E116" i="1"/>
  <c r="K17" i="1"/>
  <c r="E17" i="1"/>
  <c r="L17" i="1"/>
  <c r="F4857" i="5"/>
  <c r="E58" i="1"/>
  <c r="K58" i="1"/>
  <c r="L58" i="1"/>
  <c r="H106" i="1"/>
  <c r="F3419" i="5"/>
  <c r="K169" i="1"/>
  <c r="E169" i="1"/>
  <c r="L169" i="1"/>
  <c r="E67" i="1"/>
  <c r="L67" i="1"/>
  <c r="K67" i="1"/>
  <c r="K66" i="1"/>
  <c r="E66" i="1"/>
  <c r="L66" i="1"/>
  <c r="E51" i="1"/>
  <c r="K51" i="1"/>
  <c r="L51" i="1"/>
  <c r="K119" i="1"/>
  <c r="L119" i="1"/>
  <c r="E119" i="1"/>
  <c r="K92" i="1"/>
  <c r="E92" i="1"/>
  <c r="L92" i="1"/>
  <c r="L52" i="1"/>
  <c r="E52" i="1"/>
  <c r="K52" i="1"/>
  <c r="K86" i="1" l="1"/>
  <c r="F5291" i="5"/>
  <c r="K165" i="1"/>
  <c r="L115" i="1"/>
  <c r="F3515" i="5"/>
  <c r="L86" i="1"/>
  <c r="E108" i="1"/>
  <c r="H159" i="1"/>
  <c r="K68" i="1"/>
  <c r="K115" i="1"/>
  <c r="E121" i="1"/>
  <c r="K149" i="1"/>
  <c r="K121" i="1"/>
  <c r="E98" i="1"/>
  <c r="K108" i="1"/>
  <c r="K96" i="1"/>
  <c r="L149" i="1"/>
  <c r="K98" i="1"/>
  <c r="E149" i="1"/>
  <c r="E153" i="1"/>
  <c r="L153" i="1"/>
  <c r="K153" i="1"/>
  <c r="H143" i="1"/>
  <c r="K143" i="1" s="1"/>
  <c r="L68" i="1"/>
  <c r="E152" i="2"/>
  <c r="T117" i="2"/>
  <c r="I80" i="2"/>
  <c r="L80" i="2"/>
  <c r="O78" i="2"/>
  <c r="F4667" i="5"/>
  <c r="L122" i="1"/>
  <c r="E122" i="1"/>
  <c r="K122" i="1"/>
  <c r="L96" i="1"/>
  <c r="L165" i="1"/>
  <c r="E96" i="1"/>
  <c r="K152" i="1"/>
  <c r="E165" i="1"/>
  <c r="L123" i="1"/>
  <c r="L152" i="1"/>
  <c r="E123" i="1"/>
  <c r="K123" i="1"/>
  <c r="L131" i="1"/>
  <c r="L126" i="1" s="1"/>
  <c r="E74" i="1"/>
  <c r="L158" i="1"/>
  <c r="E158" i="1"/>
  <c r="K131" i="1"/>
  <c r="K126" i="1" s="1"/>
  <c r="H50" i="1"/>
  <c r="L50" i="1" s="1"/>
  <c r="L74" i="1"/>
  <c r="E131" i="1"/>
  <c r="L64" i="1"/>
  <c r="E118" i="1"/>
  <c r="E64" i="1"/>
  <c r="L118" i="1"/>
  <c r="E172" i="1"/>
  <c r="K172" i="1"/>
  <c r="L172" i="1"/>
  <c r="E139" i="1"/>
  <c r="K139" i="1"/>
  <c r="L139" i="1"/>
  <c r="K31" i="1"/>
  <c r="E31" i="1"/>
  <c r="L31" i="1"/>
  <c r="L171" i="1"/>
  <c r="K171" i="1"/>
  <c r="E171" i="1"/>
  <c r="H30" i="1"/>
  <c r="F491" i="5"/>
  <c r="E48" i="1"/>
  <c r="K48" i="1"/>
  <c r="L48" i="1"/>
  <c r="K106" i="1"/>
  <c r="E106" i="1"/>
  <c r="L106" i="1"/>
  <c r="F4811" i="5"/>
  <c r="H146" i="1"/>
  <c r="K54" i="1"/>
  <c r="E54" i="1"/>
  <c r="L54" i="1"/>
  <c r="E147" i="1"/>
  <c r="K147" i="1"/>
  <c r="L147" i="1"/>
  <c r="L16" i="1"/>
  <c r="K14" i="1"/>
  <c r="E65" i="1"/>
  <c r="K65" i="1"/>
  <c r="L65" i="1"/>
  <c r="K63" i="1"/>
  <c r="E63" i="1"/>
  <c r="L63" i="1"/>
  <c r="L109" i="1"/>
  <c r="E109" i="1"/>
  <c r="K109" i="1"/>
  <c r="K27" i="1"/>
  <c r="E27" i="1"/>
  <c r="L27" i="1"/>
  <c r="K151" i="1"/>
  <c r="E151" i="1"/>
  <c r="L151" i="1"/>
  <c r="K141" i="1"/>
  <c r="E141" i="1"/>
  <c r="L141" i="1"/>
  <c r="K160" i="1"/>
  <c r="E160" i="1"/>
  <c r="L160" i="1"/>
  <c r="E25" i="1"/>
  <c r="K25" i="1"/>
  <c r="L25" i="1"/>
  <c r="E78" i="1"/>
  <c r="K78" i="1"/>
  <c r="L78" i="1"/>
  <c r="K76" i="1"/>
  <c r="E76" i="1"/>
  <c r="L76" i="1"/>
  <c r="K84" i="1"/>
  <c r="E84" i="1"/>
  <c r="L84" i="1"/>
  <c r="L104" i="1"/>
  <c r="K104" i="1"/>
  <c r="E104" i="1"/>
  <c r="H40" i="1"/>
  <c r="F875" i="5"/>
  <c r="H164" i="1"/>
  <c r="F5531" i="5"/>
  <c r="K93" i="1"/>
  <c r="L93" i="1"/>
  <c r="E93" i="1"/>
  <c r="K102" i="1"/>
  <c r="L102" i="1"/>
  <c r="E102" i="1"/>
  <c r="L56" i="1"/>
  <c r="K56" i="1"/>
  <c r="E56" i="1"/>
  <c r="K80" i="1"/>
  <c r="E80" i="1"/>
  <c r="L80" i="1"/>
  <c r="E53" i="1"/>
  <c r="L53" i="1"/>
  <c r="K53" i="1"/>
  <c r="K99" i="1"/>
  <c r="E99" i="1"/>
  <c r="L99" i="1"/>
  <c r="H29" i="1"/>
  <c r="F443" i="5"/>
  <c r="E60" i="1"/>
  <c r="K60" i="1"/>
  <c r="L60" i="1"/>
  <c r="K159" i="1" l="1"/>
  <c r="L159" i="1"/>
  <c r="E159" i="1"/>
  <c r="L143" i="1"/>
  <c r="K50" i="1"/>
  <c r="K43" i="1" s="1"/>
  <c r="E50" i="1"/>
  <c r="E143" i="1"/>
  <c r="E154" i="2"/>
  <c r="H152" i="2"/>
  <c r="D100" i="2"/>
  <c r="D137" i="2"/>
  <c r="D26" i="2"/>
  <c r="D63" i="2"/>
  <c r="O80" i="2"/>
  <c r="R78" i="2"/>
  <c r="K112" i="1"/>
  <c r="L112" i="1"/>
  <c r="H126" i="1"/>
  <c r="H14" i="1"/>
  <c r="L14" i="1"/>
  <c r="E40" i="1"/>
  <c r="K40" i="1"/>
  <c r="L40" i="1"/>
  <c r="G127" i="1"/>
  <c r="G190" i="1" s="1"/>
  <c r="F127" i="1"/>
  <c r="F190" i="1" s="1"/>
  <c r="K30" i="1"/>
  <c r="E30" i="1"/>
  <c r="L30" i="1"/>
  <c r="E29" i="1"/>
  <c r="K29" i="1"/>
  <c r="L29" i="1"/>
  <c r="K164" i="1"/>
  <c r="E164" i="1"/>
  <c r="L164" i="1"/>
  <c r="K146" i="1"/>
  <c r="K134" i="1" s="1"/>
  <c r="E146" i="1"/>
  <c r="L146" i="1"/>
  <c r="K155" i="1" l="1"/>
  <c r="H155" i="1" s="1"/>
  <c r="H112" i="1"/>
  <c r="M135" i="2" s="1"/>
  <c r="K134" i="2" s="1"/>
  <c r="L134" i="1"/>
  <c r="D140" i="2" s="1"/>
  <c r="P126" i="2"/>
  <c r="N125" i="2" s="1"/>
  <c r="P89" i="2"/>
  <c r="N88" i="2" s="1"/>
  <c r="S89" i="2"/>
  <c r="Q88" i="2" s="1"/>
  <c r="S126" i="2"/>
  <c r="Q125" i="2" s="1"/>
  <c r="G126" i="2"/>
  <c r="E125" i="2" s="1"/>
  <c r="M89" i="2"/>
  <c r="K88" i="2" s="1"/>
  <c r="G89" i="2"/>
  <c r="E88" i="2" s="1"/>
  <c r="J126" i="2"/>
  <c r="H125" i="2" s="1"/>
  <c r="J89" i="2"/>
  <c r="H88" i="2" s="1"/>
  <c r="V89" i="2"/>
  <c r="T88" i="2" s="1"/>
  <c r="V126" i="2"/>
  <c r="T125" i="2" s="1"/>
  <c r="M126" i="2"/>
  <c r="K125" i="2" s="1"/>
  <c r="V52" i="2"/>
  <c r="T51" i="2" s="1"/>
  <c r="J52" i="2"/>
  <c r="H51" i="2" s="1"/>
  <c r="V15" i="2"/>
  <c r="T14" i="2" s="1"/>
  <c r="J15" i="2"/>
  <c r="H14" i="2" s="1"/>
  <c r="M52" i="2"/>
  <c r="K51" i="2" s="1"/>
  <c r="M15" i="2"/>
  <c r="K14" i="2" s="1"/>
  <c r="P52" i="2"/>
  <c r="N51" i="2" s="1"/>
  <c r="P15" i="2"/>
  <c r="N14" i="2" s="1"/>
  <c r="S52" i="2"/>
  <c r="Q51" i="2" s="1"/>
  <c r="G52" i="2"/>
  <c r="E51" i="2" s="1"/>
  <c r="S15" i="2"/>
  <c r="Q14" i="2" s="1"/>
  <c r="G15" i="2"/>
  <c r="E14" i="2" s="1"/>
  <c r="J138" i="2"/>
  <c r="H137" i="2" s="1"/>
  <c r="H139" i="2" s="1"/>
  <c r="M101" i="2"/>
  <c r="K100" i="2" s="1"/>
  <c r="K102" i="2" s="1"/>
  <c r="V101" i="2"/>
  <c r="T100" i="2" s="1"/>
  <c r="T102" i="2" s="1"/>
  <c r="G138" i="2"/>
  <c r="E137" i="2" s="1"/>
  <c r="E139" i="2" s="1"/>
  <c r="M138" i="2"/>
  <c r="K137" i="2" s="1"/>
  <c r="K139" i="2" s="1"/>
  <c r="J101" i="2"/>
  <c r="H100" i="2" s="1"/>
  <c r="H102" i="2" s="1"/>
  <c r="P138" i="2"/>
  <c r="N137" i="2" s="1"/>
  <c r="N139" i="2" s="1"/>
  <c r="G101" i="2"/>
  <c r="E100" i="2" s="1"/>
  <c r="E102" i="2" s="1"/>
  <c r="S101" i="2"/>
  <c r="Q100" i="2" s="1"/>
  <c r="Q102" i="2" s="1"/>
  <c r="S138" i="2"/>
  <c r="Q137" i="2" s="1"/>
  <c r="Q139" i="2" s="1"/>
  <c r="P101" i="2"/>
  <c r="N100" i="2" s="1"/>
  <c r="S64" i="2"/>
  <c r="G64" i="2"/>
  <c r="E63" i="2" s="1"/>
  <c r="E65" i="2" s="1"/>
  <c r="V27" i="2"/>
  <c r="T26" i="2" s="1"/>
  <c r="T28" i="2" s="1"/>
  <c r="J27" i="2"/>
  <c r="H26" i="2" s="1"/>
  <c r="H28" i="2" s="1"/>
  <c r="J64" i="2"/>
  <c r="H63" i="2" s="1"/>
  <c r="H65" i="2" s="1"/>
  <c r="M27" i="2"/>
  <c r="K26" i="2" s="1"/>
  <c r="K28" i="2" s="1"/>
  <c r="M64" i="2"/>
  <c r="K63" i="2" s="1"/>
  <c r="K65" i="2" s="1"/>
  <c r="P27" i="2"/>
  <c r="N26" i="2" s="1"/>
  <c r="P64" i="2"/>
  <c r="N63" i="2" s="1"/>
  <c r="S27" i="2"/>
  <c r="Q26" i="2" s="1"/>
  <c r="Q28" i="2" s="1"/>
  <c r="G27" i="2"/>
  <c r="E26" i="2" s="1"/>
  <c r="E28" i="2" s="1"/>
  <c r="K152" i="2"/>
  <c r="H154" i="2"/>
  <c r="D88" i="2"/>
  <c r="D125" i="2"/>
  <c r="D134" i="2"/>
  <c r="D97" i="2"/>
  <c r="D60" i="2"/>
  <c r="D23" i="2"/>
  <c r="D51" i="2"/>
  <c r="D14" i="2"/>
  <c r="K15" i="1"/>
  <c r="R80" i="2"/>
  <c r="U78" i="2"/>
  <c r="G113" i="1"/>
  <c r="G188" i="1" s="1"/>
  <c r="F113" i="1"/>
  <c r="F188" i="1" s="1"/>
  <c r="K22" i="1"/>
  <c r="H22" i="1" s="1"/>
  <c r="H43" i="1"/>
  <c r="S132" i="2" s="1"/>
  <c r="H134" i="1"/>
  <c r="H127" i="1"/>
  <c r="H190" i="1" s="1"/>
  <c r="H189" i="1"/>
  <c r="L189" i="1" s="1"/>
  <c r="L43" i="1"/>
  <c r="L22" i="1"/>
  <c r="H15" i="1"/>
  <c r="H182" i="1" s="1"/>
  <c r="H181" i="1"/>
  <c r="K127" i="1"/>
  <c r="L155" i="1"/>
  <c r="G15" i="1"/>
  <c r="G182" i="1" s="1"/>
  <c r="F15" i="1"/>
  <c r="F182" i="1" s="1"/>
  <c r="H113" i="1" l="1"/>
  <c r="H188" i="1" s="1"/>
  <c r="P132" i="2"/>
  <c r="N131" i="2" s="1"/>
  <c r="M95" i="2"/>
  <c r="K94" i="2" s="1"/>
  <c r="S58" i="2"/>
  <c r="G58" i="2"/>
  <c r="M21" i="2"/>
  <c r="J95" i="2"/>
  <c r="H94" i="2" s="1"/>
  <c r="P58" i="2"/>
  <c r="V21" i="2"/>
  <c r="M132" i="2"/>
  <c r="K131" i="2" s="1"/>
  <c r="P95" i="2"/>
  <c r="N94" i="2" s="1"/>
  <c r="V58" i="2"/>
  <c r="J58" i="2"/>
  <c r="H57" i="2" s="1"/>
  <c r="P21" i="2"/>
  <c r="G132" i="2"/>
  <c r="E131" i="2" s="1"/>
  <c r="Q131" i="2"/>
  <c r="J132" i="2"/>
  <c r="H131" i="2" s="1"/>
  <c r="S95" i="2"/>
  <c r="Q94" i="2" s="1"/>
  <c r="G95" i="2"/>
  <c r="M58" i="2"/>
  <c r="S21" i="2"/>
  <c r="G21" i="2"/>
  <c r="V95" i="2"/>
  <c r="T94" i="2" s="1"/>
  <c r="J21" i="2"/>
  <c r="H187" i="1"/>
  <c r="L187" i="1" s="1"/>
  <c r="M24" i="2"/>
  <c r="K23" i="2" s="1"/>
  <c r="K25" i="2" s="1"/>
  <c r="F135" i="1"/>
  <c r="F192" i="1" s="1"/>
  <c r="J61" i="2"/>
  <c r="H60" i="2" s="1"/>
  <c r="H62" i="2" s="1"/>
  <c r="D103" i="2"/>
  <c r="J24" i="2"/>
  <c r="H23" i="2" s="1"/>
  <c r="H25" i="2" s="1"/>
  <c r="P61" i="2"/>
  <c r="N60" i="2" s="1"/>
  <c r="N62" i="2" s="1"/>
  <c r="G135" i="1"/>
  <c r="G192" i="1" s="1"/>
  <c r="D66" i="2"/>
  <c r="S24" i="2"/>
  <c r="Q23" i="2" s="1"/>
  <c r="Q25" i="2" s="1"/>
  <c r="V98" i="2"/>
  <c r="T97" i="2" s="1"/>
  <c r="T99" i="2" s="1"/>
  <c r="D29" i="2"/>
  <c r="K113" i="1"/>
  <c r="M61" i="2"/>
  <c r="K60" i="2" s="1"/>
  <c r="K62" i="2" s="1"/>
  <c r="G24" i="2"/>
  <c r="E23" i="2" s="1"/>
  <c r="S135" i="2"/>
  <c r="Q134" i="2" s="1"/>
  <c r="Q136" i="2" s="1"/>
  <c r="V24" i="2"/>
  <c r="T23" i="2" s="1"/>
  <c r="T25" i="2" s="1"/>
  <c r="S61" i="2"/>
  <c r="Q60" i="2" s="1"/>
  <c r="Q62" i="2" s="1"/>
  <c r="P135" i="2"/>
  <c r="N134" i="2" s="1"/>
  <c r="N136" i="2" s="1"/>
  <c r="M98" i="2"/>
  <c r="K97" i="2" s="1"/>
  <c r="K99" i="2" s="1"/>
  <c r="G98" i="2"/>
  <c r="E97" i="2" s="1"/>
  <c r="E99" i="2" s="1"/>
  <c r="G61" i="2"/>
  <c r="E60" i="2" s="1"/>
  <c r="E62" i="2" s="1"/>
  <c r="J135" i="2"/>
  <c r="H134" i="2" s="1"/>
  <c r="H136" i="2" s="1"/>
  <c r="J98" i="2"/>
  <c r="H97" i="2" s="1"/>
  <c r="H99" i="2" s="1"/>
  <c r="S98" i="2"/>
  <c r="Q97" i="2" s="1"/>
  <c r="Q99" i="2" s="1"/>
  <c r="P24" i="2"/>
  <c r="N23" i="2" s="1"/>
  <c r="N25" i="2" s="1"/>
  <c r="G135" i="2"/>
  <c r="E134" i="2" s="1"/>
  <c r="E136" i="2" s="1"/>
  <c r="P98" i="2"/>
  <c r="N97" i="2" s="1"/>
  <c r="N99" i="2" s="1"/>
  <c r="K53" i="2"/>
  <c r="E16" i="2"/>
  <c r="H16" i="2"/>
  <c r="K127" i="2"/>
  <c r="H127" i="2"/>
  <c r="Q127" i="2"/>
  <c r="T127" i="2"/>
  <c r="E90" i="2"/>
  <c r="Q90" i="2"/>
  <c r="T90" i="2"/>
  <c r="K90" i="2"/>
  <c r="N90" i="2"/>
  <c r="K136" i="2"/>
  <c r="H90" i="2"/>
  <c r="E127" i="2"/>
  <c r="N127" i="2"/>
  <c r="V64" i="2"/>
  <c r="V138" i="2" s="1"/>
  <c r="T137" i="2" s="1"/>
  <c r="T139" i="2" s="1"/>
  <c r="Q63" i="2"/>
  <c r="Q65" i="2" s="1"/>
  <c r="N102" i="2"/>
  <c r="G107" i="2"/>
  <c r="E106" i="2" s="1"/>
  <c r="M70" i="2"/>
  <c r="K69" i="2" s="1"/>
  <c r="P144" i="2"/>
  <c r="N143" i="2" s="1"/>
  <c r="M107" i="2"/>
  <c r="K106" i="2" s="1"/>
  <c r="P107" i="2"/>
  <c r="N106" i="2" s="1"/>
  <c r="J70" i="2"/>
  <c r="M144" i="2"/>
  <c r="K143" i="2" s="1"/>
  <c r="P70" i="2"/>
  <c r="N69" i="2" s="1"/>
  <c r="G144" i="2"/>
  <c r="E143" i="2" s="1"/>
  <c r="V107" i="2"/>
  <c r="T106" i="2" s="1"/>
  <c r="S70" i="2"/>
  <c r="V70" i="2" s="1"/>
  <c r="G70" i="2"/>
  <c r="E69" i="2" s="1"/>
  <c r="S144" i="2"/>
  <c r="Q143" i="2" s="1"/>
  <c r="J144" i="2"/>
  <c r="H143" i="2" s="1"/>
  <c r="S107" i="2"/>
  <c r="Q106" i="2" s="1"/>
  <c r="J107" i="2"/>
  <c r="H106" i="2" s="1"/>
  <c r="V33" i="2"/>
  <c r="T32" i="2" s="1"/>
  <c r="P33" i="2"/>
  <c r="N32" i="2" s="1"/>
  <c r="J33" i="2"/>
  <c r="H32" i="2" s="1"/>
  <c r="S33" i="2"/>
  <c r="Q32" i="2" s="1"/>
  <c r="M33" i="2"/>
  <c r="K32" i="2" s="1"/>
  <c r="G33" i="2"/>
  <c r="E32" i="2" s="1"/>
  <c r="E94" i="2"/>
  <c r="J141" i="2"/>
  <c r="H140" i="2" s="1"/>
  <c r="P104" i="2"/>
  <c r="N103" i="2" s="1"/>
  <c r="G104" i="2"/>
  <c r="E103" i="2" s="1"/>
  <c r="M141" i="2"/>
  <c r="K140" i="2" s="1"/>
  <c r="M104" i="2"/>
  <c r="K103" i="2" s="1"/>
  <c r="V104" i="2"/>
  <c r="T103" i="2" s="1"/>
  <c r="G141" i="2"/>
  <c r="E140" i="2" s="1"/>
  <c r="S104" i="2"/>
  <c r="Q103" i="2" s="1"/>
  <c r="P141" i="2"/>
  <c r="N140" i="2" s="1"/>
  <c r="J104" i="2"/>
  <c r="H103" i="2" s="1"/>
  <c r="S141" i="2"/>
  <c r="Q140" i="2" s="1"/>
  <c r="S129" i="2"/>
  <c r="Q128" i="2" s="1"/>
  <c r="G129" i="2"/>
  <c r="E128" i="2" s="1"/>
  <c r="J92" i="2"/>
  <c r="H91" i="2" s="1"/>
  <c r="J129" i="2"/>
  <c r="H128" i="2" s="1"/>
  <c r="G92" i="2"/>
  <c r="E91" i="2" s="1"/>
  <c r="S92" i="2"/>
  <c r="Q91" i="2" s="1"/>
  <c r="V92" i="2"/>
  <c r="T91" i="2" s="1"/>
  <c r="P129" i="2"/>
  <c r="N128" i="2" s="1"/>
  <c r="M92" i="2"/>
  <c r="K91" i="2" s="1"/>
  <c r="M129" i="2"/>
  <c r="K128" i="2" s="1"/>
  <c r="P92" i="2"/>
  <c r="N91" i="2" s="1"/>
  <c r="U80" i="2"/>
  <c r="F115" i="2"/>
  <c r="K154" i="2"/>
  <c r="N152" i="2"/>
  <c r="J67" i="2"/>
  <c r="P30" i="2"/>
  <c r="N29" i="2" s="1"/>
  <c r="M67" i="2"/>
  <c r="K66" i="2" s="1"/>
  <c r="S30" i="2"/>
  <c r="Q29" i="2" s="1"/>
  <c r="G30" i="2"/>
  <c r="E29" i="2" s="1"/>
  <c r="P67" i="2"/>
  <c r="V30" i="2"/>
  <c r="T29" i="2" s="1"/>
  <c r="J30" i="2"/>
  <c r="H29" i="2" s="1"/>
  <c r="S67" i="2"/>
  <c r="Q66" i="2" s="1"/>
  <c r="G67" i="2"/>
  <c r="E66" i="2" s="1"/>
  <c r="M30" i="2"/>
  <c r="K29" i="2" s="1"/>
  <c r="J55" i="2"/>
  <c r="H54" i="2" s="1"/>
  <c r="V18" i="2"/>
  <c r="T17" i="2" s="1"/>
  <c r="J18" i="2"/>
  <c r="H17" i="2" s="1"/>
  <c r="G18" i="2"/>
  <c r="E17" i="2" s="1"/>
  <c r="M55" i="2"/>
  <c r="K54" i="2" s="1"/>
  <c r="M18" i="2"/>
  <c r="K17" i="2" s="1"/>
  <c r="P55" i="2"/>
  <c r="N54" i="2" s="1"/>
  <c r="P18" i="2"/>
  <c r="N17" i="2" s="1"/>
  <c r="S55" i="2"/>
  <c r="Q54" i="2" s="1"/>
  <c r="G55" i="2"/>
  <c r="E54" i="2" s="1"/>
  <c r="S18" i="2"/>
  <c r="Q17" i="2" s="1"/>
  <c r="E53" i="2"/>
  <c r="H53" i="2"/>
  <c r="Q16" i="2"/>
  <c r="T16" i="2"/>
  <c r="K16" i="2"/>
  <c r="Q53" i="2"/>
  <c r="T53" i="2"/>
  <c r="D143" i="2"/>
  <c r="D106" i="2"/>
  <c r="D128" i="2"/>
  <c r="D91" i="2"/>
  <c r="D131" i="2"/>
  <c r="D94" i="2"/>
  <c r="D32" i="2"/>
  <c r="D69" i="2"/>
  <c r="N28" i="2"/>
  <c r="W26" i="2"/>
  <c r="W28" i="2" s="1"/>
  <c r="N65" i="2"/>
  <c r="N16" i="2"/>
  <c r="W14" i="2"/>
  <c r="W16" i="2" s="1"/>
  <c r="N53" i="2"/>
  <c r="D54" i="2"/>
  <c r="D17" i="2"/>
  <c r="D20" i="2"/>
  <c r="D57" i="2"/>
  <c r="K44" i="1"/>
  <c r="K23" i="1"/>
  <c r="G23" i="1"/>
  <c r="G184" i="1" s="1"/>
  <c r="F23" i="1"/>
  <c r="F184" i="1" s="1"/>
  <c r="H191" i="1"/>
  <c r="L191" i="1" s="1"/>
  <c r="H135" i="1"/>
  <c r="H192" i="1" s="1"/>
  <c r="H44" i="1"/>
  <c r="H186" i="1" s="1"/>
  <c r="H185" i="1"/>
  <c r="L185" i="1" s="1"/>
  <c r="L181" i="1"/>
  <c r="K135" i="1"/>
  <c r="H183" i="1"/>
  <c r="L183" i="1" s="1"/>
  <c r="H23" i="1"/>
  <c r="H184" i="1" s="1"/>
  <c r="H156" i="1"/>
  <c r="H194" i="1" s="1"/>
  <c r="L177" i="1"/>
  <c r="H193" i="1"/>
  <c r="L193" i="1" s="1"/>
  <c r="G156" i="1"/>
  <c r="G194" i="1" s="1"/>
  <c r="F156" i="1"/>
  <c r="F194" i="1" s="1"/>
  <c r="F44" i="1"/>
  <c r="F186" i="1" s="1"/>
  <c r="G44" i="1"/>
  <c r="G186" i="1" s="1"/>
  <c r="L174" i="1"/>
  <c r="M175" i="1" s="1"/>
  <c r="K156" i="1"/>
  <c r="T105" i="2" l="1"/>
  <c r="Q68" i="2"/>
  <c r="E31" i="2"/>
  <c r="H105" i="2"/>
  <c r="K31" i="2"/>
  <c r="T31" i="2"/>
  <c r="K68" i="2"/>
  <c r="Q105" i="2"/>
  <c r="K142" i="2"/>
  <c r="H31" i="2"/>
  <c r="Q31" i="2"/>
  <c r="N142" i="2"/>
  <c r="K105" i="2"/>
  <c r="H142" i="2"/>
  <c r="E68" i="2"/>
  <c r="Q142" i="2"/>
  <c r="E142" i="2"/>
  <c r="E105" i="2"/>
  <c r="W23" i="2"/>
  <c r="W25" i="2" s="1"/>
  <c r="E25" i="2"/>
  <c r="V61" i="2"/>
  <c r="V135" i="2" s="1"/>
  <c r="T134" i="2" s="1"/>
  <c r="T136" i="2" s="1"/>
  <c r="M187" i="1"/>
  <c r="M70" i="1"/>
  <c r="M69" i="1"/>
  <c r="T63" i="2"/>
  <c r="T65" i="2" s="1"/>
  <c r="Q56" i="2"/>
  <c r="N133" i="2"/>
  <c r="K96" i="2"/>
  <c r="Q96" i="2"/>
  <c r="E133" i="2"/>
  <c r="H133" i="2"/>
  <c r="Q34" i="2"/>
  <c r="H59" i="2"/>
  <c r="V132" i="2"/>
  <c r="T131" i="2" s="1"/>
  <c r="T133" i="2" s="1"/>
  <c r="K130" i="2"/>
  <c r="T93" i="2"/>
  <c r="H93" i="2"/>
  <c r="T96" i="2"/>
  <c r="H96" i="2"/>
  <c r="H145" i="2"/>
  <c r="T108" i="2"/>
  <c r="V67" i="2"/>
  <c r="V141" i="2" s="1"/>
  <c r="T140" i="2" s="1"/>
  <c r="T142" i="2" s="1"/>
  <c r="Q93" i="2"/>
  <c r="E130" i="2"/>
  <c r="N105" i="2"/>
  <c r="N96" i="2"/>
  <c r="Q145" i="2"/>
  <c r="E145" i="2"/>
  <c r="N108" i="2"/>
  <c r="E108" i="2"/>
  <c r="N66" i="2"/>
  <c r="N68" i="2" s="1"/>
  <c r="Q69" i="2"/>
  <c r="Q71" i="2" s="1"/>
  <c r="K93" i="2"/>
  <c r="E93" i="2"/>
  <c r="Q130" i="2"/>
  <c r="K133" i="2"/>
  <c r="E96" i="2"/>
  <c r="Q133" i="2"/>
  <c r="V144" i="2"/>
  <c r="T143" i="2" s="1"/>
  <c r="T145" i="2" s="1"/>
  <c r="H108" i="2"/>
  <c r="K108" i="2"/>
  <c r="V55" i="2"/>
  <c r="V129" i="2" s="1"/>
  <c r="T128" i="2" s="1"/>
  <c r="T130" i="2" s="1"/>
  <c r="N93" i="2"/>
  <c r="N130" i="2"/>
  <c r="H130" i="2"/>
  <c r="Q108" i="2"/>
  <c r="K145" i="2"/>
  <c r="N145" i="2"/>
  <c r="F117" i="2"/>
  <c r="I115" i="2"/>
  <c r="Q152" i="2"/>
  <c r="N154" i="2"/>
  <c r="E34" i="2"/>
  <c r="E71" i="2"/>
  <c r="K34" i="2"/>
  <c r="T34" i="2"/>
  <c r="K71" i="2"/>
  <c r="D147" i="2"/>
  <c r="D110" i="2"/>
  <c r="S111" i="2"/>
  <c r="V111" i="2"/>
  <c r="P148" i="2"/>
  <c r="G148" i="2"/>
  <c r="S148" i="2"/>
  <c r="P111" i="2"/>
  <c r="M111" i="2"/>
  <c r="J111" i="2"/>
  <c r="G111" i="2"/>
  <c r="M148" i="2"/>
  <c r="J148" i="2"/>
  <c r="N71" i="2"/>
  <c r="T69" i="2"/>
  <c r="T71" i="2" s="1"/>
  <c r="H69" i="2"/>
  <c r="H71" i="2" s="1"/>
  <c r="N34" i="2"/>
  <c r="W32" i="2"/>
  <c r="W34" i="2" s="1"/>
  <c r="H34" i="2"/>
  <c r="E19" i="2"/>
  <c r="T19" i="2"/>
  <c r="W29" i="2"/>
  <c r="W31" i="2" s="1"/>
  <c r="N31" i="2"/>
  <c r="H66" i="2"/>
  <c r="H68" i="2" s="1"/>
  <c r="W51" i="2"/>
  <c r="K56" i="2"/>
  <c r="Q19" i="2"/>
  <c r="E56" i="2"/>
  <c r="K19" i="2"/>
  <c r="H56" i="2"/>
  <c r="H19" i="2"/>
  <c r="D36" i="2"/>
  <c r="N19" i="2"/>
  <c r="W17" i="2"/>
  <c r="M37" i="2"/>
  <c r="K20" i="2"/>
  <c r="K22" i="2" s="1"/>
  <c r="G74" i="2"/>
  <c r="E57" i="2"/>
  <c r="E59" i="2" s="1"/>
  <c r="P74" i="2"/>
  <c r="N57" i="2"/>
  <c r="S37" i="2"/>
  <c r="Q20" i="2"/>
  <c r="Q22" i="2" s="1"/>
  <c r="V37" i="2"/>
  <c r="T20" i="2"/>
  <c r="T22" i="2" s="1"/>
  <c r="P37" i="2"/>
  <c r="N20" i="2"/>
  <c r="G37" i="2"/>
  <c r="E20" i="2"/>
  <c r="E22" i="2" s="1"/>
  <c r="J37" i="2"/>
  <c r="H36" i="2" s="1"/>
  <c r="H20" i="2"/>
  <c r="H22" i="2" s="1"/>
  <c r="N56" i="2"/>
  <c r="S74" i="2"/>
  <c r="Q57" i="2"/>
  <c r="Q59" i="2" s="1"/>
  <c r="D73" i="2"/>
  <c r="K57" i="2"/>
  <c r="K59" i="2" s="1"/>
  <c r="M74" i="2"/>
  <c r="J74" i="2"/>
  <c r="M43" i="1"/>
  <c r="M185" i="1"/>
  <c r="M181" i="1"/>
  <c r="L195" i="1"/>
  <c r="M191" i="1"/>
  <c r="M22" i="1"/>
  <c r="H195" i="1"/>
  <c r="M193" i="1"/>
  <c r="M183" i="1"/>
  <c r="M137" i="1"/>
  <c r="M38" i="1"/>
  <c r="M167" i="1"/>
  <c r="M19" i="1"/>
  <c r="M132" i="1"/>
  <c r="M35" i="1"/>
  <c r="M130" i="1"/>
  <c r="M20" i="1"/>
  <c r="M166" i="1"/>
  <c r="M163" i="1"/>
  <c r="M36" i="1"/>
  <c r="M176" i="1"/>
  <c r="M144" i="1"/>
  <c r="M90" i="1"/>
  <c r="M145" i="1"/>
  <c r="M18" i="1"/>
  <c r="M94" i="1"/>
  <c r="M51" i="1"/>
  <c r="M39" i="1"/>
  <c r="M158" i="1"/>
  <c r="M162" i="1"/>
  <c r="M66" i="1"/>
  <c r="M101" i="1"/>
  <c r="M142" i="1"/>
  <c r="M92" i="1"/>
  <c r="M33" i="1"/>
  <c r="M115" i="1"/>
  <c r="M72" i="1"/>
  <c r="M57" i="1"/>
  <c r="M17" i="1"/>
  <c r="M64" i="1"/>
  <c r="M150" i="1"/>
  <c r="M120" i="1"/>
  <c r="M118" i="1"/>
  <c r="M97" i="1"/>
  <c r="M41" i="1"/>
  <c r="M140" i="1"/>
  <c r="M121" i="1"/>
  <c r="M161" i="1"/>
  <c r="M47" i="1"/>
  <c r="M165" i="1"/>
  <c r="M58" i="1"/>
  <c r="M148" i="1"/>
  <c r="M55" i="1"/>
  <c r="M83" i="1"/>
  <c r="M110" i="1"/>
  <c r="M34" i="1"/>
  <c r="M68" i="1"/>
  <c r="M75" i="1"/>
  <c r="M153" i="1"/>
  <c r="M74" i="1"/>
  <c r="M114" i="1"/>
  <c r="M46" i="1"/>
  <c r="M77" i="1"/>
  <c r="M87" i="1"/>
  <c r="M119" i="1"/>
  <c r="M170" i="1"/>
  <c r="M52" i="1"/>
  <c r="M108" i="1"/>
  <c r="M88" i="1"/>
  <c r="M82" i="1"/>
  <c r="M128" i="1"/>
  <c r="M138" i="1"/>
  <c r="M98" i="1"/>
  <c r="M122" i="1"/>
  <c r="M117" i="1"/>
  <c r="M157" i="1"/>
  <c r="M169" i="1"/>
  <c r="M103" i="1"/>
  <c r="M62" i="1"/>
  <c r="M26" i="1"/>
  <c r="M81" i="1"/>
  <c r="M152" i="1"/>
  <c r="M73" i="1"/>
  <c r="M116" i="1"/>
  <c r="M96" i="1"/>
  <c r="M86" i="1"/>
  <c r="M149" i="1"/>
  <c r="M28" i="1"/>
  <c r="M123" i="1"/>
  <c r="M129" i="1"/>
  <c r="M105" i="1"/>
  <c r="M131" i="1"/>
  <c r="M168" i="1"/>
  <c r="M67" i="1"/>
  <c r="M59" i="1"/>
  <c r="M124" i="1"/>
  <c r="M54" i="1"/>
  <c r="M99" i="1"/>
  <c r="M63" i="1"/>
  <c r="M50" i="1"/>
  <c r="M102" i="1"/>
  <c r="M171" i="1"/>
  <c r="M104" i="1"/>
  <c r="M27" i="1"/>
  <c r="M65" i="1"/>
  <c r="M112" i="1"/>
  <c r="M25" i="1"/>
  <c r="M143" i="1"/>
  <c r="M60" i="1"/>
  <c r="M106" i="1"/>
  <c r="M80" i="1"/>
  <c r="M76" i="1"/>
  <c r="M172" i="1"/>
  <c r="M84" i="1"/>
  <c r="M139" i="1"/>
  <c r="M93" i="1"/>
  <c r="M78" i="1"/>
  <c r="M151" i="1"/>
  <c r="M141" i="1"/>
  <c r="M56" i="1"/>
  <c r="M126" i="1"/>
  <c r="M109" i="1"/>
  <c r="M159" i="1"/>
  <c r="M48" i="1"/>
  <c r="M16" i="1"/>
  <c r="M160" i="1"/>
  <c r="M147" i="1"/>
  <c r="M53" i="1"/>
  <c r="M31" i="1"/>
  <c r="M134" i="1"/>
  <c r="M40" i="1"/>
  <c r="M14" i="1"/>
  <c r="M146" i="1"/>
  <c r="M164" i="1"/>
  <c r="M29" i="1"/>
  <c r="M30" i="1"/>
  <c r="M155" i="1"/>
  <c r="M177" i="1"/>
  <c r="M189" i="1"/>
  <c r="T60" i="2" l="1"/>
  <c r="T62" i="2" s="1"/>
  <c r="W63" i="2"/>
  <c r="W65" i="2" s="1"/>
  <c r="W53" i="2"/>
  <c r="W88" i="2"/>
  <c r="T66" i="2"/>
  <c r="T68" i="2" s="1"/>
  <c r="T54" i="2"/>
  <c r="T56" i="2" s="1"/>
  <c r="I117" i="2"/>
  <c r="L115" i="2"/>
  <c r="T152" i="2"/>
  <c r="T154" i="2" s="1"/>
  <c r="Q154" i="2"/>
  <c r="V148" i="2"/>
  <c r="T147" i="2" s="1"/>
  <c r="E110" i="2"/>
  <c r="T110" i="2"/>
  <c r="D142" i="2"/>
  <c r="D105" i="2"/>
  <c r="N110" i="2"/>
  <c r="D90" i="2"/>
  <c r="D127" i="2"/>
  <c r="D139" i="2"/>
  <c r="D102" i="2"/>
  <c r="D108" i="2"/>
  <c r="D145" i="2"/>
  <c r="D99" i="2"/>
  <c r="D136" i="2"/>
  <c r="D130" i="2"/>
  <c r="D93" i="2"/>
  <c r="D96" i="2"/>
  <c r="D133" i="2"/>
  <c r="K147" i="2"/>
  <c r="K110" i="2"/>
  <c r="Q147" i="2"/>
  <c r="Q110" i="2"/>
  <c r="H147" i="2"/>
  <c r="E147" i="2"/>
  <c r="H110" i="2"/>
  <c r="N147" i="2"/>
  <c r="W69" i="2"/>
  <c r="H73" i="2"/>
  <c r="G41" i="2"/>
  <c r="E36" i="2"/>
  <c r="N59" i="2"/>
  <c r="V74" i="2"/>
  <c r="T57" i="2"/>
  <c r="T59" i="2" s="1"/>
  <c r="W20" i="2"/>
  <c r="W22" i="2" s="1"/>
  <c r="N22" i="2"/>
  <c r="T36" i="2"/>
  <c r="N73" i="2"/>
  <c r="K36" i="2"/>
  <c r="K73" i="2"/>
  <c r="Q73" i="2"/>
  <c r="H38" i="2"/>
  <c r="N36" i="2"/>
  <c r="W19" i="2"/>
  <c r="Q36" i="2"/>
  <c r="E73" i="2"/>
  <c r="D34" i="2"/>
  <c r="D71" i="2"/>
  <c r="D53" i="2"/>
  <c r="D16" i="2"/>
  <c r="D31" i="2"/>
  <c r="D68" i="2"/>
  <c r="D28" i="2"/>
  <c r="D65" i="2"/>
  <c r="D25" i="2"/>
  <c r="D62" i="2"/>
  <c r="D19" i="2"/>
  <c r="D56" i="2"/>
  <c r="D22" i="2"/>
  <c r="D59" i="2"/>
  <c r="M174" i="1"/>
  <c r="M195" i="1"/>
  <c r="H196" i="1"/>
  <c r="G196" i="1"/>
  <c r="F196" i="1"/>
  <c r="W60" i="2" l="1"/>
  <c r="W54" i="2"/>
  <c r="W56" i="2" s="1"/>
  <c r="W100" i="2"/>
  <c r="W137" i="2" s="1"/>
  <c r="W139" i="2" s="1"/>
  <c r="W90" i="2"/>
  <c r="W125" i="2"/>
  <c r="W127" i="2" s="1"/>
  <c r="W66" i="2"/>
  <c r="W68" i="2" s="1"/>
  <c r="L117" i="2"/>
  <c r="O115" i="2"/>
  <c r="W71" i="2"/>
  <c r="W106" i="2"/>
  <c r="W143" i="2" s="1"/>
  <c r="N149" i="2"/>
  <c r="E149" i="2"/>
  <c r="Q112" i="2"/>
  <c r="Q149" i="2"/>
  <c r="K149" i="2"/>
  <c r="T112" i="2"/>
  <c r="T149" i="2"/>
  <c r="H112" i="2"/>
  <c r="K112" i="2"/>
  <c r="D149" i="2"/>
  <c r="E112" i="2"/>
  <c r="N112" i="2"/>
  <c r="H149" i="2"/>
  <c r="D112" i="2"/>
  <c r="W36" i="2"/>
  <c r="D38" i="2"/>
  <c r="E75" i="2"/>
  <c r="N38" i="2"/>
  <c r="Q75" i="2"/>
  <c r="K38" i="2"/>
  <c r="T38" i="2"/>
  <c r="E40" i="2"/>
  <c r="E38" i="2"/>
  <c r="D75" i="2"/>
  <c r="T73" i="2"/>
  <c r="J41" i="2"/>
  <c r="G43" i="2"/>
  <c r="Q38" i="2"/>
  <c r="K75" i="2"/>
  <c r="N75" i="2"/>
  <c r="H75" i="2"/>
  <c r="W57" i="2"/>
  <c r="W94" i="2" s="1"/>
  <c r="W97" i="2" l="1"/>
  <c r="W62" i="2"/>
  <c r="W96" i="2"/>
  <c r="W131" i="2"/>
  <c r="W133" i="2" s="1"/>
  <c r="W91" i="2"/>
  <c r="W128" i="2" s="1"/>
  <c r="W130" i="2" s="1"/>
  <c r="W102" i="2"/>
  <c r="W103" i="2"/>
  <c r="W105" i="2" s="1"/>
  <c r="O117" i="2"/>
  <c r="R115" i="2"/>
  <c r="W108" i="2"/>
  <c r="W145" i="2"/>
  <c r="W38" i="2"/>
  <c r="E42" i="2"/>
  <c r="H40" i="2"/>
  <c r="T75" i="2"/>
  <c r="W59" i="2"/>
  <c r="W73" i="2"/>
  <c r="J43" i="2"/>
  <c r="M41" i="2"/>
  <c r="W99" i="2" l="1"/>
  <c r="W134" i="2"/>
  <c r="W136" i="2" s="1"/>
  <c r="W93" i="2"/>
  <c r="W140" i="2"/>
  <c r="W142" i="2" s="1"/>
  <c r="W110" i="2"/>
  <c r="R117" i="2"/>
  <c r="U115" i="2"/>
  <c r="W75" i="2"/>
  <c r="W112" i="2" s="1"/>
  <c r="W149" i="2" s="1"/>
  <c r="H42" i="2"/>
  <c r="K40" i="2"/>
  <c r="M43" i="2"/>
  <c r="P41" i="2"/>
  <c r="W147" i="2" l="1"/>
  <c r="U117" i="2"/>
  <c r="F152" i="2"/>
  <c r="P43" i="2"/>
  <c r="S41" i="2"/>
  <c r="K42" i="2"/>
  <c r="N40" i="2"/>
  <c r="F154" i="2" l="1"/>
  <c r="I152" i="2"/>
  <c r="N42" i="2"/>
  <c r="Q40" i="2"/>
  <c r="S43" i="2"/>
  <c r="V41" i="2"/>
  <c r="I154" i="2" l="1"/>
  <c r="L152" i="2"/>
  <c r="V43" i="2"/>
  <c r="G78" i="2"/>
  <c r="Q42" i="2"/>
  <c r="T40" i="2"/>
  <c r="L154" i="2" l="1"/>
  <c r="O152" i="2"/>
  <c r="T42" i="2"/>
  <c r="E77" i="2"/>
  <c r="E79" i="2" s="1"/>
  <c r="G80" i="2"/>
  <c r="J78" i="2"/>
  <c r="O154" i="2" l="1"/>
  <c r="R152" i="2"/>
  <c r="J80" i="2"/>
  <c r="M78" i="2"/>
  <c r="H77" i="2"/>
  <c r="H79" i="2" s="1"/>
  <c r="U152" i="2" l="1"/>
  <c r="U154" i="2" s="1"/>
  <c r="R154" i="2"/>
  <c r="K77" i="2"/>
  <c r="M80" i="2"/>
  <c r="P78" i="2"/>
  <c r="P80" i="2" l="1"/>
  <c r="S78" i="2"/>
  <c r="K79" i="2"/>
  <c r="N77" i="2"/>
  <c r="N79" i="2" l="1"/>
  <c r="Q77" i="2"/>
  <c r="S80" i="2"/>
  <c r="V78" i="2"/>
  <c r="V80" i="2" l="1"/>
  <c r="G115" i="2"/>
  <c r="Q79" i="2"/>
  <c r="T77" i="2"/>
  <c r="G117" i="2" l="1"/>
  <c r="J115" i="2"/>
  <c r="T79" i="2"/>
  <c r="E114" i="2"/>
  <c r="J117" i="2" l="1"/>
  <c r="M115" i="2"/>
  <c r="E116" i="2"/>
  <c r="H114" i="2"/>
  <c r="M117" i="2" l="1"/>
  <c r="P115" i="2"/>
  <c r="H116" i="2"/>
  <c r="K114" i="2"/>
  <c r="S115" i="2" l="1"/>
  <c r="P117" i="2"/>
  <c r="N114" i="2"/>
  <c r="K116" i="2"/>
  <c r="S117" i="2" l="1"/>
  <c r="V115" i="2"/>
  <c r="Q114" i="2"/>
  <c r="N116" i="2"/>
  <c r="V117" i="2" l="1"/>
  <c r="G152" i="2"/>
  <c r="T114" i="2"/>
  <c r="Q116" i="2"/>
  <c r="J152" i="2" l="1"/>
  <c r="G154" i="2"/>
  <c r="E151" i="2"/>
  <c r="T116" i="2"/>
  <c r="J154" i="2" l="1"/>
  <c r="M152" i="2"/>
  <c r="E153" i="2"/>
  <c r="H151" i="2"/>
  <c r="M154" i="2" l="1"/>
  <c r="P152" i="2"/>
  <c r="H153" i="2"/>
  <c r="K151" i="2"/>
  <c r="P154" i="2" l="1"/>
  <c r="S152" i="2"/>
  <c r="N151" i="2"/>
  <c r="K153" i="2"/>
  <c r="S154" i="2" l="1"/>
  <c r="V152" i="2"/>
  <c r="V154" i="2" s="1"/>
  <c r="Q151" i="2"/>
  <c r="N153" i="2"/>
  <c r="Q153" i="2" l="1"/>
  <c r="T151" i="2"/>
  <c r="T153" i="2" s="1"/>
  <c r="B84" i="2" l="1"/>
  <c r="B121" i="2" s="1"/>
</calcChain>
</file>

<file path=xl/sharedStrings.xml><?xml version="1.0" encoding="utf-8"?>
<sst xmlns="http://schemas.openxmlformats.org/spreadsheetml/2006/main" count="6747" uniqueCount="1233">
  <si>
    <t>Unidade</t>
  </si>
  <si>
    <t>%</t>
  </si>
  <si>
    <t>R$</t>
  </si>
  <si>
    <t>kg</t>
  </si>
  <si>
    <t>Grupo</t>
  </si>
  <si>
    <t>2.0</t>
  </si>
  <si>
    <t>SUB-TOTAL</t>
  </si>
  <si>
    <t>ITEM</t>
  </si>
  <si>
    <t>SERVIÇO</t>
  </si>
  <si>
    <t>UNID.</t>
  </si>
  <si>
    <t>QUANT.</t>
  </si>
  <si>
    <t>PREÇO</t>
  </si>
  <si>
    <t>MO</t>
  </si>
  <si>
    <t>Serviço</t>
  </si>
  <si>
    <t>Mat</t>
  </si>
  <si>
    <t>UNIT.(R$)</t>
  </si>
  <si>
    <t>TOTAL(R$)</t>
  </si>
  <si>
    <t>1.0</t>
  </si>
  <si>
    <t>CANTEIRO DE OBRAS</t>
  </si>
  <si>
    <t>MAT</t>
  </si>
  <si>
    <t>SERVIÇOS INICIAIS</t>
  </si>
  <si>
    <t>FECHAMENTOS, PROTEÇÕES E ALVENARIAS EM GERAL</t>
  </si>
  <si>
    <t>3.6</t>
  </si>
  <si>
    <t>3.7</t>
  </si>
  <si>
    <t>3.9</t>
  </si>
  <si>
    <t>3.2</t>
  </si>
  <si>
    <t>3.3</t>
  </si>
  <si>
    <t>3.5</t>
  </si>
  <si>
    <t>2.6</t>
  </si>
  <si>
    <t>2.9</t>
  </si>
  <si>
    <t>1.2</t>
  </si>
  <si>
    <t>6.0</t>
  </si>
  <si>
    <t>7.0</t>
  </si>
  <si>
    <t>2.2</t>
  </si>
  <si>
    <t>2.3</t>
  </si>
  <si>
    <t>2.4</t>
  </si>
  <si>
    <t>m</t>
  </si>
  <si>
    <t>3.1</t>
  </si>
  <si>
    <t>m2</t>
  </si>
  <si>
    <t>m3</t>
  </si>
  <si>
    <t>un</t>
  </si>
  <si>
    <t>6.1</t>
  </si>
  <si>
    <t>TOTAL GERAL</t>
  </si>
  <si>
    <t>A</t>
  </si>
  <si>
    <t>ADMINISTRAÇÃO CENTRAL</t>
  </si>
  <si>
    <t>B</t>
  </si>
  <si>
    <t>C</t>
  </si>
  <si>
    <t>D</t>
  </si>
  <si>
    <t>G</t>
  </si>
  <si>
    <t>GRUPO</t>
  </si>
  <si>
    <t>DESCRIÇÃO</t>
  </si>
  <si>
    <t>JORNADA</t>
  </si>
  <si>
    <t>NORMAL</t>
  </si>
  <si>
    <t>A retirada das partes trincadas e soltas do revestimento em reboco, para que a superfície possa receber nova pintura. A superfície deverá ser molhada, antes da execução do reboco. Os materiais da mescla deverão ser dosados a seco. Deverá ser executada a quantidade de mescla conforme as etapas de aplicação, a fim de se evitar o início de seu endurecimento antes de seu emprego. O excedente de argamassa, que não aderir à superfície, não poderá ser reutilizado. A argamassa deverá ser utilizada, no máximo, em duas horas após o primeiro contato da mistura com a água e desde que não apresente quaisquer vestígios de endurecimento.</t>
  </si>
  <si>
    <t>3.0</t>
  </si>
  <si>
    <t>5.0</t>
  </si>
  <si>
    <t>SERVIÇO MUNICPAL AUTONOMO DE ÁGUA E ESGOTO</t>
  </si>
  <si>
    <t>AUTARQUIA MUNICAPAL  - CNPJ nº 04.691.691/0001-78</t>
  </si>
  <si>
    <t>3.8</t>
  </si>
  <si>
    <t>COMPOSIÇÃO DAS TAXAS DE BDI</t>
  </si>
  <si>
    <t>Nº do Preço</t>
  </si>
  <si>
    <t>Especificação</t>
  </si>
  <si>
    <t>REGULAMENTAÇÃO COMPLEMENTAR À INTRODUÇÃO</t>
  </si>
  <si>
    <t>COMPREENDE:</t>
  </si>
  <si>
    <t>MEDIÇÃO:</t>
  </si>
  <si>
    <t>NOTA:</t>
  </si>
  <si>
    <t>Por unidade de ralo instalado (un).</t>
  </si>
  <si>
    <t>Montagem, manutenção e posterior desmontagem e remoção do cimbramento e ainda eventuais perdas de materiais e toda mão de obra necessária para a completa execução dos serviços, conforme especificação técnica.</t>
  </si>
  <si>
    <t>DESPESAS FINANCEIRAS</t>
  </si>
  <si>
    <t>LUCRO</t>
  </si>
  <si>
    <t>BDI</t>
  </si>
  <si>
    <t>REGULAMENTAÇÃO DE PREÇOS                                                                                           E CRITÉRIOS DE MEDIÇÃO</t>
  </si>
  <si>
    <t>Montagem e desmontagem de andaime tubular tipo torre para possibilitar a execução de revestimento e/ou pintura, inclusive eventuais recuperações de alvenaria, concretos, trincas, etc.  Inclui montagem, utilização pelo tempo que for necessário, desmontagem, transporte a qualquer distância e eventuais manutenções.</t>
  </si>
  <si>
    <t xml:space="preserve">Fornecimento de vidros na espessura, tipo, e formato recomendados. Deverão ser fornecidos cortados nas dimensões previstas, evitando-se sempre o corte na obra. As bordas dos cortes deverão ser esmerilhadas de forma a se apresentarem lisas, regulares e isentas de lascas.  A massa de vidraceiro será composta de gesso e óleo de linhaça e com a pigmentação da cor dos caixilhos. Os vidros serão assentados com massa dupla. Após a instalação e cura da massa, os vidros deverão ser totalmente limpos. O vidro deverá ser apoiado diretamente sobre elementos de sustentação; o repouso de placas no leito deverá ser somente sobre dois calços distanciados a um terço das extremidades das chapas; entre o vidro e a esquadria deverão ser previstas folgas de 3 mm a 5 mm para absorver a dilatação. Não será admitido o contato direto do elemento metálico com o vidro, devendo ser interposto calço especial. Em caixilhos, será obrigatório o uso de gaxetas ou baguetes para apoio dos vidros, facilitando os deslocamentos conseqüentes de dilatação. 
</t>
  </si>
  <si>
    <t>1.1</t>
  </si>
  <si>
    <t>3.3.1</t>
  </si>
  <si>
    <t>3.3.2</t>
  </si>
  <si>
    <t>3.3.4</t>
  </si>
  <si>
    <t>3.5.2</t>
  </si>
  <si>
    <t>2.1</t>
  </si>
  <si>
    <t>2.5</t>
  </si>
  <si>
    <t>2.7</t>
  </si>
  <si>
    <t>2.8</t>
  </si>
  <si>
    <t>2.10</t>
  </si>
  <si>
    <t>2.11</t>
  </si>
  <si>
    <t>3.1.1</t>
  </si>
  <si>
    <t>3.2.1</t>
  </si>
  <si>
    <t>3.2.2</t>
  </si>
  <si>
    <t>3.3.3</t>
  </si>
  <si>
    <t>3.2.3</t>
  </si>
  <si>
    <t>3.2.4</t>
  </si>
  <si>
    <t>3.2.5</t>
  </si>
  <si>
    <t>3.3.7</t>
  </si>
  <si>
    <t>3.4</t>
  </si>
  <si>
    <t>3.4.1</t>
  </si>
  <si>
    <t>3.4.2</t>
  </si>
  <si>
    <t>3.4.3</t>
  </si>
  <si>
    <t>3.4.4</t>
  </si>
  <si>
    <t>3.6.1</t>
  </si>
  <si>
    <t>3.6.2</t>
  </si>
  <si>
    <t>3.7.1</t>
  </si>
  <si>
    <t>3.8.1</t>
  </si>
  <si>
    <t>3.8.2</t>
  </si>
  <si>
    <t>3.8.3</t>
  </si>
  <si>
    <t>3.9.1</t>
  </si>
  <si>
    <t>3.9.2</t>
  </si>
  <si>
    <t>3.9.3</t>
  </si>
  <si>
    <t>3.10</t>
  </si>
  <si>
    <t>3.10.1</t>
  </si>
  <si>
    <t>3.10.2</t>
  </si>
  <si>
    <t>3.10.3</t>
  </si>
  <si>
    <t>3.11</t>
  </si>
  <si>
    <t>4.1</t>
  </si>
  <si>
    <t>5.1</t>
  </si>
  <si>
    <t>6.4</t>
  </si>
  <si>
    <t>6.6</t>
  </si>
  <si>
    <t>6.8</t>
  </si>
  <si>
    <t>6.9</t>
  </si>
  <si>
    <t>6.10</t>
  </si>
  <si>
    <t>6.11</t>
  </si>
  <si>
    <t>6.12</t>
  </si>
  <si>
    <t>6.13</t>
  </si>
  <si>
    <t>6.14</t>
  </si>
  <si>
    <t>6.15</t>
  </si>
  <si>
    <t>6.16</t>
  </si>
  <si>
    <t>4.0</t>
  </si>
  <si>
    <t>7.2</t>
  </si>
  <si>
    <t>7.3</t>
  </si>
  <si>
    <t>7.4</t>
  </si>
  <si>
    <t>7.5</t>
  </si>
  <si>
    <t>7.6</t>
  </si>
  <si>
    <t>7.7</t>
  </si>
  <si>
    <t>7.8</t>
  </si>
  <si>
    <t>7.9</t>
  </si>
  <si>
    <t>Fornecimento, preparo e aplicação das argamassas de revestimento, incluindo limpeza e preparo da superfície, regularização, acabamento e demais serviços necessários.</t>
  </si>
  <si>
    <t>3.2.7</t>
  </si>
  <si>
    <t>3.2.8</t>
  </si>
  <si>
    <t>3.2.6</t>
  </si>
  <si>
    <t>3.9.4</t>
  </si>
  <si>
    <t>3.3.5</t>
  </si>
  <si>
    <t>3.3.6</t>
  </si>
  <si>
    <t>3.5.1</t>
  </si>
  <si>
    <t>3.5.3</t>
  </si>
  <si>
    <t>As medições serão mensais e os pagamentos proporcionais à execução financeira da obra, vinculados ao cumprimento das condições mínimas de canteiro.</t>
  </si>
  <si>
    <t xml:space="preserve">Execução de Chapisco que deverá ser feito com argamassa de cimento e areia média no traço 1: 3 e espessura 5 mm. Para facilitar a aderência, as superfícies deverão ser umedecidas durante a execução dos serviços.
</t>
  </si>
  <si>
    <t>O piso interno e laje superior externa do Reservatório ou de outras unidades, conforme a necessidade do SeMAE, deverão ser regularizados com argamassa de cimento e areia traço 1:3, espessura 3 cm, com impermeabilizante e aditivo adesivo para ponte de aderência entre concreto novo e concreto velho. A aplicação deverá seguir as recomendações do Fabricante, principalmente no que diz respeito à dosagem do composto adesivo.</t>
  </si>
  <si>
    <t>Com o objetivo de evitar infiltrações causadas pela água das chuvas, eflorescências, manchas e o escurecimento de rejuntamentos, deverá ser executada, em locais indicados pela Fiscalização, pintura hidrofugante a base de silicone incolor em superfícies de concreto aparente, argamassa, tijolo aparente, pedras naturais e artificiais, bloco de concreto aparente, telhas cerâmicas e fibrocimento.</t>
  </si>
  <si>
    <t xml:space="preserve">Execução de sarjetas, inclusive preparo de caixa, obedecendo ao alinhamento, perfil, dimensões e juntas de dilatação determinados pela Secretaria Municipal de Obras. O concreto será de 18 MPa, desempenado e com declividade necessária ao escoamento das águas. Para melhorar as condições de suporte do solo, será executado lastro de brita. 
</t>
  </si>
  <si>
    <t>2.13</t>
  </si>
  <si>
    <t>2.14</t>
  </si>
  <si>
    <t>2.15</t>
  </si>
  <si>
    <t>3.5.4</t>
  </si>
  <si>
    <t>Execução de abrigo para proteção dos poços nas dimensões H = 1 m, L = 0,75 m, C = 2,50 m. O abrigo será em  malha ( 50 x 50 mm) soldada em aço CA 50 - 6,35 mm, com cantoneiras de 2" x 2" em chapa 1/8". O abrigo deverá ser fixado através de grapas numa broca manual de concreto diâmetro 25 cm, profundidade mínima 50 cm, sobre laje de proteção do poço.  O conjunto deverá ser pintado em tinta esmalte, sobre fundo anti-corrosivo, na cor Azul França. Deverá ser instalada trava de segurança "tipo ferrolho" com cadeado nas tampas articuladas.</t>
  </si>
  <si>
    <t>4.2</t>
  </si>
  <si>
    <t>3.4.5</t>
  </si>
  <si>
    <t>4.3</t>
  </si>
  <si>
    <t>3.2.9</t>
  </si>
  <si>
    <t>NOTAS:</t>
  </si>
  <si>
    <t>1) A carga manual será remunerada por item específico</t>
  </si>
  <si>
    <t xml:space="preserve">Fornecimento de aço CA-50/60 em barras e/ou telas, dobramento, transporte e colocação de armaduras de qualquer bitola e qualquer comprimento, incluindo serviços e materiais secundários como arame, espaçadores, perdas decorrentes de desbitolamento, cortes e pontas de traspasse para emendas. As armaduras destinadas às estruturas de concreto armado obedecerão às disposições observadas na NBR 6118:2014 e na NBR 14931:2004. </t>
  </si>
  <si>
    <t>L</t>
  </si>
  <si>
    <t>H</t>
  </si>
  <si>
    <t>MATERIAIS</t>
  </si>
  <si>
    <t xml:space="preserve">Reaterro com lançamento e espalhamento do material, procurando-se obter aproximadamente a espessura especificada para o tipo de equipamento; Regularização da camada de modo que a sua espessura seja 20% a 25% maior do que a altura final da camada, após a compactação; Homogeneização da camada pela remoção ou fragmentação de torrões secos, material conglomerado, blocos ou matacões de rocha alterada, etc.; Compactação, utilizando-se compactador a percussão tipo sapo mecânico, com o número de passadas suficientes para se obter o solo com os requisitos desejados, conforme o tipo de obra.
</t>
  </si>
  <si>
    <t>Estão inclusos no preço todos os custos diretos e indiretos, tais como: salário, ferramentas de trabalho, EPI (Equipamento de Proteção Individual).</t>
  </si>
  <si>
    <t>AC</t>
  </si>
  <si>
    <t>S</t>
  </si>
  <si>
    <t>SEGURO</t>
  </si>
  <si>
    <t>R</t>
  </si>
  <si>
    <t>RISCOS</t>
  </si>
  <si>
    <t>GARANTIAS</t>
  </si>
  <si>
    <t>DF</t>
  </si>
  <si>
    <t>TOTAL</t>
  </si>
  <si>
    <t>LEIS SOCIAIS HORISTA - JORNADA NORMAL</t>
  </si>
  <si>
    <t>AJUDANTE COM ENCARGOS COMPLEMENTARES</t>
  </si>
  <si>
    <t>AJUDANTE ESPECIALIZADO COM ENCARGOS COMPLEMENTARES</t>
  </si>
  <si>
    <t>AJUDANTE DE CARPINTEIRO COM ENCARGOS COMPLEMENTARES</t>
  </si>
  <si>
    <t>ARMADOR COM ENCARGOS COMPLEMENTARES</t>
  </si>
  <si>
    <t>AZULEJISTA COM ENCARGOS COMPLEMENTARES</t>
  </si>
  <si>
    <t>CARPINTEIRO COM ENCARGOS COMPLEMENTARES</t>
  </si>
  <si>
    <t>ENCANADOR COM ENCARGOS COMPLEMENTARES</t>
  </si>
  <si>
    <t>ENCARREGADO GERAL COM ENCARGOS COMPLEMENTARES</t>
  </si>
  <si>
    <t>ELETRICISTA COM ENCARGOS COMPLEMENTARES</t>
  </si>
  <si>
    <t>ENGENHEIRO CIVIL DE OBRA JUNIOR COM ENCARGOS COMPLEMENTARES</t>
  </si>
  <si>
    <t>IMPERMEABILIZADOR COM ENCARGOS COMPLEMENTARES</t>
  </si>
  <si>
    <t>PEDREIRO COM ENCARGOS COMPLEMENTARES</t>
  </si>
  <si>
    <t>PINTOR COM ENCARGOS COMPLEMENTARES</t>
  </si>
  <si>
    <t>PINTOR DE LETRAS COM ENCARGOS COMPLEMENTARES</t>
  </si>
  <si>
    <t>SERRALHEIRO COM ENCARGOS COMPLEMENTARES</t>
  </si>
  <si>
    <t>SERVENTE COM ENCARGOS COMPLEMENTARES</t>
  </si>
  <si>
    <t>SOLDADOR COM ENCARGOS COMPLEMENTARES</t>
  </si>
  <si>
    <t>VIDRACEIRO COM ENCARGOS COMPLEMENTARES</t>
  </si>
  <si>
    <t>TELHADISTA COM ENCARGOS COMPLEMENTARES</t>
  </si>
  <si>
    <t>LOC/MÊS</t>
  </si>
  <si>
    <t>CHI</t>
  </si>
  <si>
    <t>CHP</t>
  </si>
  <si>
    <t>M</t>
  </si>
  <si>
    <t>M2</t>
  </si>
  <si>
    <t>UN</t>
  </si>
  <si>
    <t>GUINCHO ELÉTRICO DE COLUNA, CAPACIDADE 400 KG, COM MOTO FREIO, MOTOR TRIFÁSICO DE 1,25 CV - CHP</t>
  </si>
  <si>
    <t>GUINCHO ELÉTRICO DE COLUNA, CAPACIDADE 400 KG, COM MOTO FREIO, MOTOR TRIFÁSICO DE 1,25 CV - CHI</t>
  </si>
  <si>
    <t>AÇO CA-50 (MÉDIA DAS BITOLAS)</t>
  </si>
  <si>
    <t>ADESIVO PARA TUBO EM PVC - FRASCO 850 GR.</t>
  </si>
  <si>
    <t>ADITIVO ADESIVO LIQUIDO PARA ARGAMASSAS DE REVESTIMENTOS CIMENTICIOS</t>
  </si>
  <si>
    <t>ARAME FARPADO GALVANIZADO 16 BWG, CLASSE 250</t>
  </si>
  <si>
    <t>ARAME GALVANIZADO 14 BWG (0,026 KG/M)</t>
  </si>
  <si>
    <t>ARAME GALVANIZADO 10 BWG (0,0713 KG/M)</t>
  </si>
  <si>
    <t>ARAME RECOZIDO 18 BWG - 1,25MM - 9,60 G/M</t>
  </si>
  <si>
    <t>ARGAMASSA COLANTE TIPO AC III</t>
  </si>
  <si>
    <t>CALHA PARA AGUA FURTADA DE CHAPA DE ACO GALVANIZADA NUM 26, CORTE 50 CM</t>
  </si>
  <si>
    <t>CANTONEIRA DE AÇO ABAS IGUAIS (QUALQUER BITOLA), ESPESSURA ENTRE 1/8" E 1/4"</t>
  </si>
  <si>
    <t>CHAPA DE AÇO - MÉDIA DAS BITOLAS</t>
  </si>
  <si>
    <t>CHAPA DE ACO GALVANIZADA BITOLA GSG 16, E = 1,55 MM (12,40 KG/M2)</t>
  </si>
  <si>
    <t>REJUNTE EPOXI BRANCO</t>
  </si>
  <si>
    <t>CIMENTO PORTLAND CP II-E-32</t>
  </si>
  <si>
    <t>CONCRETO USINADO FCK = 20,0 MPA</t>
  </si>
  <si>
    <t>ESTANHO PARA SOLDA</t>
  </si>
  <si>
    <t>FUNDO ANTICORROSIVO PARA METAIS FERROSOS (ZARCAO)</t>
  </si>
  <si>
    <t>JOELHO, PVC SERIE R, 90 GRAUS, DN 100 MM, PARA ESGOTO PREDIAL</t>
  </si>
  <si>
    <t>MEIO-FIO OU GUIA DE CONCRETO PRÉ-MOLDADA, COMPRIMENTO DE 1,0 M - 30 X 15 X 12 CM</t>
  </si>
  <si>
    <t>LAJE PRE-MOLDADA (LAJOTAS+VIGOTAS), UNIDIRECIONAL, SOBRECARGA 100 KG/M2, VAO ATE 4,0 M</t>
  </si>
  <si>
    <t>LIXA D'AGUA EM FOLHA, GRAO 100</t>
  </si>
  <si>
    <t>MATERIAL</t>
  </si>
  <si>
    <t>LUVA SIMPLES, PVC SERIE REFORCADA - R, 100 MM, PARA ESGOTO PREDIAL</t>
  </si>
  <si>
    <t>MASSA PARA VIDRO COMUM</t>
  </si>
  <si>
    <t>MOURÃO DE CONCRETO CURVO, 10X10CM, *H = 2,50* M + CURVA COM 0,40* M</t>
  </si>
  <si>
    <t>TRATAMENTO FLEXÍVEL C/INJEÇÃO DE SELANTE À BASE DE POLIURETANO HIDROATIVADO E GEL</t>
  </si>
  <si>
    <t>PORCA 1/2"</t>
  </si>
  <si>
    <t>PREGO EM AÇO POLIDO COM CABEÇA (MEDIA DAS BITOLAS)</t>
  </si>
  <si>
    <t>RALO SECO DE PVC COM GRELHA QUADRADA DE PVC (50MM / 40MM / 100MM)</t>
  </si>
  <si>
    <t>REBITE DE ALUMINIO VAZADO DE REPUXO, 3,2 X 8 MM (1KG = 1025 UNIDADES)</t>
  </si>
  <si>
    <t>RUFO EXTERNO/INTERNO DE CHAPA DE ACO GALVANIZADA NUM 26</t>
  </si>
  <si>
    <t xml:space="preserve">SARRAFO 3A. CONSTRUÇÃO (SEÇÃO TRANSVERSAL: 1X4" - 2,5CM X 10,0CM) </t>
  </si>
  <si>
    <t>SELADOR ACRÍLICO</t>
  </si>
  <si>
    <t>SELANTE ELASTICO MONOCOMPONENTE A BASE DE POLIURETANO PARA JUNTAS DIVERSAS</t>
  </si>
  <si>
    <t>SOLUCAO LIMPADORA PARA PVC, FRASCO COM 1000 CM3</t>
  </si>
  <si>
    <t>TÁBUA MADEIRA 3A QUALIDADE 2,5 X 30CM (1X12") NÃO APARELHADA</t>
  </si>
  <si>
    <t>TELA ARAME GALVANIZADO FIO 12 BWG (2,77MM) MALHA 5 X 5CM, H=2M</t>
  </si>
  <si>
    <t>TELHA DE FIBROCIMENTO ONDULADA E = 6 MM, DE 2,44 X 1,10 M (SEM AMIANTO)</t>
  </si>
  <si>
    <t>TIJOLO CERÂMICO MACIÇO 5,7 X 9 X 19 (190MM / 90MM / 57MM)</t>
  </si>
  <si>
    <t>TINTA ACRILICA PREMIUM PARA PISO  NA COR GRAFITE</t>
  </si>
  <si>
    <t>TINTA EPOXI PREMIUM, BRANCA</t>
  </si>
  <si>
    <t>TINTA A BASE DE RESINA ACRILICA, PARA SINALIZACAO HORIZONTAL VIARIA (NBR 11862)</t>
  </si>
  <si>
    <t>TRAVA DE SEGURANÇA TIPO FERROLHO</t>
  </si>
  <si>
    <t>VEDAÇÃO ELÁSTICA - CONJUNTO DE ARRUELAS DE AÇO E PVC</t>
  </si>
  <si>
    <t>IMPERMEABILIZANTE INCOLOR DE BASE SILICONE</t>
  </si>
  <si>
    <t>VIDRO LISO INCOLOR 3MM</t>
  </si>
  <si>
    <t>VIDRO MARTELADO OU CANELADO, 4 MM</t>
  </si>
  <si>
    <t>VIGA DE MADEIRA NAO APARELHADA 6 X 12 CM, MACARANDUBA, ANGELIM OU EQUIVALENTE DA REGIAO</t>
  </si>
  <si>
    <t>BUCHA DE NYLON S10 E PARAFUSO 6,10X65MM ACO ZINCADO ROSCA SOBERBA, CAB. CHATA FENDA PHILLIPS</t>
  </si>
  <si>
    <t>GUARNICAO/MOLDURA DE ACABAMENTO PARA ESQUADRIA DE ALUMINIO ANODIZADO NATURAL, 1 FACE</t>
  </si>
  <si>
    <t>PARAFUSO ZINCADO ROSCA SOBERBA, CABECA SEXTAVADA, 5/16 " X 250 MM - FIXACAO DE TELHA EM MADEIRA</t>
  </si>
  <si>
    <t>PORTA ALUMÍNIO TIPO VENEZIANA, 1 FOLHA, ACABAMENTO EM PINTURA ELETROSTÁTICA BRANCA, 60 MICRAS</t>
  </si>
  <si>
    <t>PORTA DE ABRIR EM ACO VENEZIANA, COM FUNDO ANTICORROSIVO,  SEM GUARNICAO - 87 X 210 CM</t>
  </si>
  <si>
    <t>KG</t>
  </si>
  <si>
    <t>M3</t>
  </si>
  <si>
    <t>CJ</t>
  </si>
  <si>
    <t>310 ML</t>
  </si>
  <si>
    <t>SOMA</t>
  </si>
  <si>
    <t>TOTAL MATERIAIS</t>
  </si>
  <si>
    <t>TOTAL EQUIPAMENTOS E SERVIÇOS TERCEIRIZADOS</t>
  </si>
  <si>
    <t>LEIS SOCIAIS</t>
  </si>
  <si>
    <t>TOTAL MÃO DE OBRA</t>
  </si>
  <si>
    <t>COEF</t>
  </si>
  <si>
    <t>UNID</t>
  </si>
  <si>
    <t>CUSTO UNIT (R$)</t>
  </si>
  <si>
    <t>TOTAL (R$)</t>
  </si>
  <si>
    <t>EQUIPAMENTOS E SERVIÇOS TERCEIRIZADOS</t>
  </si>
  <si>
    <t>MÃO DE OBRA</t>
  </si>
  <si>
    <t>UNIDADE:</t>
  </si>
  <si>
    <t>1.3</t>
  </si>
  <si>
    <t>1.4</t>
  </si>
  <si>
    <t>1.5</t>
  </si>
  <si>
    <t>1.6</t>
  </si>
  <si>
    <t>1.7</t>
  </si>
  <si>
    <t>1.8</t>
  </si>
  <si>
    <t>1.9</t>
  </si>
  <si>
    <t>1.10</t>
  </si>
  <si>
    <t>1.11</t>
  </si>
  <si>
    <t>1.14</t>
  </si>
  <si>
    <t>1.15</t>
  </si>
  <si>
    <t>1.16</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</si>
  <si>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</si>
  <si>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</si>
  <si>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</si>
  <si>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</si>
  <si>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</si>
  <si>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</si>
  <si>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</si>
  <si>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</si>
  <si>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</si>
  <si>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</si>
  <si>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</si>
  <si>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</si>
  <si>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</si>
  <si>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</si>
  <si>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</si>
  <si>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</si>
  <si>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</si>
  <si>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</si>
  <si>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</si>
  <si>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</si>
  <si>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</si>
  <si>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</si>
  <si>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</si>
  <si>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</si>
  <si>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</si>
  <si>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</si>
  <si>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</si>
  <si>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</si>
  <si>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</si>
  <si>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</si>
  <si>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</si>
  <si>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</si>
  <si>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</si>
  <si>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</si>
  <si>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</si>
  <si>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</si>
  <si>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</si>
  <si>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</si>
  <si>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</si>
  <si>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</si>
  <si>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</si>
  <si>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</si>
  <si>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</si>
  <si>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</si>
  <si>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</si>
  <si>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</si>
  <si>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</si>
  <si>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</si>
  <si>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</si>
  <si>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</si>
  <si>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</si>
  <si>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</si>
  <si>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</si>
  <si>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</si>
  <si>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</si>
  <si>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</si>
  <si>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</si>
  <si>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</si>
  <si>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</si>
  <si>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</si>
  <si>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</si>
  <si>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</si>
  <si>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</si>
  <si>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</si>
  <si>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</si>
  <si>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</si>
  <si>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</si>
  <si>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</si>
  <si>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</si>
  <si>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</si>
  <si>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</si>
  <si>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</si>
  <si>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</si>
  <si>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</si>
  <si>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</si>
  <si>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</si>
  <si>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</si>
  <si>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</si>
  <si>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</si>
  <si>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</si>
  <si>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</si>
  <si>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</si>
  <si>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</si>
  <si>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</si>
  <si>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</si>
  <si>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</si>
  <si>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</si>
  <si>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</si>
  <si>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</si>
  <si>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</si>
  <si>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</si>
  <si>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</si>
  <si>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</si>
  <si>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</si>
  <si>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</si>
  <si>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</si>
  <si>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</si>
  <si>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</si>
  <si>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</si>
  <si>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</si>
  <si>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2.17</t>
  </si>
  <si>
    <t>2.18</t>
  </si>
  <si>
    <t>2.19</t>
  </si>
  <si>
    <t>2.20</t>
  </si>
  <si>
    <t>2.21</t>
  </si>
  <si>
    <t>2.22</t>
  </si>
  <si>
    <t>2.23</t>
  </si>
  <si>
    <t>2.24</t>
  </si>
  <si>
    <t>2.25</t>
  </si>
  <si>
    <t>2.26</t>
  </si>
  <si>
    <t>2.27</t>
  </si>
  <si>
    <t>2.28</t>
  </si>
  <si>
    <t>3.12</t>
  </si>
  <si>
    <t>3.13</t>
  </si>
  <si>
    <t>3.14</t>
  </si>
  <si>
    <t>3.15</t>
  </si>
  <si>
    <t>3.16</t>
  </si>
  <si>
    <t>3.17</t>
  </si>
  <si>
    <t>3.18</t>
  </si>
  <si>
    <t>3.19</t>
  </si>
  <si>
    <t>3.20</t>
  </si>
  <si>
    <t>EQUIPAMENTOS / SERVIÇOS</t>
  </si>
  <si>
    <t>TINTA LÁTEX ACRÍLICA - 1ª LINHA</t>
  </si>
  <si>
    <t>DIÂMETRO</t>
  </si>
  <si>
    <t>COEFICIENTE</t>
  </si>
  <si>
    <t>Até 2"</t>
  </si>
  <si>
    <t>De 2"a 3"</t>
  </si>
  <si>
    <t>De 3"a 4"</t>
  </si>
  <si>
    <t>De 4"a 5"</t>
  </si>
  <si>
    <t>De 5"a 6"</t>
  </si>
  <si>
    <t>De 6"a 7"</t>
  </si>
  <si>
    <t>De 7"a 8"</t>
  </si>
  <si>
    <t>de 8" a 9"</t>
  </si>
  <si>
    <t>de 9"a 10"</t>
  </si>
  <si>
    <t>de 10"a 11"</t>
  </si>
  <si>
    <t>de 11"a 12"</t>
  </si>
  <si>
    <t>de 12"a 13"</t>
  </si>
  <si>
    <t>Pintura dos logotipos “SeMAE” e da prefeitura de São José do Rio Preto nas faces em tamanho proporcional ao diâmetro do reservatório, conforme padrões SeMAE e da prefeitura municipal já existentes e fornecidos pela Fiscalização.</t>
  </si>
  <si>
    <t>VEÍCULO LEVE 4 PORTAS - 65 A 80 CV</t>
  </si>
  <si>
    <t>VEÍCULO LEVE 4 PORTAS - 65 A 80 CV - À DISPOSIÇÃO</t>
  </si>
  <si>
    <t>FORMA DE PREENCHIMENTO DAS PLANILHAS ELETRÔNICAS</t>
  </si>
  <si>
    <t>7)  ESTE ARQUIVO ELETRÔNICO DEVE SER APRESENTADO EM CD A SER INCLUSO NO ENVELOPE Nº 02 COM A FINALIDADE DE FACILITAR A ANÁLISE DA REFERIDA PROPOSTA  POR PARTE DA COMISSÃO.</t>
  </si>
  <si>
    <r>
      <rPr>
        <b/>
        <sz val="10"/>
        <rFont val="Arial"/>
        <family val="1"/>
      </rPr>
      <t xml:space="preserve">1) </t>
    </r>
    <r>
      <rPr>
        <sz val="10"/>
        <rFont val="Arial"/>
        <family val="1"/>
      </rPr>
      <t>O presente arquivo eletrônico é composto pelas seguintes planilhas:</t>
    </r>
  </si>
  <si>
    <r>
      <rPr>
        <b/>
        <sz val="10"/>
        <rFont val="Arial"/>
        <family val="1"/>
      </rPr>
      <t>2)</t>
    </r>
    <r>
      <rPr>
        <sz val="10"/>
        <rFont val="Arial"/>
        <family val="1"/>
      </rPr>
      <t xml:space="preserve"> A Licitante deverá preencher todos os campos em amarelo com o valor proposto, nas seguintes planilhas:</t>
    </r>
  </si>
  <si>
    <r>
      <rPr>
        <b/>
        <sz val="10"/>
        <rFont val="Arial"/>
        <family val="1"/>
      </rPr>
      <t>3)</t>
    </r>
    <r>
      <rPr>
        <sz val="10"/>
        <rFont val="Arial"/>
        <family val="1"/>
      </rPr>
      <t xml:space="preserve"> A melhor sequência para preenchimento das planilhas é a seguinte:</t>
    </r>
  </si>
  <si>
    <r>
      <rPr>
        <b/>
        <sz val="10"/>
        <rFont val="Arial"/>
        <family val="1"/>
      </rPr>
      <t xml:space="preserve">6) </t>
    </r>
    <r>
      <rPr>
        <sz val="10"/>
        <rFont val="Arial"/>
        <family val="1"/>
      </rPr>
      <t>Dúvidas no preenchimento desta Planilha Eletrônica deverão ser encaminhadas à Comissão de Licitações do SeMAE, conforme previsto na página 1 do Edital.</t>
    </r>
  </si>
  <si>
    <t>ADITIVO HIDROFUGO IMPERMEABILIZANTE DE PEGA NORMAL PARA CONCRETO E ARGAMASSA</t>
  </si>
  <si>
    <t>SOLVENTE DILUENTE A BASE DE AGUARRÁS</t>
  </si>
  <si>
    <t>AREIA MÉDIA LAVADA</t>
  </si>
  <si>
    <t>BLOCO DE CONCRETO PARA VEDAÇÃO - 9 X 19 X 39 CM - CLASSE D - M-10</t>
  </si>
  <si>
    <t>CANTONEIRA DE AÇO GALVANIZADO COM ABAS IGUAIS DE 1" X 1/8" - 25,4 X 3,17 MM - (L x E) - 1,20 KG/M</t>
  </si>
  <si>
    <t>CERÂMICA ESMALTADA EXTRA OU 1ª QUALIDADE PARA PISO, PEI-5</t>
  </si>
  <si>
    <t>DESMOLDANTE PARA FÔRMAS - BASE DE ÓLEO MINERAL EMULSIONADO</t>
  </si>
  <si>
    <t>ELEMENTO VAZADO DE CONCRETO (COBOGÓ) - 33 X 33 X 9 CM - 16 FUROS</t>
  </si>
  <si>
    <t>ELETRODO REVESTIDO AWS - E7018, DIAMETRO IGUAL A 4,00 MM</t>
  </si>
  <si>
    <t>FERRO REDONDO (1/2") - CA-50</t>
  </si>
  <si>
    <t>ii) As disposições sobre o sanitário químico devem seguir o Anexo I - Memorial Descritivo.</t>
  </si>
  <si>
    <t>Por metro quadrado da placa pronta e instalada (m2).</t>
  </si>
  <si>
    <t>Será medido por área real de pavimento ou piso demolido, medida no projeto, ou conforme levantamento cadastral, ou aferida antes da demolição (m2).</t>
  </si>
  <si>
    <t xml:space="preserve">O item remunera o fornecimento da mão de obra necessária e o ferramental apropriado para a execução dos serviços: desmonte manual de guia pré-moldada, inclusive o apoio em concreto; a seleção e separação do material, a limpeza e a acomodação manual das peças em lotes, para o reaproveitamento, ou remoção. </t>
  </si>
  <si>
    <t>Pela extensão, em metro linear executada (m).</t>
  </si>
  <si>
    <t xml:space="preserve">O item remunera o fornecimento da mão de obra necessária e dos equipamentos adequados para a execução dos serviços de: desmonte, demolição e fragmentação de pavimento ou piso em concreto, inclusive sub-bases, ou lastros, com rompedor pneumático (martelete); a seleção e acomodação manual do entulho em lotes. </t>
  </si>
  <si>
    <t>Pela área demolida, medida no projeto, ou conforme levantamento cadastral, ou aferido antes da demolição, em metro quadrado (m2).</t>
  </si>
  <si>
    <t>O item remunera o fornecimento da mão de obra necessária e dos equipamentos adequados para a execução dos serviços de demolição de sarjetas, incluindo o lastro ou sub-base e disposição provisória manual do entulho em lotes para posterior destino final.</t>
  </si>
  <si>
    <t>O item remunera o fornecimento da mão de obra necessária para a retirada completa de portas, janelas, portões e esquadrias metálicas, em geral. Remunera também a seleção e a guarda das peças reaproveitáveis. Caso necessário, andaimes até 3 metros de altura de pé direito estão inclusos.</t>
  </si>
  <si>
    <t>Pela área retirada, em metro quadrado (m2).</t>
  </si>
  <si>
    <t xml:space="preserve">un </t>
  </si>
  <si>
    <t>Pela extensão de cercamento removido, em metros (m).</t>
  </si>
  <si>
    <t>Pelo comprimento efetivo dos elementos removidos, em metro (m).</t>
  </si>
  <si>
    <t>O item remunera a mão de obra  e ferramentas para  remoção completa de cerca de alambrado, inclusive muretas, mourões, telas, arames farpados e seus respectivos blocos de fixação.</t>
  </si>
  <si>
    <t>O item remunera a mão de obra e ferramentas manuais para remoção de calhas, rufos, pingadeiras e/ou condutores verticais e todos os acessórios existentes. Remunera também andaimes necessários até 3 metros de altura de pé direito.</t>
  </si>
  <si>
    <t xml:space="preserve">O item remunera o fornecimento de equipamentos e a mão de obra necessária para a execução dos  serviços de carga  mecanizada dos materiais provenientes das demolições em geral.  </t>
  </si>
  <si>
    <t xml:space="preserve">Pelo volume de entulho retirado, aferido no caminhão (m3). </t>
  </si>
  <si>
    <t xml:space="preserve">O item remunera o fornecimento de equipamentos e a mão de obra necessária para a execução dos  serviços de carga manual de materiais provenientes de demolições em geral.  </t>
  </si>
  <si>
    <t>Pelo volume medido a cada quiilômetro percorrido (m3 x km).</t>
  </si>
  <si>
    <t>Pelo volume, em metro cúbico, medido de entulho produzido (m3). Em situações de geração de entulho de pequena monta, o volume  poderá ser considerado e dimensionado através da capacidade da carriola utilizada na carga, como padrão cheia: 0,0075 m3/unid.</t>
  </si>
  <si>
    <t>Pela extensão executada, em metro (m).</t>
  </si>
  <si>
    <t>Por unidade executada (un).</t>
  </si>
  <si>
    <t>O item remunera o fornecimento de toda mão de obra, materiais, equipamentos e materiais acessórios necessários para a instalação de concertina dupla clipada, em aço galvanizado de alta resistência, espiral de 300mm.</t>
  </si>
  <si>
    <t>Por metro linear executado (m).</t>
  </si>
  <si>
    <t>Pela área de portão instalado, em metro quadrado (m2).</t>
  </si>
  <si>
    <t>3.2.10</t>
  </si>
  <si>
    <t>PINTURA DE SINALIZAÇÃO HORIZONTAL COM TINTA RETRORREFLETIVA A BASE DE RESINA ACRÍLICA COM MICROESFERAS DE VIDRO</t>
  </si>
  <si>
    <t>Pela área efetivamente limpa, medida no local em metro quadrado (m2).</t>
  </si>
  <si>
    <t>HIDROJATEAMENTO DE ALTA PRESSÃO C/ÁGUA QUENTE OU FRIA E SOLUÇÃO LIMPADORA ATÉ DE 17 MPA</t>
  </si>
  <si>
    <t>O item remunera o fornecimento de mão de obra especializada, materiais e equipamentos e materiais acessórios para limpeza completa da superfície de concreto através de hidrojateamento em alta pressão com solução limpadora. O equipamento utilizado para hidrojateamento deve ter pressão de até 17MPa. A pressão de hidrojateamento deverá atingir, no mínimo, 50 bar (05 MPa) e ser composto por sistema de pistolas com acionamento através de válvula de pé.</t>
  </si>
  <si>
    <t>LIXA PARA SUPERFICIE METÁLICA, GRANA 150</t>
  </si>
  <si>
    <t>LIXA PARA SUPERFÍCIE/MASSA, GRANA 120</t>
  </si>
  <si>
    <t>MASSA CORRIDA PVA PARA PAREDES INTERNAS</t>
  </si>
  <si>
    <t>coeficientes SINAPI</t>
  </si>
  <si>
    <t xml:space="preserve">FUNDO PREPARADOR </t>
  </si>
  <si>
    <t>Pela área de superfície pintada, em metro quadrado (m2).</t>
  </si>
  <si>
    <t>MÁQUINA DEMARCADORA DE FAIXA DE TRÁFEGO À FRIO, AUTOPROPELIDA, POTÊNCIA 38 HP</t>
  </si>
  <si>
    <t>2.30</t>
  </si>
  <si>
    <t>MICROESFERAS DE VIDRO PARA SINALIZACAO HORIZONTAL VIARIA, TIPO I-B (PREMIX) - NBR 16184</t>
  </si>
  <si>
    <t>O item remunera o fornecimento de materiais, mão de obra e equipamentos necessários para a execução dos serviços de demarcação de pavimento com tinta a base de resinas acrílicas, refletorizada com microesferas de vidro.</t>
  </si>
  <si>
    <t>Pela área de pintura executada (m2).</t>
  </si>
  <si>
    <t xml:space="preserve">UN </t>
  </si>
  <si>
    <t>BALANCIM LEVE TRADICIONAL - PLATAFORMA 3,00 M COM GUINCHO MANUAL, NR 18 (LOCAÇÃO MENSAL + TRANSPORTE)</t>
  </si>
  <si>
    <t>Será medido por área de superfície preparada e pintada (m2):</t>
  </si>
  <si>
    <t>FUNDO PREPARADOR BASE ÁGUA PARA MADEIRA E METAIS</t>
  </si>
  <si>
    <t>O item remunera o fornecimento de materiais, equipamentos, materiais acessórios e mão de obra necessários para a execução dos seguintes serviços: Lixamento da superfície a ser pintada com remoção de produtos oleosos e ferrugem; aplicação de fundo preparador; pintura com acabamento final em duas demãos. Entre uma demão e outra a peça deverá ser lixada, com remoção do pó.</t>
  </si>
  <si>
    <t>Pela área da superfície pintada, em metro quadrado (m2).</t>
  </si>
  <si>
    <t>O item remunera toda mão de obra, materiais, materiais acessórios e equipamentos necessários para execução da pintura hidrofugante a base de silicone.</t>
  </si>
  <si>
    <t>CAL HIDRATADA CH III - NBR 7175</t>
  </si>
  <si>
    <t>PARAFUSO DE ACO TIPO CHUMBADOR PARABOLT, DIAMETRO 1/2", COMPRIMENTO 75 MM</t>
  </si>
  <si>
    <t>PONTALETE DE MADEIRA NAO APARELHADA - 7,5 X 7,5 CM (3 X 3 ")</t>
  </si>
  <si>
    <t>O item remunera o fornecimento de tinta acrílica, a base de resinas acrílicas, com alta resistência à abrasão, acabamento microtexturizado, lavável, resistente a água, alcalinidade, maresia e intempéries; conforme norma NBR 11702. Remunera também o fornecimento de materiais acessórios e a mão de obra necessária para a execução dos serviços de: limpeza da superfície, conforme recomendações do fabricante; aplicação da tinta acrílica, uma demão como primer, com a tinta diluída em 40% de água, duas demãos de acabamento, com a tinta diluída em 20% de água, conforme especificações do fabricante.</t>
  </si>
  <si>
    <t>Pela área de superfície de piso pintado, descontando toda e qualquer interferência, em metro quadrado (m2).</t>
  </si>
  <si>
    <t>Pelo comprimento linear da superfície pintada (m).</t>
  </si>
  <si>
    <t>RALO SECO DE PVC RÍGIDO, 100 X 40 MM</t>
  </si>
  <si>
    <t>GRELHA METÁLICA DE 100 X 100 MM, PARA CAIXA SIFONADA OU RALO</t>
  </si>
  <si>
    <t>1.97</t>
  </si>
  <si>
    <t>4.4</t>
  </si>
  <si>
    <t xml:space="preserve">O item remunera o fornecimento e instalação de ralo seco em PVC rígido, de 100 x 100 mm, altura de 50mm, com grelha quadrada de PVC branco, inclusive mão de obra e materiais acessórios. </t>
  </si>
  <si>
    <t xml:space="preserve">O item remunera o fornecimento e instalação de ralo seco em PVC rígido, de 100 x 100 mm, altura de 50mm, com grelha metálica, inclusive mão de obra e materiais acessórios. </t>
  </si>
  <si>
    <t>4.5</t>
  </si>
  <si>
    <t>REGISTRO PVC DE ESFERA SOLDÁVEL, COM VOLANTE, Ø 40 MM</t>
  </si>
  <si>
    <t>Por unidade instalada (un).</t>
  </si>
  <si>
    <t>Pela extensão efetiva substituída (m).</t>
  </si>
  <si>
    <t>Normas técnicas: NBR-5688, NBR-8160.</t>
  </si>
  <si>
    <t>CIMENTO IMPERMEABILIZANTE DE PEGA ULTRARRAPIDA PARA TAMPONAMENTOS</t>
  </si>
  <si>
    <t>1.12</t>
  </si>
  <si>
    <t>1.13</t>
  </si>
  <si>
    <t>IMPERMEABILIZANTE FLEXIVEL BRANCO DE BASE ACRILICA</t>
  </si>
  <si>
    <t>Mapeamento e a inspeção em toda a superestrutura para verificação do estado de corrosão da armadura e de desagregação do concreto, bem como a identificação das fissuras e determinação dos pontos ou regiões necessárias à execução do tratamento. Identificação e mapeamento em estruturas de concreto, fornecimento e aplicação de mástique para o tratamento e preenchimento das fissuras. O item remunera o fornecimento de toda mão de obra, material, equipamentos e materiais acessórios necessários para realização do serviço.</t>
  </si>
  <si>
    <t>Por metro linear de trinca tratada (m).</t>
  </si>
  <si>
    <t>O item remunera o fornecimento de impermeabilização flexível para moldagem no local, à base de polímeros acrílicos, compreendendo:</t>
  </si>
  <si>
    <t>a) Membrana à base de polímeros acrílicos dispersos em meio aquoso, com as características técnicas: coloração branca, resistente às intempéries, a ozona, aos raios ultravioletas, a névoa salina e a ácidos.</t>
  </si>
  <si>
    <t>Não remunera o fornecimento e instalação de reforço têxtil sintético, quando necessário.</t>
  </si>
  <si>
    <t>Por área efetivamente impermeabilizada (m2)</t>
  </si>
  <si>
    <t>b) Materiais acessórios e a mão-de-obra necessária para a execução dos serviços, inclusive limpeza da superfície.</t>
  </si>
  <si>
    <t>O item remunera toda mão de obra, materiais e materiais acessórios necessária para a execução do serviço, inclusive limpeza da superfície.</t>
  </si>
  <si>
    <t>Fornecimento de mão de obra especializada, materiais e equipamentos para a instalação dos bicos de injeção no concreto espaçados ao longo da trinca e a injeção dos produtos, conforme as especificações do fabricante.</t>
  </si>
  <si>
    <t>Por extensão total de fissura ou trinca tratada, em metros (m).</t>
  </si>
  <si>
    <t>Pela área efetiva aplicada, em metro quadrado (m2).</t>
  </si>
  <si>
    <t>LONA PLASTICA PRETA, E= 150 MICRA</t>
  </si>
  <si>
    <t>O item remunera o fornecimento de mão de obra, materiais e materiais acessórios necessários para a instalação de lona plástica preta, espessura de 150 micra, para impermeabilização nos locais aonde a Fiscalização apontar.</t>
  </si>
  <si>
    <t>Pelo comprimento linear de eletroduto lançado (m).</t>
  </si>
  <si>
    <t>CAIXA DE LUZ "4 X 2" EM ACO ESMALTADA</t>
  </si>
  <si>
    <t xml:space="preserve">O item remunera o fornecimento e instalação de caixa estampada retangular de 4" x 2", de embutir, em chapa de aço nº 18,  esmaltada  à  quente  interna  e  externamente,  com  olhais  para  fixação  dos  eletrodutos e orelhas para fixação de espelho. </t>
  </si>
  <si>
    <t>Por metro de andaime metálico tipo torre necessário para a execução de serviços, multiplicada pelo tempo em meses de sua utilização (mxmês).</t>
  </si>
  <si>
    <t>Será medido após 100% da desmontagem.</t>
  </si>
  <si>
    <t>Locação de andaime tubular tipo torre para possibilitar a execução de revestimento e/ou pintura, inclusive eventuais recuperações de alvenaria, concretos, trincas, etc.  Utilização pelo tempo que for necessário, transporte a qualquer distância e eventuais manutenções. Remunera, inclusive, o madeiramento do tablado.</t>
  </si>
  <si>
    <t>Pelo volume, em metros cúbicos, medido através da área de projeção da estrutura cimbrada, multiplicada pela altura do cimbramento (m3).</t>
  </si>
  <si>
    <t>As guias assentadas em vias públicas deverão seguir os padrões determinados pela Secretaria Municipal de Obras.</t>
  </si>
  <si>
    <t>O item remunera o fornecimento, posto obra, de equipamentos, materiais e a mão de obra necessária para a instalação completa de guias de jardim, incluindo carga, transporte até o local de aplicação, descarga; de posicionamento e assentamento das guias; lançamento do concreto para a fixação da guia (bolão); execução de argamassa de cimento e areia e o rejuntamento das guias.</t>
  </si>
  <si>
    <t>Por metro linear de guia assentada (m).</t>
  </si>
  <si>
    <t>3.10.4</t>
  </si>
  <si>
    <t>3.10.5</t>
  </si>
  <si>
    <t>3.10.6</t>
  </si>
  <si>
    <t>3.11.1</t>
  </si>
  <si>
    <t>3.11.2</t>
  </si>
  <si>
    <t>Será medido pelo comprimento, considerando-se a distância entre o respaldo inferior do bloco e a extremidade inferior de apoio da broca (m).</t>
  </si>
  <si>
    <t>O item remunera o fornecimento dos materiais, a mão de obra e os materiais acessórios para a execução de brocas com diâmetro de 20 cm, englobando os serviços de perfuração, escavação, armação, preparo e lançamento do concreto.</t>
  </si>
  <si>
    <t>O item remunera o fornecimento de materiais, equipamentos, mão-de-obra e materiais acessórios necessários a execução de alvenaria de elevação, confeccionada em tijolo de maciço cerâmico de 5,7 x 9 x 19cm, assentada com argamassa mista de cimento, cal hidratada e areia no traço 1:2:8.</t>
  </si>
  <si>
    <t>Por área de superfície executada, em metro quadrado (m2).</t>
  </si>
  <si>
    <t>TELA DE AÇO SOLDADA GALVANIZADA/ZINCADA PARA ALVENARIA, FIO D = 1,20 A 1,70 MM, MALHA 15 X 15 MM, (C X L) 50 X 7,5CM</t>
  </si>
  <si>
    <t>Por área de superfície executada, em metro quadrado, descontando todos os vãos (m2).</t>
  </si>
  <si>
    <t xml:space="preserve">O item remunera o fornecimento do elemento vazado em concreto, tipo cobogó, conforme croqui e espessura de 9 cm; cimento e areia para a argamassa de assentamento e mão-de-obra para execução dos serviços de: preparo da argamassa, assentamento dos elementos vazados e o rejunte externo dos mesmos. </t>
  </si>
  <si>
    <t xml:space="preserve"> Pelo volume compactado, em metro cúbico (m3).</t>
  </si>
  <si>
    <t>Reaterro, lançamento de solo existente ou importado e execução de apiloamento através de soquete ou maço em terrenos e valas,  sem controle de compactação, que deverá ser executado de modo a oferecer condições de segurança às estruturas e bom acabamento da superfície.</t>
  </si>
  <si>
    <t>Pelo volume compactado mecanicamente, em metros cúbicos (m3).</t>
  </si>
  <si>
    <t>3.4.8</t>
  </si>
  <si>
    <t>Fornecimento da mão-de-obra necessária para a escavação manual em solo de 1ª categoria em valas ou cavas de até 1,50 m de profundidade, ou acima de 1,50m, conforme especificação do item.</t>
  </si>
  <si>
    <t>Pelo volume escavado, medido no corte, em metros cúbicos (m3).</t>
  </si>
  <si>
    <t>3) Caso seja necessário a utilização de escoramento, deve comunicar a Fiscalização para autorização.</t>
  </si>
  <si>
    <t>4) Os serviços de escavação devem ser liberados pela Fiscalização para serem considerados na medição.</t>
  </si>
  <si>
    <t>2.32</t>
  </si>
  <si>
    <t>O item remunera o fornecimento de equipamentos, materiais acessórios e mão de obra necessária para a execução de valas com profundidade total até 2,00 m, ou de 2,01 a 3,00m, englobando os serviços: escavação mecanizada; nivelamento, acertos e acabamentos manuais e a acomodação feita manualmente do material escavado ao longo da vala.</t>
  </si>
  <si>
    <t>1) A carga mecanizada será remunerada por item específico</t>
  </si>
  <si>
    <t>2) A preferência é utilizar o solo escavado para reaterro; caso haja Bota Fora do material escavado, este será remunerado por item específico.</t>
  </si>
  <si>
    <t>O item remunera o fornecimento de pedra britada em números médios e a mão de obra necessária para o apiloamento do terreno e execução do lastro. Lançamento sobre o terreno devidamente regularizado e apiloado. Deverá ser compactada através de soquetes de madeira ou equipamento mecânico apropriado.</t>
  </si>
  <si>
    <t>Pelo volume de lastro lançado, espalhado, compactado e nivelado, em metros cúbicos (m3).</t>
  </si>
  <si>
    <t>Pelo volume de concreto utilizado, calculado com base na dimensão dos elementos e ou peças de concreto (m3).</t>
  </si>
  <si>
    <t xml:space="preserve">O item remunera o fornecimento, transporte, lançamento, adensamento e cura do concreto, a execução do concreto estrutural que obedecerá rigorosamente ao croqui, especificações e detalhes respectivos bem como as normas técnicas da ABNT-NBR 6118:2014, entre outras que regem o assunto. Os concretos para execução de concreto armado serão constituídos de Cimento Portland, areia, brita, água e aditivos de qualidade, rigorosamente de acordo com o especificado para estes materiais. Não serão aceitos aditivos nos concretos em contato com água bruta, agressiva ou esgoto. Poderão ser produzidos no local da obra ou serem pré-misturados. O concreto deverá ter resistência mínima à compressão de 20,0 MPa, plasticidade ("slump") de 5 + 1 cm, preparado com britas 1 e 2. Adicionalmente, remunera a mão de obra, equipamentos e materiais acessórios para transporte interno à obra e serviços de lançamento, adensamento e acabamento do concreto. Remunera também o apiloamento do terreno, quando necessário.
</t>
  </si>
  <si>
    <t>3.5.5</t>
  </si>
  <si>
    <t>Pelo volume concretado, em metro cúbico (m3).</t>
  </si>
  <si>
    <t>Regularização da superfície de terra, preparo da caixa, lastro de brita na espessura de 3cm, taliscamento do piso e execução da calçada em concreto (lançamento, espalhamento e sarrafeamento) com preparo mecânico no traço 1:2,7:3 com consumo mínimo de cimento de 210 kg/m3, desempeno e cura.   Espessura do concreto padrão de 7cm e/ou conforme projeto e/ou orientação da Fiscalização. Compreende também a execução de juntas de dilatação a cada 2 metros.</t>
  </si>
  <si>
    <t>Regularização da superfície de terra, preparo da caixa, lastro de brita na espessura de 3cm, taliscamento do piso e execução da calçada (lançamento, espalhamento e sarrafeamento) em concreto usinado, resistência mínima à compressão de 20,0 MPa, plasticidade ("slump") de 5 + 1 cm, preparado com britas 1 e 2, desempeno e cura.  Espessura do concreto padrão de 7cm e/ou conforme projeto e/ou orientação da Fiscalização. Compreende também a execução de juntas de dilatação a cada 2 metros.</t>
  </si>
  <si>
    <r>
      <t xml:space="preserve">1) Esse item remunera calçada ou pisos cimentados não armados. Entretanto, haverá casos em que a armação necessitará ser feita para suportar cargas e será remunerado em item separado. Apenas nos locais apontados pela </t>
    </r>
    <r>
      <rPr>
        <b/>
        <sz val="10"/>
        <rFont val="Times New Roman"/>
        <family val="1"/>
      </rPr>
      <t>Fiscalização.</t>
    </r>
  </si>
  <si>
    <t>2) O acabamento pode ser vassourado, camurçado ou polido, conforme orientação da Fiscalização.</t>
  </si>
  <si>
    <t>Norma técnica: NBR 12655.</t>
  </si>
  <si>
    <t>O item remunera o fornecimento de materiais, equipamentos, materiais acessórios e mão de obra para dosagem, preparo, mistura, transporte dentro da obra, lançamento, adensamento e acabamento do concreto virado em obra com betoneira.</t>
  </si>
  <si>
    <t>O item remunera o fornecimento de materiais, equipamentos, materiais acessórios e mão de obra necessárias o preparo do grout no traço 1:3:2 (cimento, areia e pedrisco) e posterior aplicação/lançamento do mesmo.</t>
  </si>
  <si>
    <t>Por volume de grout aplicado, com base nas dimensões preenchidas (m3).</t>
  </si>
  <si>
    <t>TELA DE AÇO SOLDADA, CA-60 (MÉDIA DAS BITOLAS)</t>
  </si>
  <si>
    <t>altura</t>
  </si>
  <si>
    <t>compr</t>
  </si>
  <si>
    <t>área</t>
  </si>
  <si>
    <t>total</t>
  </si>
  <si>
    <t>soma</t>
  </si>
  <si>
    <t xml:space="preserve">   x </t>
  </si>
  <si>
    <t xml:space="preserve">   =</t>
  </si>
  <si>
    <t>3.6.3</t>
  </si>
  <si>
    <t>Pelo peso, em quilograma, da armadura utilizada nos elementos ou peças de concreto, calculado com base nas suas dimensões (bitola e comprimento) (kg).</t>
  </si>
  <si>
    <t>Pela área de forma executada, em metro quadrado (m2).</t>
  </si>
  <si>
    <t>estimativa</t>
  </si>
  <si>
    <t>4.6</t>
  </si>
  <si>
    <t>CAIXA SIFONADA PVC, 150 X 150 X 50 MM, COM GRELHA REDONDA BRANCA</t>
  </si>
  <si>
    <t>Por unidade de instalada (un).</t>
  </si>
  <si>
    <t>O item remunera o fornecimento e instalação de caixa sifonada em PVC rígido, redonda, DN 150 mm, altura de 50mm, com grelha redonda de PVC branco, inclusive mão de obra e materiais acessórios para sua ligação com a rede existente.</t>
  </si>
  <si>
    <t>qnt</t>
  </si>
  <si>
    <t xml:space="preserve">   x</t>
  </si>
  <si>
    <t>VIBRADOR DE IMERSÃO COM MANGOTE 5,00 M - CHP</t>
  </si>
  <si>
    <t>2.35</t>
  </si>
  <si>
    <t>idem 3.8.1</t>
  </si>
  <si>
    <t>m2 x mês</t>
  </si>
  <si>
    <t>3.2.11</t>
  </si>
  <si>
    <t>GRELHA EM FERRO FUNDIDO COM REQUADRO, CARGA MAXIMA 12,5 T, 300 X 1000 MM, E = 15 MM</t>
  </si>
  <si>
    <t>O item remunera o fornecimento de grelha com requadro, em barras chatas de ferro fundido com carga máxima de 12,5 tonelada, acessórios e a mão de obra necessária para o grapeamento do requadro e colocação da grelha, em pisos, caixas e demais áreas onde se fizerem necessárias.</t>
  </si>
  <si>
    <t xml:space="preserve">Pela área chapiscada, não se descontando vãos de até 2,00 m² e não se considerando espaletas. Os vãos acima de 2,00 m² deverão ser deduzidos na totalidade e as espaletas desenvolvidas (m2). </t>
  </si>
  <si>
    <t>critério de medição adotado pela CPOS</t>
  </si>
  <si>
    <t xml:space="preserve">Pela área revestida, não se descontando vãos de até 2,00 m² e não se considerando espaletas. Os vãos acima de 2,00 m² deverão ser deduzidos na totalidade e as espaletas desenvolvidas (m2). </t>
  </si>
  <si>
    <t>O item remunera toda mão de obra, material, equipamento e materiais acessórios necessários para execução do serviço. Engloba a remoção do reboco antigo deteriorado, limpeza e preparo da superfície, preparo e aplicação da massa, regularização, acabamento e demais serviços que se fizerem necessários para deixar a área pronta para receber pintura.</t>
  </si>
  <si>
    <t xml:space="preserve">Pela área recuperada, não se descontando vãos de até 2,00 m² e não se considerando espaletas. Os vãos acima de 2,00 m² deverão ser deduzidos na totalidade e as espaletas desenvolvidas (m2). </t>
  </si>
  <si>
    <t>Remunera  também  o  fornecimento  de  argamassa  industrializada,  tipo  AC-III,  e  a  mão  de  obra necessária  para  a  execução  dos  serviços  de  limpeza  e  preparo  da  superfície  de  assentamento, preparo e aplicação da argamassa industrializada e o assentamento das peças conforme exigências das  normas  e  recomendações  dos  fabricantes. Remunera também o rejuntamento com rejunte epóxi branco.</t>
  </si>
  <si>
    <t xml:space="preserve">Será  medido  pela  área  de azulejo efetivamente assentado, descontando-se  toda  e  qualquer  interferência (m2). </t>
  </si>
  <si>
    <t>Execução de contrapiso em argamassa de cimento e areia no traço 1:4, com camada de aderência composta por aditivo adesivo e cimento na proporção de 1,0 litro de aditivo para cada 0,75 litro de cimento. A camada deverá ter 3cm de espessura. Remunera também nivelamento, sarrafeamento, desempenamento, cura e demais serviços necessários, incluindo fornecimento de todos os materiais necessários. Importante se atentar ao correto nivelamento na superfície para que não ocorra posterior empoçamento no local.</t>
  </si>
  <si>
    <t>Pela área executada, em metro quadrado (m2).</t>
  </si>
  <si>
    <t xml:space="preserve">Será  medido  pela  área  de piso efetivamente assentado, descontando-se  toda  e  qualquer  interferência (m2). </t>
  </si>
  <si>
    <t xml:space="preserve">Fornecimento placa cerâmica esmaltada de primeira qualidade (classe A, ou classe extra), conforme anexo A da NBR 13818, indicada para pisos internos. Remunera também o fornecimento de argamassa colante industrializada tipo AC-III, e a mão-de-obra necessária para a execução dos serviços: limpeza e preparo da superfície de assentamento, preparo e aplicação da argamassa colante industrializada, assentamento e rejuntamento das peças  com rejunte epoxi, conforme exigências das normas NBR 9817, NBR 13753, NBR 13816, NBR 13817, NBR 13818 e NBR 14081, e recomendações dos fabricantes. 
</t>
  </si>
  <si>
    <r>
      <t xml:space="preserve">A </t>
    </r>
    <r>
      <rPr>
        <b/>
        <sz val="10"/>
        <rFont val="Times New Roman"/>
        <family val="1"/>
      </rPr>
      <t>Fiscalização</t>
    </r>
    <r>
      <rPr>
        <sz val="10"/>
        <rFont val="Times New Roman"/>
        <family val="1"/>
      </rPr>
      <t xml:space="preserve"> deverá avaliar e autorizar o piso antes do assentamento.</t>
    </r>
  </si>
  <si>
    <t xml:space="preserve">Pela área de piso ou parede regularizada com argamassa, descontando toda e qualquer interferência (m2). </t>
  </si>
  <si>
    <t>Execução de laje pré-fabricada com lajotas cerâmicas para cobertura, na espessura de 8cm, incluindo todo material e mão de obra para montagem da laje, fôrmas, escoramentos e armadura, fornecimento, lançamento e adensamento do concreto fck = 20 MPa para capeamento. Compreende também armaduras de distribuição e negativa.</t>
  </si>
  <si>
    <t>Pela área de laje construída, delimitada pelos eixos das paredes e/ou vigas, em metro quadrado (m2).</t>
  </si>
  <si>
    <t>EMASSAMENTO DE PAREDE COM MASSA PVA PARA PINTURA LÁTEX</t>
  </si>
  <si>
    <t>PINTURA LÁTEX ACRÍLICA EM ALVENARIA OU CONCRETO EM GERAL</t>
  </si>
  <si>
    <t xml:space="preserve">Será  medido  pela  área  de  superfície  emassada,  não  se  descontando  vãos  de  até 2,00 m² e não se considerando espaletas, filetes ou molduras. Os vãos acima de 2,00 m² deverão ser deduzidos na totalidade e as espaletas, filetes ou molduras desenvolvidas (m2). </t>
  </si>
  <si>
    <t xml:space="preserve">critério adaptado CPOS 33.02.060 (massa corrida) </t>
  </si>
  <si>
    <t xml:space="preserve">Será  medido  pela  área  de  superfície  pintada,  não  se  descontando  vãos  de  até 2,00 m² e não se considerando espaletas, filetes ou molduras. Os vãos acima de 2,00 m² deverão ser deduzidos na totalidade e as espaletas, filetes ou molduras desenvolvidas (m2). </t>
  </si>
  <si>
    <t>contrato passado</t>
  </si>
  <si>
    <t xml:space="preserve">  x</t>
  </si>
  <si>
    <t>considerar 10 portas a serem retiradas - 0,80x2,10m</t>
  </si>
  <si>
    <t xml:space="preserve">  =</t>
  </si>
  <si>
    <t>considerar 5 a serem retiradas - 1,5x1,0m</t>
  </si>
  <si>
    <t>captação 3</t>
  </si>
  <si>
    <t>m3xkm</t>
  </si>
  <si>
    <t>abrigo de energia - modelo maior</t>
  </si>
  <si>
    <t>casa de cloro-flúor</t>
  </si>
  <si>
    <t>casa pipa</t>
  </si>
  <si>
    <t>casa cloro-flúor</t>
  </si>
  <si>
    <t>contrato anterior</t>
  </si>
  <si>
    <t>será considerado para pisos cimentados e em menor volume como trechos pequenos de reparo em calçadas</t>
  </si>
  <si>
    <t>4.7</t>
  </si>
  <si>
    <t>4.8</t>
  </si>
  <si>
    <t>nas portas e janelas novas</t>
  </si>
  <si>
    <t xml:space="preserve">contrato anterior </t>
  </si>
  <si>
    <t>estimativa para registro de preço</t>
  </si>
  <si>
    <t>aumentar devido as áreas dos PTBs</t>
  </si>
  <si>
    <t>abrigo elétrica - menor</t>
  </si>
  <si>
    <t>abrigo Viscarlos - menor</t>
  </si>
  <si>
    <t>abrigo elétrica - maior</t>
  </si>
  <si>
    <t>colocou uma quantidade menor para 2 anos porque a preferência será por tela eletrosoldada</t>
  </si>
  <si>
    <t>A fôrma para a execução da mureta será paga em item separado.</t>
  </si>
  <si>
    <t>preferência em trocar tela do que derrubar e fazer todo alambrado novo</t>
  </si>
  <si>
    <t>contrato passado observou-se a necessidade de trocar apenas o arame que já estavam soltos, quebrados ou soltos</t>
  </si>
  <si>
    <t>tamanho portão veículos - 4,0 x 2,10m</t>
  </si>
  <si>
    <t>para eventual troca nos locais já existentes</t>
  </si>
  <si>
    <t>unidades de portas 0,80 x 2,10m</t>
  </si>
  <si>
    <t>para registro de preço</t>
  </si>
  <si>
    <t>contrato anterior 149,29m2</t>
  </si>
  <si>
    <t>contrato anterior 40,97m2</t>
  </si>
  <si>
    <t>contrato anterior 16,99m2</t>
  </si>
  <si>
    <t>formas para a mureta de alambrado</t>
  </si>
  <si>
    <t>formas para as muretas novas</t>
  </si>
  <si>
    <t>total contrato passado - 308,67m2</t>
  </si>
  <si>
    <t>Fornecimento, transporte e colocação de tábuas de madeira, em estado bruto ou aparelhadas; madeiras compensadas com ou sem revestimento. A madeira utilizada nas fôrmas deverá apresentar-se isenta de nós fraturáveis, furos ou vazios deixados pelos nós, fendas, rachaduras, curvaturas ou empenamentos. No caso de madeira compensada, a espessura será de, no mínimo, 12 mm. Serão usadas onde houver necessidade de conformação do concreto segundo os perfis de croqui, ou de impedir sua contaminação por agentes agressivos externos. Deverão ter resistência suficiente para suportar pressões resultantes do lançamento e da vibração do concreto, mantendo-se rigidamente na posição correta e não sofrendo deformações, de modo a impedir a perda de nata de cimento durante a concretagem, untadas com produto que facilite a desforma e não manche a superfície do concreto. As fôrmas remontadas deverão sobrepor o concreto endurecido, do lance anteriormente executado, em não menos de 10 cm e fixadas com firmeza contra o concreto endurecido, de maneira que, quando a concretagem for reiniciada, elas não se alarguem e não permitam desvios ou perda de argamassa nas juntas de construção. Nas fôrmas aparentes só será permitido o uso de peças uniformes. É proibido o uso de peças que venham a ocasionar impressão de concreto remendado.  Na face que receberá o concreto, as juntas das madeiras deverão apresentar-se rigorosamente concordantes ente si. Remunera a execução e instalação da forma, incluindo escoras, gravatas, desmoldante e desforma (fabricação, montagem, travamento e desforma).</t>
  </si>
  <si>
    <t>a) O prazo de desforma é variável - dependerá do tempo necessário para o concreto utilizado ter atingido a resistência especificada no projeto estrutural - a possibilidade de reutilização da forma, dentre outros fatores, é determinada por essa condição em confronto com os prazos das etapas da obra.</t>
  </si>
  <si>
    <t>b) Deverá estar em acordo com a NR 18 e as normas técnicas NBR 7203, 11700 e correlatas.</t>
  </si>
  <si>
    <t>percentual observado no contrato anterior = 10,16%</t>
  </si>
  <si>
    <t>Será medido por unidade de banco instalado (un).</t>
  </si>
  <si>
    <t>O item remunera o fornecimento, instalação completa de banco em concreto pré-moldado, inclusive mão de obra e materiais necessários para execução de base em concreto. O banco deverá ser em concreto pré-moldado, estilo europeu, comprimento 1,30 a 1,50m.</t>
  </si>
  <si>
    <t xml:space="preserve">O item remunera o fornecimento de massa corrida à base de PVA, recomendada para a correção de pequenos defeitos. Remunera  também  materiais  acessórios  e  a  mão  de  obra  necessária  para  a  execução  dos serviços de: limpeza da superfície, remoção de partes soltas, irregularidades e poeira, conforme recomendações  do  fabricante;  aplicação  da  massa  em, no mínimo,  2 demãos,  em camadas  finas  com  lixamentos  intermediários,  conforme  especificações  do  fabricante, lixamento final e remoção do pó da superfície emassada. </t>
  </si>
  <si>
    <t>O item remunera o fornecimento de toda mão de obra, materiais, equipamentos e materiais acessórios necessários para a pintura de escadas, incluindo os serviços de lixamento, remoção do pó, preparo da superfície, aplicação de primer ou fundo anticorrosivo e tinta esmalte sintético.</t>
  </si>
  <si>
    <t>Por unidade de logotipo pintada (un).</t>
  </si>
  <si>
    <t>Fornecimento e instalação de porta para Reservatório e Mezanino, tipo veneziana ou com elemento vazado na chapa Nº 16, requadro em chapa Nº 14, batente na chapa Nº 16, protegida com fundo anticorrosivo. Compreende a substituição do batente antigo e o assentamento de novo batente, fixação da porta e travas de segurança tipo ferrolho.</t>
  </si>
  <si>
    <t>Por unidade assentada (un).</t>
  </si>
  <si>
    <t>O item remunera o fornecimento de porta e / ou portão, sob medida, com uma ou duas folhas, tipo veneziana, constituído por: folhas com aletas da veneziana tipo "V" invertido, ou tipo "Z", em perfis de chapa dobrada de ferro nº 14 MSG; requadro para a estrutura das folhas da porta, em perfil de chapa de ferro nº 14 MSG, tipo tubular; batentes em perfil de chapa dobrada em chapa de ferro nº 12 (MSG); jogo completo de ferragens, incluindo dobradiças, fechaduras, maçanetas, puxadores e trincos, compatíveis com as dimensões da porta; cimento, areia, materiais acessórios e a mão-de-obra necessária para a instalação.</t>
  </si>
  <si>
    <t>Será medido pela área da esquadria instalada (m2).</t>
  </si>
  <si>
    <t>critérios tirados da CPOS 24.02.080</t>
  </si>
  <si>
    <t>TUBO DE PVC RÍGIDO SOLDÁVEL MARROM, DN = 25MM (3/4') - NBR 5648</t>
  </si>
  <si>
    <t>TUBO DE PVC RÍGIDO SOLDÁVEL MARROM, DN = 40MM (1.1/4') - NBR 5648</t>
  </si>
  <si>
    <t>TUBO DE PVC RÍGIDO SOLDÁVEL MARROM, DN = 50MM (1.1/2') - NBR 5648</t>
  </si>
  <si>
    <t>4.9</t>
  </si>
  <si>
    <t>4.10</t>
  </si>
  <si>
    <t xml:space="preserve">O  ítem  remunera  o  fornecimento  de  materiais  e  mão  de  obra,  e  instalação  de  tubos  de  PVC rígido  marrom  com  juntas  soldáveis  DN = 25 mm  (3/4”), DN = 40 mm (1.1/4") ou DN = 50 mm (1.1/2"),  inclusive  conexões,  para  sistemas prediais  de  água  fria.  Nos  tubos  deverão  estar  gravados  marca  do  fabricante,  norma  de fabricação e o diâmetro do tubo. Remunera também: </t>
  </si>
  <si>
    <t xml:space="preserve">a)  Conexões de PVC rígido com bucha e reforço de latão, juntas soldáveis e rosqueáveis para ligações em tubos metálicos, registros e torneiras, adesivo plástico, solução limpadora para juntas soldáveis, materiais acessórios e eventuais perdas de corte; </t>
  </si>
  <si>
    <t>b)  Abertura  e  fechamento  de  rasgos  para  tubulações  embutidas,  ou  escavação  e  reaterro apiloado de valas com profundidade média de 60 cm para tubulações enterradas ou fixação por grampos ou presilhas para tubulações aparentes.</t>
  </si>
  <si>
    <t>Por comprimento de tubulação executada (m).</t>
  </si>
  <si>
    <t>Atender as normas NBR-5648 e NBR-5626.</t>
  </si>
  <si>
    <t>TUBO PVC SERIE NORMAL, DN 40 MM, PARA ESGOTO PREDIAL (NBR 5688)</t>
  </si>
  <si>
    <t>TUBO PVC, PL, SERIE R, DN 100 MM, PARA AGUAS PLUVIAIS PREDIAL (NBR 5688)</t>
  </si>
  <si>
    <t>4.11</t>
  </si>
  <si>
    <t>TUBO PVC SERIE NORMAL, DN 50 MM, PARA ESGOTO PREDIAL (NBR 5688)</t>
  </si>
  <si>
    <t>TUBO PVC SERIE NORMAL, DN 100 MM, PARA ESGOTO PREDIAL (NBR 5688)</t>
  </si>
  <si>
    <t>a)  Solução  limpadora,  pasta  lubrificante  e  adesivo  plástico  para  juntas  soldáveis  ou  elástica, materiais acessórios e eventuais perdas de corte;</t>
  </si>
  <si>
    <t>Atender as normas NBR-5688, NBR-8160.</t>
  </si>
  <si>
    <t xml:space="preserve"> O  ítem  remunera  o  fornecimento  de  materiais  e  mão  de  obra,  e  instalação  de  tubos  de  PVC rígido  branco,  linha  esgoto  série  normal,  DN = 40, 50 ou 100 mm,  inclusive conexões.  Nos  tubos  deverão  estar  gravados  marca  do  fabricante,  norma  de  fabricação e o diâmetro do tubo. Remunera também: </t>
  </si>
  <si>
    <t>O item remunera o fornecimento e instalação de registro de esfera em PVC, soldável, com volante de 40mm, inclusive mão de obra e materiais acessórios.</t>
  </si>
  <si>
    <t xml:space="preserve">O ítem remunera o fornecimento de materiais e mão de obra, e instalação de tubos de PVC rígido, linha série reforçada ‘R’, DN = 100 mm, inclusive conexões. Nos tubos deverão estar gravados marca do fabricante, norma de fabricação e o diâmetro do tubo. Remunera também solução limpadora e pasta lubrificante para juntas elásticas, ligações calha-condutor para águas pluviais, materiais acessórios e eventuais perdas de corte; e Abertura e fechamento de rasgos para tubulações embutidas, ou escavação e reaterro apiloado de valas com profundidade média de 60 cm para tubulações enterradas ou fixação por grampos ou presilhas para tubulações aparentes. Compreende também a desmontagem e/ou remoção dos elementos existentes no local e a instalação dos tubos de queda já com as conexões e acessórios. </t>
  </si>
  <si>
    <t>casa de cloro-fluor</t>
  </si>
  <si>
    <t>O item remunera o fornecimento da mão-de-obra necessária, inclusive materiais acessórios, para a colocação da esquadria metálica.</t>
  </si>
  <si>
    <t>Pela área da esquadria colocada (m2).</t>
  </si>
  <si>
    <t xml:space="preserve">TINTA ESMALTE SINTETICO PREMIUM </t>
  </si>
  <si>
    <t xml:space="preserve">NOTA: </t>
  </si>
  <si>
    <t>O vidro será pago em separado.</t>
  </si>
  <si>
    <t>2.1.1</t>
  </si>
  <si>
    <t>2.1.2</t>
  </si>
  <si>
    <t>2.1.3</t>
  </si>
  <si>
    <t>2.1.4</t>
  </si>
  <si>
    <t>2.1.5</t>
  </si>
  <si>
    <t>2.1.6</t>
  </si>
  <si>
    <t>2.1.7</t>
  </si>
  <si>
    <t>2.1.8</t>
  </si>
  <si>
    <t>2.1.9</t>
  </si>
  <si>
    <t>2.1.19</t>
  </si>
  <si>
    <t>2.1.20</t>
  </si>
  <si>
    <t>2.1.21</t>
  </si>
  <si>
    <t>2.2.1</t>
  </si>
  <si>
    <t>2.2.2</t>
  </si>
  <si>
    <t>2.2.3</t>
  </si>
  <si>
    <t>CONE DE SINALIZACAO EM PVC RIGIDO COM FAIXA REFLETIVA, H = 70 / 76 CM</t>
  </si>
  <si>
    <t>Fornecimento de cone de sinalização.</t>
  </si>
  <si>
    <t>Por unidade fornecida (un).</t>
  </si>
  <si>
    <r>
      <t>A Contratada deverá dimensionar em conjunto com a</t>
    </r>
    <r>
      <rPr>
        <b/>
        <sz val="10"/>
        <rFont val="Times New Roman"/>
        <family val="1"/>
      </rPr>
      <t xml:space="preserve"> Fiscalização</t>
    </r>
    <r>
      <rPr>
        <sz val="10"/>
        <rFont val="Times New Roman"/>
        <family val="1"/>
      </rPr>
      <t xml:space="preserve"> a quantidade mínima de cones a serem disponibilizadas para cada equipe de campo, a serem utilizadas no isolamento, sinalização ou desvio de trânsito ou situações emergenciais. Com base no grau de deterioração, a </t>
    </r>
    <r>
      <rPr>
        <b/>
        <sz val="10"/>
        <rFont val="Times New Roman"/>
        <family val="1"/>
      </rPr>
      <t>Fiscalização</t>
    </r>
    <r>
      <rPr>
        <sz val="10"/>
        <rFont val="Times New Roman"/>
        <family val="1"/>
      </rPr>
      <t xml:space="preserve"> poderá, durante o andamento do Contrato, solicitar a substituição parcial ou completa dos conjuntos de cones. </t>
    </r>
  </si>
  <si>
    <t>TELA PLASTICA TECIDA LISTRADA BRANCA E LARANJA, TIPO GUARDA CORPO, EM POLIETILENO MONOFILADO, ROLO 1,20 X 50 M (L X C)</t>
  </si>
  <si>
    <t>FITA PLASTICA ZEBRADA PARA DEMARCACAO DE AREAS, LARGURA = 7 CM</t>
  </si>
  <si>
    <t>Montagem de estrutura de fixação e instalação de tela plástica de segurança e isolamento da obra, nas situações que envolvam risco de acidentes envolvendo pedestres e/ou motociclistas.</t>
  </si>
  <si>
    <t>Pelo metro de tela instalada, incluindo estrutura de fixação (m).</t>
  </si>
  <si>
    <r>
      <t xml:space="preserve">A utilização de telas de isolamento deverá ser acordado entre </t>
    </r>
    <r>
      <rPr>
        <b/>
        <sz val="10"/>
        <rFont val="Times New Roman"/>
        <family val="1"/>
      </rPr>
      <t>Contratada / Fiscalização / Equipe de Segurança</t>
    </r>
    <r>
      <rPr>
        <sz val="10"/>
        <rFont val="Times New Roman"/>
        <family val="1"/>
      </rPr>
      <t>, podendo ser adotado procedimento padrão de isolamento de valas com telas ou em situações específicas.</t>
    </r>
  </si>
  <si>
    <t xml:space="preserve">SARRAFO 3A. CONSTRUÇÃO (SEÇÃO TRANSVERSAL: 1X2" - 2,5CM X 5,0CM) </t>
  </si>
  <si>
    <t>PARAFUSO FRANCES ZINCADO, DIAMETRO 1/2", COMPRIMENTO 4", COM PORCA E ARRUELA</t>
  </si>
  <si>
    <t>PLACA DE SINALIZACAO EM CHAPA DE AÇO Nº 16 COM PINTURA REFLETIVA</t>
  </si>
  <si>
    <t>Fornecimento e instalação de placa de sinalização com película retrorefletiva conforme Normas de Trânsito, incluindo elementos de fixação (cavaletes, postes, etc.).</t>
  </si>
  <si>
    <t>Por metro quadrado de placa fornecida e instalada (m2).</t>
  </si>
  <si>
    <t>Deverão ser confeccionadas placas em cavaletes para todas as frentes de trabalho que envolvam serviços em locais de trânsito de veículo/pedestres, de forma a isolar e proteger a área de trabalho. A quantidade e dimensões deverão ser determinadas pela Equipe de Segurança que deverá treinar e orientar as equipes a instalá-las conforme Normas de Trânsito e Secretaria Municipal de Trânsito. A Fiscalização deverá aprovar as placas antes da confecção. Além disso, sempre que for solicitado pela Fiscalização, a Contratada deverá fornecer ou instalar toda a sinalização requisitada.</t>
  </si>
  <si>
    <t>Fornecimento, instalação, manutenção e remoção de sinalização de tráfego, conforme o tipo e elementos constantes da composição de custos, em obras localizadas ou lineares de acordo com a determinação da autoridade de trânsito local, da Fiscalização ou Técnico de Segurança.</t>
  </si>
  <si>
    <t>Por unidade de sinalização instalada (un).</t>
  </si>
  <si>
    <t xml:space="preserve">Esse item considera a reutilização da sinalização em quantas vezes for possível, até que a Fiscalização solicite a troca. A mão de obra para instalar e remover quantas vezes forem necessárias também está considerada no item. </t>
  </si>
  <si>
    <t>DOBRADICA EM AÇO/FERRO, 3" X 2 1/2", CROMADO OU ZINCADO, COM PARAFUSOS</t>
  </si>
  <si>
    <t>Abertura do vão, com utilização de ferramenta adequada, deixando com a folga necessária para fixação da esquadria; fornecimento e instalação da janela com todos os acessórios necessários. Abertura de nichos para fixação das grapas. Aplicar chapisco em todo o contorno do vão, inclusive no interior dos nichos. A fixação deverá ser com argamassa, preenchendo-se toda a extensão dos perfis U das travessas inferior e superior.</t>
  </si>
  <si>
    <t>Pela área da janela instalada, em metro quadrado (m2).</t>
  </si>
  <si>
    <t>Pela área de janela devidamente instalada, em metros quadrados (m2).</t>
  </si>
  <si>
    <t>Pela área de tampa metálica instalada, em metro quadrado (m2).</t>
  </si>
  <si>
    <t>Será medido por área de grelha de ferro instalada, em metros quadrados (m2).</t>
  </si>
  <si>
    <t>Pela área do vão luz, em metro quadrado (m2).</t>
  </si>
  <si>
    <t xml:space="preserve">O item remunera material, equipamento, mão de obra e materiais acessórios necessários ao serviço de recuperação e execução de mureta. A mureta na parte inferior do alambrado deverá ser em concreto nas dimensões 10 x 20 cm, e ser enterrada 10 cm, conforme projeto ou conforme padrão existente no local. Em casos onde estiverem danificadas, devem ser recuperadas em sua totalidade conforme o padrão existente no local.  O item também remunera a pintura das muretas.
</t>
  </si>
  <si>
    <t>Por metro linear de mureta executada (m).</t>
  </si>
  <si>
    <t>Por volume da estrutura de concreto acabada, com base nas dimensões preenchidas (m3).</t>
  </si>
  <si>
    <t>Aplicação de grout em situações específicas que demandem vedação de abertura executada em parede ou estruturas de concreto, bem como também poderá ser aplicado no preenchimento das canaletas e colunas internas dos blocos de concreto para a devida amarração e sustentação.</t>
  </si>
  <si>
    <t>Pela área de projeção horizontal da estrutura instalada, em metro quadrado (m2).</t>
  </si>
  <si>
    <t>O item deverá atender a clausula contratual referente a exigência de comprovação da origem da madeira.</t>
  </si>
  <si>
    <t>O item remunera o fornecimento de: madeira seca maciça, tratada,  classificada conforme a resistência à compressão paralela às fibras de acordo com a NBR 7190, livre de esmagamentos, isenta de defeitos como nós, fendas ou rachaduras, arqueamento, sinais de deterioração por insetos ou fungos, desbitolamento, ou qualquer outro defeito que comprometa a resistência da madeira; ferragem específica para estrutura abrangendo chapas, estribos, braçadeiras, chumbadores, pregos, parafusos e porcas em aço com acabamento galvanizado a fogo; materiais acessórios, conforme determinações do projeto; equipamentos e a  mão de obra necessária para a confecção e montagem de estrutura completa em terças, para cobertura de  telhas  onduladas de fibrocimento, nas  dimensões e especificações conforme  projeto  aprovado  pela  Fiscalização  e  determinações  na  NBR  7190. O item também remunera o transporte vertical das peças.</t>
  </si>
  <si>
    <t xml:space="preserve"> As coberturas com telhas deverão ser executadas de acordo com as recomendações do fabricante, obedecendo às declividades mínimas de cada tipo. Remunera também todos os itens de fixação e vedação  materiais, acessórios para a fixação das telhas em estrutura de apoio e a mão de obra necessária para o transporte interno à obra, içamento e a montagem completa das telhas. </t>
  </si>
  <si>
    <t>Será medido pela área de telhamento (m2), sendo:</t>
  </si>
  <si>
    <t>a) Quando plano, ou inclinado abaixo de 18%, pela área de cobertura em projeção horizontal, ou pela área de vedação lateral em projeção vertical;</t>
  </si>
  <si>
    <t>b) Quando inclinado a partir de 18%, pela área de cobertura em projeção horizontal, ou pela área de vedação lateral em projeção vertical, com os acréscimos:</t>
  </si>
  <si>
    <t>5% para coberturas de 18% a 27% de inclinação;</t>
  </si>
  <si>
    <t xml:space="preserve">8% para coberturas de 28% a 38% de inclinação; </t>
  </si>
  <si>
    <t>12% para coberturas de 39% a 50% de inclinação.</t>
  </si>
  <si>
    <t>composição é da SINAPI</t>
  </si>
  <si>
    <t>descrição item CPOS 16.03.010</t>
  </si>
  <si>
    <t>O item remunera a colocação de condutores, calhas, água furtadas, pingadeiras, contra-rufos e rufos em chapa galvanizada nº26, incluindo-se todos os materias acessórios necessários para suas confecções e para emendas,  junção em outras  peças, vedação e fixação.</t>
  </si>
  <si>
    <t>Remunera também o transporte vertical das peças quando necessário.</t>
  </si>
  <si>
    <t>Pela extensão efetiva instalada, em metros (m).</t>
  </si>
  <si>
    <t>Pela área de vidro instalado, em metro quadrado (m2).</t>
  </si>
  <si>
    <t>Pelo comprimento linear do elemento, em metro, incluindo na linearidade o gradil de proteção (m).</t>
  </si>
  <si>
    <t xml:space="preserve">O item remunera o fornecimento de todo material, mão de obra, equipamentos e materiais acessórios necessário para a execução da pintura tipo caiação de guias. Deverá ser aplicada com broxa sobre a superfície preparada, plana, sem fendas ou buracos, em no mínimo 02 (duas) demãos. Cada demão da caiação deve ser aplicada somente após a secagem completa da demão anterior e em direção cruzada.
</t>
  </si>
  <si>
    <t>Por metro de andaime metálico tipo torre montado e posteriormente desmontado (m).</t>
  </si>
  <si>
    <t>O item remunera o fornecimento, posto obra, de equipamentos, materiais e a mão de obra necessária para a instalação de guias, compreendendo os serviços: piqueteamento com intervalo de 5,00 m, em trechos retos, ou intervalo de 1,00 m no máximo, para trechos com raio de curvatura de no mínimo 3,00 m; fornecimento de guias pré-moldadas padrão Prefeitura Municipal de São José do Rio Preto, com fck de 25 MPa e concreto usinado com fck de 15 MPa, cimento e areia, inclusive perdas; carga, transporte até o local de aplicação, descarga; de posicionamento e assentamento das guias; lançamento do concreto para a fixação da guia (bolão); execução de argamassa de cimento e areia e o rejuntamento das guias.</t>
  </si>
  <si>
    <t>Pelo volume de concreto da sarjeta executada, em metros cúbicos (m3).</t>
  </si>
  <si>
    <t>O item remunera o fornecimento, posto obra, de equipamentos, materiais e a mão de obra necessária para: preparo e regularização da superfície, colocação das juntas de dilatação, adensamento, cura e proteção e demais serviços necessários para a execução de sarjeta, de acordo com as especificações da Prefeitura do Município e/ou Especificação Técnica.</t>
  </si>
  <si>
    <t>BDI MÃO DE OBRA E SERVIÇOS</t>
  </si>
  <si>
    <t>GB</t>
  </si>
  <si>
    <t>M3.KM</t>
  </si>
  <si>
    <t>M.MÊS</t>
  </si>
  <si>
    <t>DEMOLIÇÃO MANUAL DE CALÇADAS E PISOS CIMENTADOS</t>
  </si>
  <si>
    <t>DEMOLIÇÃO MECANIZADA DE CALÇADAS E PISOS CIMENTADOS</t>
  </si>
  <si>
    <t>REMOÇÃO MANUAL DE GUIAS EM CONCRETO, COM OU SEM REAPROVEITAMENTO</t>
  </si>
  <si>
    <t>DEMOLIÇÃO DE SARJETAS EM CONCRETO</t>
  </si>
  <si>
    <t>REMOÇÃO MANUAL DE PORTÃO, GRADE DE PROTEÇÃO E ESQUADRIAS METÁLICAS EM GERAL, COM OU SEM REAPROVEITAMENTO</t>
  </si>
  <si>
    <t>REMOÇÃO DE CALHAS, RUFOS, PINGADEIRAS E CONDUTORES VERTICAIS</t>
  </si>
  <si>
    <t>CARGA MANUAL DE MATERIAIS PROVENIENTES DE DEMOLIÇÕES EM GERAL</t>
  </si>
  <si>
    <t>CARGA MECANIZADA DE MATERIAIS PROVENIENTES DE DEMOLIÇÕES EM GERAL</t>
  </si>
  <si>
    <t>BOTA-FORA E DESCARGA DE MATERIAIS PROVENIENTES DE DEMOLIÇÕES EM GERAL</t>
  </si>
  <si>
    <t>SINALIZAÇÃO DE OBRA COM CONE DE PVC COM PINTURA REFLEXIVA H = 0,70 M</t>
  </si>
  <si>
    <t>ISOLAMENTO DE OBRA COM TELA PLÁSTICA COM MALHA DE 5 MM</t>
  </si>
  <si>
    <t>SINALIZAÇÃO DE TRÂNSITO COM CAVALETE DE MADEIRA SIMPLES</t>
  </si>
  <si>
    <t>PINTURA LÁTEX ACRÍLICA NA COR BRANCA EM PILARETES E MURETAS</t>
  </si>
  <si>
    <t>PINTURA EM ESMALTE SINTÉTICO SOBRE FUNDO ANTICORROSIVO - 02 DEMÃOS</t>
  </si>
  <si>
    <t>PINTURA DE TUBULAÇÕES ELEVADAS EM ESMALTE SINTÉTICO AZUL FRANÇA SOBRE FUNDO ANTICORROSIVO 2 DEMÃOS</t>
  </si>
  <si>
    <t>PINTURA ESMALTE SINTÉTICO SOBRE FUNDO ANTICORROSIVO EM ESCADA/GRADIL, 2 DEMÃOS</t>
  </si>
  <si>
    <t>PINTURA HIDROFUGANTE A BASE DE SILICONE, INCOLOR, 1 DEMÃO</t>
  </si>
  <si>
    <t>PINTURA COM TINTA EPOXI, DUAS DEMÃOS</t>
  </si>
  <si>
    <t>PINTURA DO LOGOTIPO “SEMAE“ NA FACE DO RESERVATÓRIO</t>
  </si>
  <si>
    <t>PINTURA DE PISO NA COR GRAFITE, DUAS DEMÃOS</t>
  </si>
  <si>
    <t>PINTURA TIPO CAIAÇÃO DE GUIAS</t>
  </si>
  <si>
    <t>ALAMBRADO COM TELA DE ARAME GALVANIZADO, FIXADA EM MOURÃO DE CONCRETO ARMADO, INCLUINDO MURETA DE CONCRETO</t>
  </si>
  <si>
    <t>ALTEAMENTO DE PROTEÇÃO EM ARAME COM LÂMINAS - CONCERTINA AÇO GALVANIZADO - FORNECIMENTO E INSTALAÇÃO</t>
  </si>
  <si>
    <t>EXECUÇÃO DE PORTA PARA RESERVATÓRIOS</t>
  </si>
  <si>
    <t>FORNECIMENTO E INSTALAÇÃO DE ESQUADRIA METÁLICA EM VENEZIANA/CHAPA DE FERRO, SOB MEDIDA</t>
  </si>
  <si>
    <t>RECOLOCAÇÃO DE ESQUADRIAS METÁLICAS NO GERAL</t>
  </si>
  <si>
    <t>FORNECIMENTO ABRIGO DE PROTEÇÃO PARA POÇOS (REFORÇADO)</t>
  </si>
  <si>
    <t>JANELA DE AÇO  TIPO BASCULANTE, FIXAÇÃO COM ARGAMASSA</t>
  </si>
  <si>
    <t>JANELA DE AÇO DE CORRER, TIPO VENEZIANA, FIXAÇÃO COM ARGAMASSA</t>
  </si>
  <si>
    <t>TAMPA METÁLICA EM CHAPA DE AÇO GALVANIZADA Nº 16 - PADRÃO SEMAE</t>
  </si>
  <si>
    <t>GRADE DE PROTEÇÃO DE FERRO EM BARRA CHATA</t>
  </si>
  <si>
    <t>GRELHA EM FERRO FUNDIDO PARA CAIXAS E CANALETAS</t>
  </si>
  <si>
    <t>PORTA EM ALUMÍNIO TIPO VENEZIANA, 1 FOLHA, ACABAMENTO EM PINTURA ELETROSTÁTICA BRANCA, 60 MICRAS, CONFORME MEMORIAL, INCLUSIVE FERRAGENS (TRÊS DOBRADIÇAS E DOIS FERROLHOS COM PORTA-CADEADO)</t>
  </si>
  <si>
    <t>RECUPERAÇÃO E EXECUÇÃO DE MURETA</t>
  </si>
  <si>
    <t>ALVENARIA DE TIJOLO MACIÇO CERÂMICO 1/2 VEZ</t>
  </si>
  <si>
    <t>ALVENARIA DE TIJOLO MACIÇO CERÂMICO 1 VEZ</t>
  </si>
  <si>
    <t>ALVENARIA EM BLOCO DE CONCRETO 9 X 19 X 39 CM</t>
  </si>
  <si>
    <t>ALVENARIA COM ELEMENTO VAZADO DE CONCRETO (COBOGÓ), ESPESSURA PAREDE 9CM</t>
  </si>
  <si>
    <t xml:space="preserve">REATERRO E APILOAMENTO MANUAL DE SOLO </t>
  </si>
  <si>
    <t xml:space="preserve">REATERRO MANUAL COM COMPACTAÇÃO MECANIZADA DE SOLO, SEM CONTROLE TECNOLÓGICO </t>
  </si>
  <si>
    <t xml:space="preserve">ESCAVAÇÃO MANUAL EM SOLO DE 1ª CATEGORIA COM PROFUNDIDADE ATÉ 1,50 M </t>
  </si>
  <si>
    <t xml:space="preserve">ESCAVAÇÃO MANUAL EM SOLO DE 1ª CATEGORIA COM PROFUNDIDADE ACIMA DE 1,50 M </t>
  </si>
  <si>
    <t xml:space="preserve">ESCAVAÇÃO MECANIZADA DE  VALA EM SOLO DE 1ª CATEGORIA COM PROFUNDIDADE ATÉ 2,0M </t>
  </si>
  <si>
    <t xml:space="preserve">CONCRETO ESTRUTURAL USINADO, FCK=20 MPA </t>
  </si>
  <si>
    <t xml:space="preserve">CONCRETO ESTRUTURAL VIRADO EM OBRA, FCK 20MPA </t>
  </si>
  <si>
    <t xml:space="preserve">FORMA PLANA COMUM </t>
  </si>
  <si>
    <t xml:space="preserve">ARMADURA EM BARRA DE AÇO CA 50/60 (CORTE, DOBRA E MONTAGEM) </t>
  </si>
  <si>
    <t xml:space="preserve">ARMADURA EM TELA SOLDADA DE AÇO CA 50/60 (CORTE, DOBRA E MONTAGEM) </t>
  </si>
  <si>
    <t xml:space="preserve">BROCA EM CONCRETO ARMADO, DIÂMETRO DE 20CM, COMPLETA </t>
  </si>
  <si>
    <t xml:space="preserve">CHAPISCO COM ARGAMASSA DE CIMENTO E AREIA TRAÇO 1:3, E=5 MM </t>
  </si>
  <si>
    <t xml:space="preserve">RECUPERAÇÃO E REGULARIZAÇÃO DO REVESTIMENTO EM EMBOÇO/MASSA ÚNICA/REBOCO </t>
  </si>
  <si>
    <t xml:space="preserve">CONTRAPISO EM ARGAMASSA, ADERIDO, TRAÇO 1:4, E=3 CM, COM ADITIVO ADESIVO </t>
  </si>
  <si>
    <t xml:space="preserve">PISO COM CERÂMICA ESMALTADA PEI-5 </t>
  </si>
  <si>
    <t xml:space="preserve">CAMADA DE REGULARIZAÇÃO EM ARGAMASSA DESEMPENADA E=3CM, IMPERMEABILIZANTE E ADITIVO ADESIVO </t>
  </si>
  <si>
    <t>TRAMA DE MADEIRA COMPOSTA POR TERÇAS PARA TELHADOS DE ATÉ 2 ÁGUAS PARA TELHA ONDULADA DE FIBROCIMENTO, METÁLICA, PLÁSTICA OU TERMOACÚSTICA</t>
  </si>
  <si>
    <t xml:space="preserve">TELHA DE FIBROCIMENTO ONDULADA E=6MM </t>
  </si>
  <si>
    <t>CALHA DE CHAPA GALVANIZADA N° 26</t>
  </si>
  <si>
    <t xml:space="preserve">RUFO / PINGADEIRA DE CHAPA GALVANIZADA Nº 26 </t>
  </si>
  <si>
    <t xml:space="preserve">VIDRO FANTASIA, COLOCADO EM CAIXILIO COM OU SEM BAGUETE, DUAS DEMÃOS DE MASSA E= 4 MM </t>
  </si>
  <si>
    <t xml:space="preserve">IDENTIFICAÇÃO DE TRINCAS, MAPEAMENTO, PREPARAÇÃO  E TRATAMENTO COM MASTIQUE </t>
  </si>
  <si>
    <t xml:space="preserve">IMPERMEABILIZACAO DE SUPERFICIE COM CIMENTO IMPERMEABILIZANTE DE PEGA ULTRARRAPIDA </t>
  </si>
  <si>
    <t xml:space="preserve">IMPERMEABILIZACAO DE SUPERFICIE COM IMPERMEABILIZANTE FLEXIVEL A BASE DE RESINA ACRÍLICA </t>
  </si>
  <si>
    <t xml:space="preserve">TRATAMENTO FLEXÍVEL C/INJEÇÃO DE SELANTE À BASE DE POLIURETANO HIDROATIVADO E GEL </t>
  </si>
  <si>
    <t>GUIA PRÉ-MOLDADA PARA PASSEIOS E JARDINS INTERNOS</t>
  </si>
  <si>
    <t>BARRA DE FERRO RETANGULAR, BARRA CHATA  (QUALQUER DIMENSÃO / VALOR MÉDIO)</t>
  </si>
  <si>
    <t>FORNECIMENTO E INSTALAÇÃO DE ESCADA TIPO MARINHEIRO COM GUARDA CORPO DE PROTEÇÃO</t>
  </si>
  <si>
    <t>O item remunera o fornecimento da escada constituída por montantes em perfis de aço tipo "L", degraus em perfis "T", soldados nos montantes, do guarda-corpo em perfis de ferro "T", chumbadores do tipo parabolt para fixação, inclusive equipamentos, acessórios e a mão de obra necessária para a instalação.</t>
  </si>
  <si>
    <t>Pelo comprimento, após laudo de responsável técnico atestando a conformidade da escada instalada com a legislação vigente (m).</t>
  </si>
  <si>
    <t>DATA-BASE</t>
  </si>
  <si>
    <t>Fornecimento de ferramentas e mão-de-obra necessárias para a execução manual dos serviços: desmonte, demolição e fragmentação de pavimento ou piso em concreto, inclusive sub-bases, ou lastros; o material demolido deverá ser acomodado em local apropriado para posterior carga, transporte e bota-fora.</t>
  </si>
  <si>
    <t>1) A carga e bota-fora de entulho serão remunerados por itens específicos.</t>
  </si>
  <si>
    <r>
      <t xml:space="preserve">3) O reaproveitamento ou não das guias a serem retiradas será determinado pela </t>
    </r>
    <r>
      <rPr>
        <b/>
        <sz val="10"/>
        <rFont val="Times New Roman"/>
        <family val="1"/>
      </rPr>
      <t>Fiscalização</t>
    </r>
    <r>
      <rPr>
        <sz val="10"/>
        <rFont val="Times New Roman"/>
        <family val="1"/>
      </rPr>
      <t xml:space="preserve"> que analisará caso a caso.</t>
    </r>
  </si>
  <si>
    <t xml:space="preserve">2) A execução dos serviços deverá cumprir todas as exigências e determinações previstas na legislação: Resolução nº 307, de 5 de julho de 2002, pelo Conselho Nacional do Meio Ambiente (CONAMA),                                     NBR 15112, NBR 15113, NBR 15114 e outras vigentes à época da execução dos serviços. </t>
  </si>
  <si>
    <r>
      <t xml:space="preserve">2) O reaproveitamento ou não das esquadrias metálicas em geral a serem retiradas será determinado pela </t>
    </r>
    <r>
      <rPr>
        <b/>
        <sz val="10"/>
        <rFont val="Times New Roman"/>
        <family val="1"/>
      </rPr>
      <t>Fiscalização</t>
    </r>
    <r>
      <rPr>
        <sz val="10"/>
        <rFont val="Times New Roman"/>
        <family val="1"/>
      </rPr>
      <t xml:space="preserve"> que analisará caso a caso.</t>
    </r>
  </si>
  <si>
    <t xml:space="preserve">A execução dos serviços deverá cumprir todas as exigências e determinações previstas na legislação: Resolução nº 307, de 5 de julho de 2002, pelo Conselho Nacional do Meio Ambiente (CONAMA),                                           NBR 15112, NBR 15113, NBR 15114 e outras vigentes à época da execução dos serviços. </t>
  </si>
  <si>
    <t xml:space="preserve">LAJE PRE-MOLDADA P/FORRO, E=8CM, C/LAJOTAS E CAP.C/CONC FCK=20MPA, 3CM, INTER-EIXO 38CM, C/ESCORAMENTO E FERRAGEM NEGATIVA </t>
  </si>
  <si>
    <t>RALO SECO DE PVC RÍGIDO, ALTURA 50MM, DIÂMETRO DE ENTRADA 40MM, COM GRELHA QUADRADA DE PVC BRANCO, DIMENSÕES 100X100MM</t>
  </si>
  <si>
    <t>RALO SECO DE PVC RÍGIDO, ALTURA 50MM, DIÂMETRO DE ENTRADA 40MM, COM GRELHA QUADRADA METÁLICA, DIMENSÕES 100X100MM</t>
  </si>
  <si>
    <t xml:space="preserve">CAIXA SIFONADA DE PVC RÍGIDO, ALTURA DE 50MM, COM GRELHA REDONDA DE PVC BRANCO, NAS DIMENSÕES DN = 150MM </t>
  </si>
  <si>
    <t>CONDUTOR VERTICAL DE ÁGUAS PLUVIAIS EM TUBO PVC, SÉRIE R, ÁGUA PLUVIAL, DN 100 MM, INCLUSIVE CONEXÕES</t>
  </si>
  <si>
    <t>TUBO PVC RÍGIDO SOLDÁVEL MARROM, DN = 25 MM (3/4'), INCLUSE CONEXÕES</t>
  </si>
  <si>
    <t>TUBO PVC RÍGIDO SOLDÁVEL MARROM, DN = 40 MM (1.1/4'), INCLUSE CONEXÕES</t>
  </si>
  <si>
    <t>TUBO PVC RÍGIDO SOLDÁVEL MARROM, DN = 50 MM (1.1/2'), INCLUSE CONEXÕES</t>
  </si>
  <si>
    <t>TUBO EM PVC RÍGIDO BRANCO, SÉRIE NORMAL, INCLUSIVE CONEXÕES, DN =  40 MM</t>
  </si>
  <si>
    <t>TUBO EM PVC RÍGIDO BRANCO, SÉRIE NORMAL, INCLUSIVE CONEXÕES, DN =  50 MM</t>
  </si>
  <si>
    <t>TUBO EM PVC RÍGIDO BRANCO, SÉRIE NORMAL, INCLUSIVE CONEXÕES, DN =  100 MM</t>
  </si>
  <si>
    <t>REGISTRO DE ESFERA PVC, SOLDÁVEL, COM VOLANTE, Ø 40 MM</t>
  </si>
  <si>
    <t>5.2</t>
  </si>
  <si>
    <t>5.3</t>
  </si>
  <si>
    <t>5.4</t>
  </si>
  <si>
    <t>FORNECIMENTO E INSTALAÇÃO DE LONA PLASTICA PRETA PARA IMPERMEABILIZAÇÃO</t>
  </si>
  <si>
    <t>FORNECIMENTO E INSTALAÇÃO DE CAIXA RETANGULAR 4"X2", DE EMBUTIR</t>
  </si>
  <si>
    <t>LOCAÇÃO DE ANDAIMES METÁLICOS TIPO TORRE</t>
  </si>
  <si>
    <t>ANDAIMES METÁLICOS TIPO TORRE - MONTAGEM E DESMONTAGEM</t>
  </si>
  <si>
    <t>FORNECIMENTO E INSTALAÇÃO DE BANCO PRÉ-FABRICADO DE CONCRETO, ESTILO EUROPEU</t>
  </si>
  <si>
    <t>CIMBRAMENTO DE MADEIRA</t>
  </si>
  <si>
    <t>GUIA PRÉ-MOLDADA DE CONCRETO, ASSENTADA COM CONCRETO FCK=15MPA</t>
  </si>
  <si>
    <t>SARJETA DE CONCRETO INCLUINDO PREPARO DE CAIXA, CONCRETO FCK=18MPA</t>
  </si>
  <si>
    <t>CORTE COM SERRA CLIPPER EM PISO CIMENTADO OU PAVIMENTAÇÃO ASFÁLTICA</t>
  </si>
  <si>
    <t xml:space="preserve">REBOCO/MASSA ÚNICA, PAREDE INTERNA/EXTERNA COM ARGAMASSA DE CIMENTO, CAL E AREIA 1:2:8, E=20 MM </t>
  </si>
  <si>
    <t xml:space="preserve">CALÇADAS E PISOS EM CONCRETO FCK=20 MPA, PREPARO MECÂNICO, ACABAMENTO CONVENCIONAL, INCLUSIVE PREPARO DE CAIXA </t>
  </si>
  <si>
    <t xml:space="preserve">CALÇADAS E PISOS EM CONCRETO FCK = 20 MPA, USINADO, ACABAMENTO CONVENCIONAL, INCLUSIVE PREPARO DE CAIXA </t>
  </si>
  <si>
    <r>
      <t xml:space="preserve">PINTURA DE </t>
    </r>
    <r>
      <rPr>
        <b/>
        <sz val="12"/>
        <rFont val="Times New Roman"/>
        <family val="1"/>
      </rPr>
      <t>RESERV. ELEVADO</t>
    </r>
    <r>
      <rPr>
        <sz val="12"/>
        <rFont val="Times New Roman"/>
        <family val="1"/>
      </rPr>
      <t xml:space="preserve"> DE CONCRETO - LÁTEX ACRÍLICO FOSCO COR BRANCA 2 DEMÃOS E FAIXAS AZUIS CONFORME PADRÃO SEMAE</t>
    </r>
  </si>
  <si>
    <r>
      <t xml:space="preserve">PINTURA DE </t>
    </r>
    <r>
      <rPr>
        <b/>
        <sz val="12"/>
        <rFont val="Times New Roman"/>
        <family val="1"/>
      </rPr>
      <t>RESERV. APOIADO</t>
    </r>
    <r>
      <rPr>
        <sz val="12"/>
        <rFont val="Times New Roman"/>
        <family val="1"/>
      </rPr>
      <t xml:space="preserve"> DE CONCRETO - LÁTEX ACRÍLICO FOSCO COR BRANCA 2 DEMÃOS E FAIXAS AZUIS CONFORME PADRÃO SEMAE</t>
    </r>
  </si>
  <si>
    <t>Esmalte epóxi modificado, bicomponente, com alta capacidade de ancoragem para superfícies galvanizadas e não ferrosas, Referência Técnica SUMADUR SP 530 (VERMELHO) ou equivalente que apresente as mesmas características.</t>
  </si>
  <si>
    <t>1) Atender as normas NBR 13816, NBR 13817, NBR 13818 e NBR 14081-1.</t>
  </si>
  <si>
    <r>
      <t xml:space="preserve">2) A </t>
    </r>
    <r>
      <rPr>
        <b/>
        <sz val="10"/>
        <rFont val="Times New Roman"/>
        <family val="1"/>
      </rPr>
      <t>Fiscalização</t>
    </r>
    <r>
      <rPr>
        <sz val="10"/>
        <rFont val="Times New Roman"/>
        <family val="1"/>
      </rPr>
      <t xml:space="preserve"> deverá avaliar e autorizar o azulejo antes do assentamento.</t>
    </r>
  </si>
  <si>
    <t xml:space="preserve">●    </t>
  </si>
  <si>
    <t>1) A execução do serviço deverá seguir todas as recomendações da NBR 13245 - Execução de pinturas em edificações não industriais.</t>
  </si>
  <si>
    <t>2) Deverá seguir também as NBR 11702, 15381, 15382 e 12311.</t>
  </si>
  <si>
    <t>3) A Contratada deverá aplicar tantas quantas demãos forem necessárias para dar perfeito acabamento na superfície.</t>
  </si>
  <si>
    <t>4) Caso a tinta a ser utilizada não tenha certificação que comprove ser de 1ª linha, o certificado de qualificação PSQ – Tintas Imobiliárias, será solicitado a empresa que apresente resultados dos testes conforme as normas técnicas, sendo a NBR 14942 e 14940 para tinta látex standard e premium, NBR 15303 para massa niveladora, NBR 15299, 15311, 15314, 15315 e 16407 para esmaltes sintéticos standard e premium e NBR 15311 para verniz e outras que estiverem vigentes a época.</t>
  </si>
  <si>
    <t>5) Caso a tinta a ser utilizada não tenha certificação que comprove ser de 1ª linha, o certificado de qualificação PSQ – Tintas Imobiliárias, será solicitado a empresa que apresente resultados dos testes conforme as normas técnicas, sendo a NBR 14942 e 14940 para tinta látex standard e premium, NBR 15303 para massa niveladora, NBR 15299, 15311, 15314, 15315 e 16407 para esmaltes sintéticos standard e premium e NBR 15311 para verniz e outras que estiverem vigentes a época.</t>
  </si>
  <si>
    <t>2) Em portas de ferro onduladas e articuladas de enrolar, portas e caixilhos chapeados, grades articuladas de enrolar e portas pantográficas, pela área da peça multiplicada por 2,5 (dois e meio);</t>
  </si>
  <si>
    <t>3) Em caixilhos com batentes ou contramarcos metálicos, com venezianas ou persianas, pela área da peça multiplicada por 5 (cinco);</t>
  </si>
  <si>
    <t>5) Válvulas, flanges, registros e conexões: cada unidade será considerada como um metro linear de tubulação de diâmetro correspondente, acrescida do respectivo coeficiente;</t>
  </si>
  <si>
    <t>6) Faixas de identificação em tubulação: cada faixa deverá ser considerada como 0,50 m da tubulação correspondente, acrescida do respectivo coeficiente.</t>
  </si>
  <si>
    <t>De 13"a 14"</t>
  </si>
  <si>
    <t>Acima de 14"</t>
  </si>
  <si>
    <t>1) As pinturas nas escadas e seu respectivo gradil de proteção serão em esmalte sintético sobre primer ou fundo anti-corrosivo em 02 (duas) demãos, ou quantas forem necessárias para o perfeito recobrimento, nas cores a serem definidas e confirmadas pela Fiscalização.</t>
  </si>
  <si>
    <t>2)  Os alambrados em tela eletro-soldada (pilares e telas) deverão ser pintados em esmalte acrílico fosco na cor branca em no mínimo 02 (duas) demão sobre primer ou fundo anti-corrosivo.</t>
  </si>
  <si>
    <t>1) Deve ser trocado sempre que alguma peça estiver danificada, apresentar risco para a estrutura ou a pedido da Fiscalização, se a mesma avaliar que o mesmo não oferece segurança adequada.</t>
  </si>
  <si>
    <t>2) Deverá atender as especificações da NR-18 acompanhado pela respectiva Anotação de Responsabilidade Técnica (ART).</t>
  </si>
  <si>
    <t>O item remunera o fornecimento de equipamentos, materiais acessórios e mão de obra necessária para a execução de aterro de valas ou cavas, englobando os serviços: lançamento e espalhamento manuais do solo; compactação, por meio de compactador; nivelamento, acertos e acabamentos manuais.</t>
  </si>
  <si>
    <t xml:space="preserve">OBS:  </t>
  </si>
  <si>
    <t>1)     PREÇOS UTILIZADOS SEM DESONERAÇÃO</t>
  </si>
  <si>
    <t>EXECUÇÃO DE SERVIÇO DE REFORMA CIVIL, CONSTRUÇÕES E MANUTENÇÕES GERAIS  PARA MELHORIAS NAS ÁREAS DE PROPRIEDADE E/OU DE RESPONSABILIDADE DO SEMAE.</t>
  </si>
  <si>
    <t>O item remunera o fornecimento da porta veneziana de abrir e batentes, linha comercial, em alumínio com pintura eletrostática a pó na cor branca, inclusive ferragem, e mão de obra e materiais necessários a sua instalação.</t>
  </si>
  <si>
    <t>O item está condicionado a apresentação de projeto da escada tipo marinheiro (responsabilidade da Contratada) para equipe de Segurança no Trabalho do SeMAE, plano de remoção da escada antiga e método construtivo da escada nova, bem como a compatibilização com a estrutura do reservatório existente e laudo de liberação de uso da escada atestando sua conformidade com as Normas Regulamentadores vigentes.</t>
  </si>
  <si>
    <t>1) Em caixilhos vazados, grades, gradis de ferro ou guarda corpo, pela área da peça ou projeção do conjunto, no plano vertical ou horizontal, considerada uma vez só; enquanto os portões e tampas metálicas será computado a área da peça multiplicada por 2,0 (dois) - quando houver pintura em ambos os lados;</t>
  </si>
  <si>
    <t>EQUIP</t>
  </si>
  <si>
    <t>MEDIÇÃO MENSAL</t>
  </si>
  <si>
    <t>MEDIÇÕES MENSAIS ACUMULADAS</t>
  </si>
  <si>
    <t>SALDO CONTRATUAL</t>
  </si>
  <si>
    <t>1º MÊS</t>
  </si>
  <si>
    <t>2ºMÊS</t>
  </si>
  <si>
    <t>3º MÊS</t>
  </si>
  <si>
    <t>4º MÊS</t>
  </si>
  <si>
    <t>5º MÊS</t>
  </si>
  <si>
    <t>6º MÊS</t>
  </si>
  <si>
    <t>7º MÊS</t>
  </si>
  <si>
    <t>8º MÊS</t>
  </si>
  <si>
    <t>9º MÊS</t>
  </si>
  <si>
    <t>10º MÊS</t>
  </si>
  <si>
    <t>11º MÊS</t>
  </si>
  <si>
    <t>12º MÊS</t>
  </si>
  <si>
    <t>DATA-BASE:</t>
  </si>
  <si>
    <t>HORISTA</t>
  </si>
  <si>
    <t>MENSALISTA</t>
  </si>
  <si>
    <t>A1 – PREVIDÊNCIA SOCIAL (INSS)*</t>
  </si>
  <si>
    <t>A2 – SERVIÇO SOCIAL DA INDÚSTRIA (SESI)</t>
  </si>
  <si>
    <t>A3 – SERVIÇO NACIONAL DE APRENDIZAGEM INDUSTRIAL (SENAI)</t>
  </si>
  <si>
    <t>A4 – INSTITUTO NACIONAL DE COLONIZAÇÃO E REFORMA AGRÁRIA (INCRA)</t>
  </si>
  <si>
    <t>A5 – SERVIÇO DE APOIO A PEQUENA E MÉDIA EMPRESA (SEBRAE)</t>
  </si>
  <si>
    <t>A6 – SALÁRIO EDUCAÇÃO</t>
  </si>
  <si>
    <t>A7 – SEGURO CONTRA ACIDENTES DE TRABALHO</t>
  </si>
  <si>
    <t>A8 – FUNDO DE GARANTIA POR TEMPO DE SERVIÇO (FGTS)</t>
  </si>
  <si>
    <t>A9 – SECONCI ( APLICÁVEL AS EMPRESAS CONSTANTES DO III GRUPO DA CLT)</t>
  </si>
  <si>
    <t>A – TOTAL DOS ENCARGOS SOCIAIS BÁSICOS</t>
  </si>
  <si>
    <t>B1 – REPOUSO SEMANAL REMUNERADO</t>
  </si>
  <si>
    <t>B2 – FERIADOS</t>
  </si>
  <si>
    <t>B3 – AUXÍLIO - ENFERMIDADE</t>
  </si>
  <si>
    <t>B4 – 13º SALÁRIO</t>
  </si>
  <si>
    <t>B5 –  LICENÇA PATERNIDADE</t>
  </si>
  <si>
    <t>B6 –  FALTAS JUSTIFICADAS</t>
  </si>
  <si>
    <t>B7 –  DIAS DE CHUVA</t>
  </si>
  <si>
    <t>B8 – AUXÍLIO ACIDENTE DE TRABALHO</t>
  </si>
  <si>
    <t>B9 – FÉRIAS GOZADAS</t>
  </si>
  <si>
    <t>B10 – SALÁRIO MATERNIDADE</t>
  </si>
  <si>
    <t>B – TOTAL DOS ENCARGOS QUE RECEBEM AS INCIDÊNCIAS DE A</t>
  </si>
  <si>
    <t>C1 – AVISO PRÉVIO INDENIZADO</t>
  </si>
  <si>
    <t>C2 – AVISO PRÉVIO TRABALHADO</t>
  </si>
  <si>
    <t>C3 – FÉRIAS INDENIZADAS</t>
  </si>
  <si>
    <t>C4 – DEPÓSITO RESCISÃO SEM JUSTA CAUSA</t>
  </si>
  <si>
    <t>C5 – INDENIZAÇÃO ADICIONAL</t>
  </si>
  <si>
    <t>C – TOTAL DOS ENCARGOS SOCIAIS QUE NÃO RECEBEM INCIDÊNCIAS DE A</t>
  </si>
  <si>
    <t>D1 – REINCIDÊNCIA DO GRUPO A SOBRE GRUPO B</t>
  </si>
  <si>
    <t>D2 – REINCIDÊNCIA DO GRUPO A SOBRE AVISO PRÉVIO TRABALHADO (C2) E REINCIDÊNCIA DO FGTS (A8) SOBRE AVISO PRÉVIO INDENIZADO (C1)</t>
  </si>
  <si>
    <t>D – TOTAL DE REINCIDÊNCIAS DE UM GRUPO SOBRE O OUTRO</t>
  </si>
  <si>
    <t>PORCENTAGEM TOTAL</t>
  </si>
  <si>
    <t xml:space="preserve"> (*) CASO A LICITANTE APRESENTE PROPOSTA DESONERADA, APRESENTAR A ALÍQUOTA CORRESPONDENTE</t>
  </si>
  <si>
    <t>NÃO INCIDE</t>
  </si>
  <si>
    <t>CAMINHÃO BASCULANTE, INCLUINDO CACAMBA METÁLICA DE 6 M3 - CHP</t>
  </si>
  <si>
    <t>CAMINHÃO BASCULANTE, INCLUINDO CACAMBA METÁLICA DE 6 M3 - CHI</t>
  </si>
  <si>
    <t>2) O reaproveitamento ou não dos elementos a serem retirados será determinado pela Fiscalização que analisará caso a caso.</t>
  </si>
  <si>
    <t xml:space="preserve">O item remunera o fornecimento do caixilho completo, tipo basculante, em aço, padronizado. Remunera também cimento,  areia,  acessórios  e  a  mão  de  obra  necessária  para  a  instalação  completa  do caixilho e a abertura do vão, quando necessário. </t>
  </si>
  <si>
    <t>A ser executado nos locais conforme indicação do Anexo I - Memorial Descritivo.</t>
  </si>
  <si>
    <t>O item remunera o fornecimento de materiais, equipamentos, materiais acessórios e mão-de-obra necessária para a execução dos serviços de: limpeza da superfície, lixamento, remoção do pó, aplicação do fundo preparador para tinta acrílica e aplicação  da  tinta  latéx acrílica. A pintura deve ser feita em, no mínimo, duas demãos, obedecendo-se os prazos estabalecidos pelo fabricante entre uma demão e outra e ser do tipo látex acrílica à base de resina acrílica, aditivada com Bacterkill (agente fungicida), solúvel em água, acabamento semibrilho, específica para prevenção da proliferação de fungos e mofo, com resistência à umidade em ambientes frios ou quentes.  Inclusos os andaimes de até 3,00 m de pé direito.</t>
  </si>
  <si>
    <t>Os alambrados em mourões de concreto (pilares e muretas) deverão ser pintados em látex acrílico fosco na cor branca em no mínimo 02 (duas) demãos. 
O item remunera o fornecimento de materiais, equipamentos, materiais acessórios e mão-de-obra necessária para a execução dos serviços de: limpeza da superfície, lixamento, remoção do pó e aplicação do fundo preparador para tinta acrílica; aplicação da tinta látex acrílica (2 demãos) à base de resina acrílica, aditivada com Bacterkill (agente fungicida), específica para prevenção da proliferação de fungos e mofo, solúvel em água, acabamento semibrilho,  com resistência à umidade em ambientes frios ou quentes, conforme especificações do fabricante.</t>
  </si>
  <si>
    <t>4) Para a pintura em altura, os profissionais devem estar devidamente habilitados, a empresa deverá fornecer a Análise Preliminar de Risco - APR e todos os documentos relativos a segurança no trabalho, a ART do balancim e seguir estritamente todas Normas Regulamentadores, incluindo linha de vida, cinto com talabarte e trava-quedas.</t>
  </si>
  <si>
    <t>A estrutura do cimbramento de madeira deve estar de acordo com a Norma Regulamentadora NR 18 e com as normas técnicas NBR 7203, 14931, 7190 e correlatas.</t>
  </si>
  <si>
    <t>estimativa 1 placa a cada 2 meses</t>
  </si>
  <si>
    <t>OBS.:ADOTADO CONFORME A TABELA DE ENCARGOS SOCIAIS SINAPI (CAIXA ECONOMICA FEDERAL)
VIGÊNCIA A PARTIR DE 10/2020</t>
  </si>
  <si>
    <t>UNxMÊS</t>
  </si>
  <si>
    <t>SANITÁRIO PORTÁTIL QUÍMICO INDIVIDUAL - TIPO STANDARD, COM LIMPEZA E DESCARTE CONFORME EXIGÊNCIAS DA CETESB</t>
  </si>
  <si>
    <t>MxMÊS</t>
  </si>
  <si>
    <t>ANDAIME METÁLICO TUBULAR DE ENCAIXE TIPO TORRE - LARGURA ATÉ 1,5M X ALTURA = 1,0M, INCLUINDO SAPATAS FIXAS OU RODÍZIOS</t>
  </si>
  <si>
    <t>BETONEIRA, CAPACIDADE NOMINAL DE 400L, MOTOR ELÉTRICO TRIFÁSICO DE  2CV - CHI</t>
  </si>
  <si>
    <t>BETONEIRA, CAPACIDADE NOMINAL DE 400L, MOTOR ELÉTRICO TRIFÁSICO DE  2CV - CHP</t>
  </si>
  <si>
    <t>COMPACTADOR A PERCUSSÃO TIPO SAPO MECÂNICO 3CV - CHP</t>
  </si>
  <si>
    <t>COMPRESSOR DE AR REBOCÁVEL, VAZÃO 189 PCM, PRESSÃO DE TRABALHO 102 PSI, MOTOR DIESEL, POT. 63 CV - CHP</t>
  </si>
  <si>
    <t>GRUPO DE SOLDA 600A, GERADOR DIESEL 60 CV PARA SOLDA ELÉTRICA, SOBRE RODAS, MOTOR 4 CILINDROS - CHP</t>
  </si>
  <si>
    <t>MÁQUINA DE LAVAGEM A PRESSÃO, TIPO VAP (ÁGUA FRIA, PRESSÃO 1700PSI) - CHP</t>
  </si>
  <si>
    <t>2.16</t>
  </si>
  <si>
    <t>2.31</t>
  </si>
  <si>
    <t>1.98</t>
  </si>
  <si>
    <t>PLACA DE OBRA (IDENTIFICAÇÃO) PARA CONSTRUÇÃO CIVIL EM CHAPA GALVANIZADA Nº 22 - COMPLETA</t>
  </si>
  <si>
    <t>MARTELETE OU ROMPEDOR PNEUMÁTICO MANUAL, 28 KG, COM SILENCIADOR - CHP</t>
  </si>
  <si>
    <t>levantamento:</t>
  </si>
  <si>
    <t xml:space="preserve">Levantamento </t>
  </si>
  <si>
    <t>levantamento</t>
  </si>
  <si>
    <t>Levantamento</t>
  </si>
  <si>
    <t xml:space="preserve">levantamento </t>
  </si>
  <si>
    <t>A mesma quantidade do alambrado x 3</t>
  </si>
  <si>
    <t>executado no contrato anterior</t>
  </si>
  <si>
    <t>Para muros readequados</t>
  </si>
  <si>
    <t>estimativa - 6 veículos e 2 pedestres</t>
  </si>
  <si>
    <t>estimativa - 1 portão</t>
  </si>
  <si>
    <t xml:space="preserve">estimativa </t>
  </si>
  <si>
    <t xml:space="preserve">Estimativa </t>
  </si>
  <si>
    <t>Contrato anterior</t>
  </si>
  <si>
    <t>Estimativa</t>
  </si>
  <si>
    <t>Contrato Anterior</t>
  </si>
  <si>
    <t>Contrato passado</t>
  </si>
  <si>
    <t>(paredes internas)</t>
  </si>
  <si>
    <t>Abrigos</t>
  </si>
  <si>
    <t>7.12</t>
  </si>
  <si>
    <t>7.13</t>
  </si>
  <si>
    <t>7.14</t>
  </si>
  <si>
    <t>7.15</t>
  </si>
  <si>
    <t>7.16</t>
  </si>
  <si>
    <t>MEMÓRIA DE CÁLCULO</t>
  </si>
  <si>
    <t>Muros</t>
  </si>
  <si>
    <t>Novos Pátios</t>
  </si>
  <si>
    <t>Levantamento abrigos</t>
  </si>
  <si>
    <t xml:space="preserve">Muros </t>
  </si>
  <si>
    <t>Formas para os muros</t>
  </si>
  <si>
    <t>Muro</t>
  </si>
  <si>
    <t>Previsões</t>
  </si>
  <si>
    <t>Solo Pinheiro</t>
  </si>
  <si>
    <t>Previsão</t>
  </si>
  <si>
    <t>Levatamento</t>
  </si>
  <si>
    <t>COLA BRANCA BASE PVA</t>
  </si>
  <si>
    <t>JANELA BASCULANTE, AÇO, COM BATENTE/REQUADRO, 60X80 CM, SEM VIDROS</t>
  </si>
  <si>
    <t>JANELA DE CORRER, ACO, BATENTE 6 A 14 CM, VENEZIANA, PINT ANTICORROSIVA, SEM VIDRO, 4 FLS, 120 X 150 CM</t>
  </si>
  <si>
    <t>RIPA DE MADEIRA NAO APARELHADA - 1,5 X 5 CM (P/FORMA)</t>
  </si>
  <si>
    <t>ALVENARIA EM BLOCO DE CONCRETO 14 X 19 X 39 CM</t>
  </si>
  <si>
    <t>2.3.1</t>
  </si>
  <si>
    <t xml:space="preserve">VIDRO COMUM LISO, COLOCADO EM CAIXILHO COM OU SEM BAGUETE, DUAS DEMÃOS DE MASSA E= 4 MM </t>
  </si>
  <si>
    <t>ALVENARIA EM BLOCO DE CONCRETO 19 X 19 X 39 CM</t>
  </si>
  <si>
    <t xml:space="preserve">Sinalização para máquinas e veículos em obras próximo ao passeio/rua. </t>
  </si>
  <si>
    <t>Total</t>
  </si>
  <si>
    <t>3.11.3</t>
  </si>
  <si>
    <t>Altura</t>
  </si>
  <si>
    <t>BLOCO DE CONCRETO ESTRUTURAL 14 x 19 x 39 CM - CLASSE A NBR 6136</t>
  </si>
  <si>
    <t>BLOCO DE CONCRETO ESTRUTURAL 19 x 19 x 39 CM - CLASSE A NBR 6136</t>
  </si>
  <si>
    <t xml:space="preserve">un. </t>
  </si>
  <si>
    <t xml:space="preserve">REMOÇÃO DE VIDRO COMUM </t>
  </si>
  <si>
    <t>FORNECIMENTO E LANÇAMENTO DE ELETRODUTO FLEXÍVEL CORRUGADO REFORÇADO, PVC, DN 25 MM (3/4")</t>
  </si>
  <si>
    <t>FORNECIMENTO E LANÇAMENTO DE ELETRODUTO FLEXÍVEL CORRUGADO REFORÇADO, PVC, DN 32 MM (1")</t>
  </si>
  <si>
    <t>ELETRODUTO PVC FLEXIVEL CORRUGADO, REFORCADO, COR LARANJA, DE 32 MM, 1"</t>
  </si>
  <si>
    <t>ELETRODUTO PVC FLEXIVEL CORRUGADO, REFORCADO, COR LARANJA, DE 25 MM, 3/4"</t>
  </si>
  <si>
    <t>FORNECIMENTO E LANÇAMENTO DE ELETRODUTO FLEXÍVEL CORRUGADO, PEAD, DN 50 (1 1/2")</t>
  </si>
  <si>
    <t>ELETRODUTO/DUTO PEAD FLEXIVEL PAREDE SIMPLES, CORRUGACAO HELICOIDAL, COR PRETA, DE 1 1/2"</t>
  </si>
  <si>
    <t>FORNECIMENTO E LANÇAMENTO DE ELETRODUTO FLEXÍVEL CORRUGADO, PEAD, DN 63 (2")</t>
  </si>
  <si>
    <t>ELETRODUTO/DUTO PEAD FLEXIVEL PAREDE SIMPLES, CORRUGACAO HELICOIDAL, COR PRETA, DE 2"</t>
  </si>
  <si>
    <t>Comparativo</t>
  </si>
  <si>
    <t>RELs</t>
  </si>
  <si>
    <t>m²</t>
  </si>
  <si>
    <t xml:space="preserve">O item remunera o fornecimento de equipamentos, materiais, acessórios e a mão-de-obra necessários para execução dos serviços de lixamento e pintura em tinta epoxi, indicada para proteção de superfícies, com ou sem jateamento, em ambientes agressivos, conforme  recomendações dos fabricantes. </t>
  </si>
  <si>
    <t>Fornecimento de equipamento e a mão-de-obra necessária para a execuçãode corte de juntas ou pré-demolição por meio de serra de discos diamantados, na largura mínima de 3 mm, e espessura mínima de 3 cm, em pisos de concreto ou pavimentação asfáltica.</t>
  </si>
  <si>
    <t>Pelo comprimento total recortado, em metros.</t>
  </si>
  <si>
    <t>Fornecimento, lançamento e ou instalação de  eletroduto flexível de PVC antichama, isolante e resistente a agentes químicos, para instalações de cabos subterrâneos em redes de energia, ou automações, conforme as normas  NBR 15465 e NBR5410; remunera também os acessórios necessários como arame galvanizado para servir de guia à enfiação, luvas roscadas para emendas, curvas roscadas para mudanças de direção, bem como a execução de rosca nas extremidades com tarraxa apropriada.</t>
  </si>
  <si>
    <t>Profissional qualificado e todos os equipamentos necessários para a remoção completa dos vidros a serem subistiuidos.</t>
  </si>
  <si>
    <t>Pela área do vão deixada pela remoção completa do vidro, em metros quadrados.</t>
  </si>
  <si>
    <t>1/4 do total</t>
  </si>
  <si>
    <t>3/4 do total</t>
  </si>
  <si>
    <t>adequamos a quantidade para casos excepicionais, pois os novos locais serão cercados em alvenaria</t>
  </si>
  <si>
    <t xml:space="preserve">Levantamento para abrigos e </t>
  </si>
  <si>
    <t>casa de coloro e flúor</t>
  </si>
  <si>
    <t>Os modelos e as proporções do logo devem seguir as disposições do Anexo X.XIII.</t>
  </si>
  <si>
    <t>6) A pintura e faixas deverão estar de acordo com o Anexo X.XIII</t>
  </si>
  <si>
    <t>Fornecimento e colocação de grade de proteção de ferro em barra chata, incluindo ferragens e acabamento, conforme modelos constantes nos Anexos X.XIV ou apontamento da Fiscalização.</t>
  </si>
  <si>
    <t>Fornecimento e instalação de tampa confeccionada em requadro de cantoneira galvanizada de 1” x 1/8” e chapa de aço carbono galvanizada nº 14 com abertura conforme Anexo X.VI ou solicitado pela Fiscalização. Inclui limpeza das superfícies, chumbamento da tampa conforme dimensões necessárias e demais serviços complementares. Compreende também o fornecimento de cadeado, a ser especificado pela Fiscalização.</t>
  </si>
  <si>
    <t>Conforme Anexo X.X.</t>
  </si>
  <si>
    <t>O item remunera o fornecimento de todos os materiais, equipamentos, mão de obra e materiais acessórios para a execução de alambrado completo, compreendendo tela de arame galvanizado ou galvanizado revestido de PVC, fio de 2,5 mm quadrados (fio 12) malha quadrangular de 5 cm, fixadas em mourões de concreto armado curvo com altura de 2,50 metros + 0,40 metro de inclinação no qual devem ser estirados 03 (três) fios de arame farpado do galvanizado n°16 BWG. O espaçamento entre mourões deve ser de 2,5 metros, incluido reforço em escoras a cada 15 metros, nas mudanças de direção e nos pontos terminais. Remunera também todos os materiais, mão de obra e equipamentos para a realização do chumbamento com concreto para os mourões, conforme especificações no Anexo X.XV. Compreende também todos os serviços necessários para a execução da mureta, nas dimensões adotadas como padrão SeMAE contidas no mesmo anexo citado. Remunera a escavação; aterro; limpeza e demais serviços necessários, conforme projeto. Não remunera a fôrma para a concretagem das muretas.</t>
  </si>
  <si>
    <t>Fornecimento de mão-de-obra, materiais e equipamentos para confecção e instalação de placa de obra padrão SeMAE, nas dimensões e nos locais a  serem definidos pela Fiscalização, incluindo a fixação da mesma nos locais indicados pela Fiscalização.</t>
  </si>
  <si>
    <t>O item remunera areia, materiais acessórios e a mão de obra necessária para a execução dos serviços: apiloamento da superfície; lançamento e execução do lastro de areia média, com altura média de 5 cm, adensado por meio de placa vibratória; assentamento dos blocos a partir de um meio-fio lateral, em ângulos retos, ou a 45º, em relação ao eixo definido, garantindo o intertravamento e que as juntas entre as peças não excedam a 3 mm; execução de arremates junto ao meio-fio, ou bueiros, ou caixas de inspeção, etc., com blocos serrados, ou cortados, na dimensão mínima de um terço da peça inteira, conforme recomendações do fabricante; compactação das lajotas por meio de rolo compactador, juntamente com espalhamento de camada de areia fina, promovendo o preenchimento completo dos espaços das juntas do pavimento e o consequente intertravamento dos blocos. Remunera também o preenchimento com argamassa de cimento e areia no traço 1:3, dos pequenos espaços existentes entre os blocos e as bordas de acabamento. A movimentação das peças dentro do canteiro também está incluso no valor.</t>
  </si>
  <si>
    <t>Será medido pela área total da recomposição do piso pavimentado com lajotas de concreto, descontado toda e qualquer interferência (m2).</t>
  </si>
  <si>
    <t>1) Não remunera fornecimento de lastro de brita, quando necessário, que será pago a parte.</t>
  </si>
  <si>
    <t xml:space="preserve">2) Nestes casos, a lajota de concreto será proveniente de alguma retirada com reaproveitamento ou a ser fornecida pelo SeMAE. </t>
  </si>
  <si>
    <t>O portão deverá seguir as especificações do Anexo X.I</t>
  </si>
  <si>
    <t>4) Em tubulações, considerando-se os coeficientes abaixo, multiplicados pela área da face externa da tubulação:</t>
  </si>
  <si>
    <t>O item remunera o fornecimento de portão de abrir, constituído por barras verticais de 25 x 2 mm
e fio de ligação com diâmetro de 5 mm, formando um gradil com malha de 65 x 132 mm; quadro
em perfil quadrado, espessura mínima de 1,9 mm; batente em perfil retangular, espessura mínima
de 3 mm; jogo completo de ferragens, incluindo eixo pivotante, fechaduras, maçanetas, gonzos e
trincos, compatíveis com as dimensões do portão; todo material confeccionado em aço galvanizado
a fogo, soldados pelo processo automático de eletrofusão, tratamento superficial por galvanização
a fogo conforme norma ASTM-A123/123M-2017, parafusos antifurto, acabamento com pintura
poliéster a pó aplicada eletrostaticamente, em cor azul frança. Remunera também materiais e a mãode-
obra necessária para a instalação completa e fixação do portão.</t>
  </si>
  <si>
    <t>2.3.2</t>
  </si>
  <si>
    <t>2.3.3</t>
  </si>
  <si>
    <t>2.3.4</t>
  </si>
  <si>
    <t xml:space="preserve">TELHA TIPO KALHETA E=8MM, COM FIO SINTÉTICO CRFS - PERFIL TRAPEZOIDAL DE 44CM </t>
  </si>
  <si>
    <t>As telhas, de referência comercial Kalheta fabricação Brasilit ou equivalente, deverão ser em chapa de cimento reforçado com fio sintético
(CRFS), em perfil trapezoidal, com 8 mm de espessura, largura útil de 44 cm, em qualquer
comprimento.</t>
  </si>
  <si>
    <t>AZULEJO CERÂMICO ESMALTADO EXTRA, ASSENTADO COM ARGAMASSA COLANTE, JUNTAS A PRUMO, INCLUSO REJUNTAMENTO</t>
  </si>
  <si>
    <t>O item remunera o fornecimento e assentamento de azulejo branco,  com as seguintes características: Absorção de água: &lt; 3%, grupo de absorção AI (baixa absorção de água);  Resistência  química:  classe  UA  até  UHA  (alta  resistência  química  a  agentes  químicos industriais); Carga de ruptura: &gt; 1.300 N;  Resistência a abrasão profunda: &lt; 106 mm³; Resistente ao choque térmico; Resistente ao congelamento.</t>
  </si>
  <si>
    <t>REVESTIMENTO EM CERAMICA ESMALTADA EXTRA, PEI MAIOR OU IGUAL A 4 FORMATO MAIOR A 2025CM2</t>
  </si>
  <si>
    <t>3.4.9</t>
  </si>
  <si>
    <t>O item remunera o fornecimento de pedra britada em números médios, o equipamento e a mão de obra necessária para espalhamento e compactação leve do lastro. Lançamento sobre o terreno devidamente regularizado e apiloado.</t>
  </si>
  <si>
    <t>PEDRA BRITADA Nº 1 GRANULOMETRIA ENTRE (9,5 E 25,00 MM)</t>
  </si>
  <si>
    <t>PEDRA BRITADA Nº 2 GRANULOMETRIA ENTRE (21,0 E 32,0 MM)</t>
  </si>
  <si>
    <t>PEDRISCO GRANULOMETRIA ENTRE (0,075 E 4,8 MM) NBR 7225</t>
  </si>
  <si>
    <t>LANÇAMENTO, ESPALHAMENTO E ACOMODAÇÃO MECANIZADA DE BRITA PARA COBERTURA DE PÁTIO</t>
  </si>
  <si>
    <t>LASTRO DE BRITA APILOADO</t>
  </si>
  <si>
    <t>LOCAL LICENCIADO PARA DEPÓSITO DE BOTA FORA</t>
  </si>
  <si>
    <t>BETONEIRA REVERSIVEL COM CARREGADOR, CAPACIDADE DE 320 LITROS, ACIONAMENTO DO MOTOR COMBUSTÃO INTERNA (DIESEL E GASOLINA) OU MOTOR ELÉTRICO ALFA 320</t>
  </si>
  <si>
    <t>ALUGUEL DE CONTAINER PARA DEPÓSITO, METÁLICO EM AÇO GALVANIZADO, 6,0X2,30X2,50M, VÃO LIVRE, PISO DE CONCRETO, CIMENTADO OU MADEIRA</t>
  </si>
  <si>
    <t>CONCERTINA CLIPADA (DUPLA) EM ACO GALVANIZADO DE ALTA RESISTENCIA, ESPIRAL DE 300 MM, D = 2,76 MM</t>
  </si>
  <si>
    <t>PÁ  CARREGADEIRA A DIESEL SOBRE PNEUS - CAÇAMBA DE 1,70 A 2,80 M3 - 128 HP - CHP</t>
  </si>
  <si>
    <t>CORTADORA DE PISO A GASOLINA, 13 HP, COM DISCO DE CORTE DIAMANTADO PARA CONCRETO Ø 350MM - CHP</t>
  </si>
  <si>
    <t>2.29</t>
  </si>
  <si>
    <t>2.33</t>
  </si>
  <si>
    <t>2.34</t>
  </si>
  <si>
    <t>2.36</t>
  </si>
  <si>
    <t>RETRO ESCAVADEIRA A DIESEL SOBRE PNEUS - CAÇAMBA PÁ CARREGADEIRA DE 0,75 M3 - POTÊNCIA 75 CV - CHP</t>
  </si>
  <si>
    <t>RETRO ESCAVADEIRA A DIESEL SOBRE PNEUS - CAÇAMBA PÁ CARREGADEIRA DE 0,75 M3 - POTÊNCIA 75 CV - CHI</t>
  </si>
  <si>
    <t>VALOR</t>
  </si>
  <si>
    <t>1.99</t>
  </si>
  <si>
    <t>GUIA DE CONCRETO PRE-MOLDADO 19 X 6,5/6,5 CM (H X L1/L2)</t>
  </si>
  <si>
    <t>TOTAL DE MATERIAIS</t>
  </si>
  <si>
    <t xml:space="preserve">TOTAL DE EQUIPAMENTOS E SERVIÇOS </t>
  </si>
  <si>
    <t>TOTAL DE MÃO DE OBRA</t>
  </si>
  <si>
    <t>CP</t>
  </si>
  <si>
    <t>TRIBUTOS - COFINS E PIS</t>
  </si>
  <si>
    <t>PIS</t>
  </si>
  <si>
    <t>COFINS</t>
  </si>
  <si>
    <t>ISS</t>
  </si>
  <si>
    <t>TRIBUTOS - ISS</t>
  </si>
  <si>
    <t>ISS – IMPOSTO SOBRE SERVIÇOS</t>
  </si>
  <si>
    <t>CPRB</t>
  </si>
  <si>
    <t>TRIBUTOS - CONTRIBUIÇÃO PREVIDENCIÁRIA SOBRE A RENDA BRUTA</t>
  </si>
  <si>
    <t>DESONERAÇÃO - 0% OU 4,5%</t>
  </si>
  <si>
    <r>
      <t xml:space="preserve">Obs.: Conforme </t>
    </r>
    <r>
      <rPr>
        <b/>
        <sz val="11"/>
        <rFont val="Times New Roman"/>
        <family val="1"/>
      </rPr>
      <t>Lei Complementar nº 178 de 29 de dezembro de 2003</t>
    </r>
    <r>
      <rPr>
        <sz val="11"/>
        <rFont val="Times New Roman"/>
        <family val="1"/>
      </rPr>
      <t xml:space="preserve"> </t>
    </r>
    <r>
      <rPr>
        <b/>
        <sz val="11"/>
        <rFont val="Times New Roman"/>
        <family val="1"/>
      </rPr>
      <t>e alterações</t>
    </r>
    <r>
      <rPr>
        <sz val="11"/>
        <rFont val="Times New Roman"/>
        <family val="1"/>
      </rPr>
      <t xml:space="preserve">, que dispõe sobre a instituição do imposto sobre serviços de qualquer natureza – ISSQN no Município de São José do Rio Preto/SP, </t>
    </r>
    <r>
      <rPr>
        <b/>
        <sz val="11"/>
        <rFont val="Times New Roman"/>
        <family val="1"/>
      </rPr>
      <t>Art. 31 Inciso I</t>
    </r>
    <r>
      <rPr>
        <sz val="11"/>
        <rFont val="Times New Roman"/>
        <family val="1"/>
      </rPr>
      <t xml:space="preserve">, o </t>
    </r>
    <r>
      <rPr>
        <b/>
        <sz val="11"/>
        <rFont val="Times New Roman"/>
        <family val="1"/>
      </rPr>
      <t>ISS</t>
    </r>
    <r>
      <rPr>
        <sz val="11"/>
        <rFont val="Times New Roman"/>
        <family val="1"/>
      </rPr>
      <t xml:space="preserve"> para o objeto deste Processo Licitatório [</t>
    </r>
    <r>
      <rPr>
        <b/>
        <i/>
        <sz val="11"/>
        <rFont val="Times New Roman"/>
        <family val="1"/>
      </rPr>
      <t>07.05.00 - Reparação, conservação e reforma de edifícios, estradas, pontes, portos e congêneres (exceto o fornecimento de mercadorias produzidas pelo prestador dos serviços, fora do local da prestação dos serviços, que fica sujeito ao ICMS)]</t>
    </r>
    <r>
      <rPr>
        <sz val="11"/>
        <rFont val="Times New Roman"/>
        <family val="1"/>
      </rPr>
      <t xml:space="preserve"> será de </t>
    </r>
    <r>
      <rPr>
        <b/>
        <sz val="11"/>
        <rFont val="Times New Roman"/>
        <family val="1"/>
      </rPr>
      <t xml:space="preserve">5% </t>
    </r>
    <r>
      <rPr>
        <sz val="11"/>
        <rFont val="Times New Roman"/>
        <family val="1"/>
      </rPr>
      <t xml:space="preserve">com redução de </t>
    </r>
    <r>
      <rPr>
        <b/>
        <sz val="11"/>
        <rFont val="Times New Roman"/>
        <family val="1"/>
      </rPr>
      <t xml:space="preserve">50% </t>
    </r>
    <r>
      <rPr>
        <sz val="11"/>
        <rFont val="Times New Roman"/>
        <family val="1"/>
      </rPr>
      <t xml:space="preserve">na base de cálculo da prestação do serviço, resultando em alíquota de </t>
    </r>
    <r>
      <rPr>
        <b/>
        <sz val="11"/>
        <rFont val="Times New Roman"/>
        <family val="1"/>
      </rPr>
      <t>2,5% sobre o Valor Total da Obra</t>
    </r>
    <r>
      <rPr>
        <sz val="11"/>
        <rFont val="Times New Roman"/>
        <family val="1"/>
      </rPr>
      <t>, adotada na elaboração do BDI médio, inclusive para o BDI de Fornecimento de Materiais.</t>
    </r>
  </si>
  <si>
    <t xml:space="preserve">ARGAMASSA GROUT (PREPARO E LANÇAMENTO DE ARGAMASSA DE CIMENTO, AREIA E PEDRISCO 1:3:2) </t>
  </si>
  <si>
    <t xml:space="preserve"> </t>
  </si>
  <si>
    <t>VIGIA NOTURNO COM ENCARGOS COMPLEMENTARES</t>
  </si>
  <si>
    <t>6.1.1</t>
  </si>
  <si>
    <t>6.1.2</t>
  </si>
  <si>
    <t>PREPARAÇÃO DE SUPERFÍCIE PARA PINTURA COM RETIRADA DE LIMO, MATERIAIS DESAGREGADOS (CASCAS DE MATERIAIS CIMENTÍCIOS) ATRAVÉS DE HIDROJATEAMENTO</t>
  </si>
  <si>
    <t>HIDROJATEAMENTO SIMPLES</t>
  </si>
  <si>
    <t>MAQUINA DE LAVAGEM DE PRESSÃO IPO VAP (ÁGUA FRIA, PRESSÃO 1700PSI)</t>
  </si>
  <si>
    <t>HIDROJATEAMENTO  DE RESERVATÓRIO ELEVADO</t>
  </si>
  <si>
    <t>UND.MÊS</t>
  </si>
  <si>
    <t>OPERAÇÃO DE GERADOR - MATERIAS DE CONSUMO</t>
  </si>
  <si>
    <t>5.5</t>
  </si>
  <si>
    <t>TRATAMENTO DE CONCRETO COM ARMADURAS OXIDADADAS E RECOMPOSIÇÃO COM ARGAMASSA POLIMÉRICA</t>
  </si>
  <si>
    <t>MATERIAIS DE OPERAÇÃO - GERADOR MONOFÁSICO 13CV</t>
  </si>
  <si>
    <t>ALUGUEL DE GERADOR 15 KVA, BIVOLT</t>
  </si>
  <si>
    <t>Pinturas de Muro</t>
  </si>
  <si>
    <t>Pintura de Muro</t>
  </si>
  <si>
    <t>GERADOR PORTÁTIL A DIESEL POTÊNCIA=10KVA MONOFÁSICO BI-VOLT</t>
  </si>
  <si>
    <t>PICAPE LEVE CABINE SIMPLES - CARGA ÚTIL 700KG - 85 A 95CV - STRADA WORKING OU SIMILAR</t>
  </si>
  <si>
    <t>Fornecimento de vigilante, para guardar locais de obras durante a execução dos muros nos períodos em que a equipe não estiver trabalhando (noite e fins de semana), em que haja necessidade expresssa pesa Fiscalização, afim de garantir segurança das instalações do SeMAE.</t>
  </si>
  <si>
    <t>Por hora de vigia utilizado (h)</t>
  </si>
  <si>
    <t>i) Este item foi quantificado prevendo a Operação e Administração durante todo o período do Contrato, portanto as medições proporcionais à execução financeira pretendem evitar desembolsos indevidos de administração local em virtude de atrasos ou prorrogações de prazo, motivo pelo qual não foi utilizado critério de pagamento para este item como valor mensal fixo.</t>
  </si>
  <si>
    <t>Fornecimento de sanitário químico móvel, disposto em cada frente de trabalho para atendimento da equipe de trabalho no local.</t>
  </si>
  <si>
    <t>Por unidade utilizada por mês (und.mês)</t>
  </si>
  <si>
    <t>i) A quantidade de mobilizações de uma unidade dentro de um mês não gerará unidades extras para a medição.</t>
  </si>
  <si>
    <t>Locação de conteiners móveis, para armazeamento de ferramentas e materiais, bem como oraganização de canteiro de obras em cada local de trabalho.</t>
  </si>
  <si>
    <t>O item remunera toda mão de obra especializada, materiais e materiais acessórios necessária para a execução do serviço, inclusive limpeza da superfície.</t>
  </si>
  <si>
    <t>Por área efetivamente tratada (m2)</t>
  </si>
  <si>
    <t>O item remunera o fornecimento de materiais, equipamentos e mão-de-obra necessária para a execução dos serviços de: limpeza da superfície, lixamento, e aplicação do fundo preparador para tinta acrílica; aplicação da tinta látex acrílica, no mínimo em 2 demãos, à base de resina acrílica, aditivada com Bacterkill (agente fungicida), solúvel em água, acabamento semibrilho, específica para prevenção da proliferação de fungos e mofo, com resistência à umidade em ambientes frios ou quentes, conforme especificações do fabricante. Para reservatórios elevados, remunera a locação dos balancins e, para reservatórios com formato taça será utilizada uma plataforma elevatória para a pintura em altura. Esta plataforma será remunerada em item específico.</t>
  </si>
  <si>
    <t>PORTÃO DE ABRIR EM GRADE DE AÇO, MALHA 65 X 132 MM, MANUAL DO LOTEADOR</t>
  </si>
  <si>
    <t xml:space="preserve">Aluguel de gerador para execução de serviços em locais que não há instalação elétrica. </t>
  </si>
  <si>
    <t>VIGILANTE PARA ÁREAS EM OBRA</t>
  </si>
  <si>
    <t>SANITÁRIO QUÍMICO</t>
  </si>
  <si>
    <t>Abrigos e Casa de Cloro</t>
  </si>
  <si>
    <t>Estimativa para 10 abrigos</t>
  </si>
  <si>
    <t>Calçada Rampa</t>
  </si>
  <si>
    <t xml:space="preserve">abrigo de energia </t>
  </si>
  <si>
    <t>2.2.4</t>
  </si>
  <si>
    <t>O item 2.2.3 remunera o fornecimento de equipamentos e a mão de obra necessária para a execução dos  serviços de transporte para bota-fora e descarga de materiais provenientes de demolições em geral com a utilização de caminhão basculante ou similar apropriada para cada situação. Fica determinada como distância máxima a ser percorrida (ida e volta), entre o local do entulho e o local do despejo, 30 Km.  Remunera  também  o  retorno  do  veículo  descarregado. Ao passo que a taxa de descarga em local licicenciado se dará pelo item 2.2.4 pelo volúme definitavente descarregado.</t>
  </si>
  <si>
    <t>MEDIÇÃO 2.2.3:</t>
  </si>
  <si>
    <t>MEDIÇÃO 2.2.4:</t>
  </si>
  <si>
    <t>Pelo volume medido (m3).</t>
  </si>
  <si>
    <t>O item remunera o fornecimento de materiais, transporte, equipamentos, mão-de-obra e materiais acessórios necessários para a execução de alvenaria, para uso revestido, confeccionada em bloco vazado de concreto de 09 x 19 x 39 cm, 14 x 19 x 39 cm e 19 x 19 x 39 cm, com resistência mínima a compressão de 4,50 MPa; assentada com argamassa mista de cimento, cal hidratada e areia no traço de 1:0,5:8. Norma técnica: NBR 6136.</t>
  </si>
  <si>
    <t>CAMINHÃO - CARROCERIA FIXA ABERTA DE MADEIRA COM CAPACIDADE 5 T *160CV - CHP</t>
  </si>
  <si>
    <t>CAMINHÃO - CARROCERIA FIXA ABERTA DE MADEIRA COM CAPACIDADE 5 T *160CV - CHI</t>
  </si>
  <si>
    <t>CONTAINER</t>
  </si>
  <si>
    <t>13º MÊS</t>
  </si>
  <si>
    <t>15º MÊS</t>
  </si>
  <si>
    <t>14º MÊS</t>
  </si>
  <si>
    <t>16º MÊS</t>
  </si>
  <si>
    <t>17º MÊS</t>
  </si>
  <si>
    <t>18º MÊS</t>
  </si>
  <si>
    <t>19º MÊS</t>
  </si>
  <si>
    <t>20º MÊS</t>
  </si>
  <si>
    <t>21º MÊS</t>
  </si>
  <si>
    <t>22º MÊS</t>
  </si>
  <si>
    <t>23º MÊS</t>
  </si>
  <si>
    <t>24º MÊS</t>
  </si>
  <si>
    <t>Engenheiro responsável pela execução técnica e encarregado geral, ambos durante todo o período do Contrato; aluguel caminhão para transporte de materiais e equipe e de veículo leve à disposição, inclusive combustível, seguros, lavagens, lubrificantes e manutenções necessárias.</t>
  </si>
  <si>
    <t>ii) As disposições sobre o sanitário químico devem seguir o Anexo I - Termo de Referência</t>
  </si>
  <si>
    <t>RETIRADAS E DEMOLIÇÕES - ITEM 7.1 DO TERMO DE REFERÊNCIA</t>
  </si>
  <si>
    <t>CARGA, TRANSPORTE E DESCARGA - ITEM 7.2 DO TERMO DE REFERÊNCIA</t>
  </si>
  <si>
    <t>SINALIZAÇÃO DE TRÂNSITO - ITEM 7.3 DO TERMO DE REFERÊNCIA</t>
  </si>
  <si>
    <t>PROTEÇÃO DE ÁREA DE RESERVATÓRIO - PORTÕES, ALAMBRADOS E ITENS CONSTITUINTES - ITENS 8.1.1 A 8.1.8 DO TERMO DE REFERÊNCIA</t>
  </si>
  <si>
    <t>ESQUADRIAS E ELEMENTOS METÁLICOS - ITENS 8.2.1 A 8.2.10 DO TERMO DE REFERÊNCIA</t>
  </si>
  <si>
    <t>CANTEIRO DE OBRAS (ITEM 6.0 DO TERMO DE REFERÊNCIA)</t>
  </si>
  <si>
    <t>PLACA DE IDENTIFICAÇÃO DE OBRA, CONFORME PADRÃO SEMAE (ITEM 6.8 DO TERMO DE REFERÊNCIA)</t>
  </si>
  <si>
    <t>ALVENARIAS - ITENS 8.3.1 E 8.3.2 DO TERMO DE REFERÊNCIA</t>
  </si>
  <si>
    <t>MOVIMENTO DE TERRA - ITENS 8.4.1 A 8.4.6 DO TERMO DE REFERÊNCIA</t>
  </si>
  <si>
    <t>CONCRETO - ITENS 8.5.1 A 8.5.4 DO TERMO DE REFERÊNCIA</t>
  </si>
  <si>
    <t>FORMAS E ARMADURAS - ITENS 8.6.1 E 8.6.2 DO TERMO DE REFERÊNCIA</t>
  </si>
  <si>
    <t>ELEMENTOS CONSTRUTIVOS - ITENS 8.7.1 A 8.7.3 DO TERMO DE REFERÊNCIA</t>
  </si>
  <si>
    <t>REVESTIMENTOS - ITENS 8.8.1 A 8.8.3 DO TERMO DE REFERÊNCIA</t>
  </si>
  <si>
    <t>REVESTIMENTOS CERÂMICOS - ITENS 8.9.1 A 8.9.4 DO TERMO DE REFERÊNCIA</t>
  </si>
  <si>
    <t>COBERTURA - ITENS 8.10.1 A 8.10.4 DO TERMO DE REFERÊNCIA</t>
  </si>
  <si>
    <t>VIDRO - ITEM 8.11 DO TERMO DE REFERÊNCIA</t>
  </si>
  <si>
    <t>FORNECIMENTO E INSTALAÇÕES HIDRAULICAS - ITEM 9.0 DO TERMO DE REFERÊNCIA</t>
  </si>
  <si>
    <t>RECUPERAÇÃO E TRATAMENTO DE SUPERFÍCIES EM CONCRETO ARMADO - ITEM 10.0 DO TERMO DE REFERÊNCIA</t>
  </si>
  <si>
    <t>PINTURAS - ITEM 11.0 DO TERMO DE REFERÊNCIA</t>
  </si>
  <si>
    <t>SERVIÇOS COMPLEMENTARES - ITEM 12.0 DO TERMO DE REFERÊNCIA</t>
  </si>
  <si>
    <t>REMOÇÃO COMPLETA DE CERCA DE ALAMBRADO COM OU SEM REAPROVEITAMENTO</t>
  </si>
  <si>
    <t>FORNECIMENTO E INSTALAÇÃO DE CONJUNTO DE PORTÕES DE ABRIR EM BARRA CHATA, SOB MEDIDA, COMPLETO, PADRÃO ANEXO X.I-A, PORTÃO SOCIAL (1,00 X 2,6) E PORTÃO DE VEÍCULOS (4,00 X 2,60), INCLUSIVE PILARES DE FIXAÇÃO</t>
  </si>
  <si>
    <t>3.1.2</t>
  </si>
  <si>
    <t>3.1.3</t>
  </si>
  <si>
    <t>6.2</t>
  </si>
  <si>
    <t>6.3</t>
  </si>
  <si>
    <t>6.5</t>
  </si>
  <si>
    <t>6.7</t>
  </si>
  <si>
    <t>7.1</t>
  </si>
  <si>
    <t>7.10</t>
  </si>
  <si>
    <t>7.11</t>
  </si>
  <si>
    <t>3.3.8</t>
  </si>
  <si>
    <t>3.3.9</t>
  </si>
  <si>
    <t>CONSTRUÇÃO DE MURO EM ALVENARIA EM BLOCO DE CONCRETO 14 X 19 X 39 CM COM 2,60M DE ALTURA, INCLUSIVE FUNDAÇÕES E GROUT - CONFORME MANUAL DO EMPREENDEDOR 2026</t>
  </si>
  <si>
    <t>CONSTRUÇÃO DE ABRIGO ELÉTRICO EM ALVENARIA EM BLOCO DE CONCRETO 14 X 19 X 37 CM INCLUSIVE INSTALAÇÃO DE PORTA VENEZIANA E ELETRODUTOS - CONFORME MANUAL DO EMPREENDENDOR 2026</t>
  </si>
  <si>
    <t>1.17</t>
  </si>
  <si>
    <t>2.12</t>
  </si>
  <si>
    <t>RECUPERAÇÃO DE CONCRETO ARMADO COM ARMADURAS OXIDADAS E RECOMPOSIÇÃO COM ARGAMASSA POLIMÉRICA</t>
  </si>
  <si>
    <t>AJUDANTE DE CARPINTEIRO</t>
  </si>
  <si>
    <t>CADEADO SIMPLES, CORPO EM LATAO MACICO, COM LARGURA DE 50 MM E ALTURA DE APROX 40 MM, HASTE CEMENTADA EM ACO TEMPERADO COM DIAMETRO DE APROX 8,0 MM, INCLUINDO 2 CHAVES</t>
  </si>
  <si>
    <t>TELHA ESTRUTURAL DE FIBROCIMENTO 1 ABA, DE 0,52 X 4,00 M (SEM AMIANTO)</t>
  </si>
  <si>
    <t>HASTE RETA PARA GANCHO DE FERRO GALVANIZADO, COM ROSCA 5/16" X 45 CM PARA FIXACAO DE TELHA DE FIBROCIMENTO, INCLUI PORCA E ARRUELAS DE VEDACAO</t>
  </si>
  <si>
    <t>BANCO DE CONCRETO PRE-FABRICADO  (C=140CM E L= 35CM)</t>
  </si>
  <si>
    <t>1.121</t>
  </si>
  <si>
    <t>HASTE RETA DE ACO GALVANIZADO, H = *30* CM, BASE RETANGULAR, PARA FIXACAO DE CONCERTINA SIMPLES DE 30 CM (NAO INCLUI OS FIXADORES)</t>
  </si>
  <si>
    <t>PINTURA DA LOGOMARCA DO MUNICÍPIO DE SÃO JOSÉ DO RIO PRETO E NOME DO SISTEMA</t>
  </si>
  <si>
    <t>FORNECIMENTO E MONTAGEM/INSTALAÇÃO DE PLACAS DE SINALIZAÇÃO COM PINTURA REFLETIVA PARA APROVEITAMENTO</t>
  </si>
  <si>
    <t>OBS.:ADOTADO CONFORME A TABELA DE ENCARGOS SOCIAIS SINAPI (CAIXA ECONOMICA FEDERAL)
VIGÊNCIA A PARTIR DE 02/2026</t>
  </si>
  <si>
    <t>ANEXO X</t>
  </si>
  <si>
    <t>Por metro linear executado.</t>
  </si>
  <si>
    <t>O item remunera o fornecimento de materiais, equipamentos, mão-de-obra e materiais acessórios necessários para a execução de fechamento com muro, conforme Manual do Empreendedor de 2026. Compreende brocas de 1 metro de profundidade a cada 2 metros de distância, baldrame de 0,4 x 0,4 metros em toda a linearidade do muro, bem como os frisos e aço. Concertina e pintura serão pagas em itens específicos.</t>
  </si>
  <si>
    <t>O item remunera o fornecimento de materiais, equipamentos, mão-de-obra e materiais acessórios necessários para a execução de abrigo de energia, conforme Manual do Empreendedor de 2026. Compreende todos os itens de escavação, materiais estruturais e insumos, bem como a porta veneziana instaalada e laje. A pintura será paga por item específico.</t>
  </si>
  <si>
    <t>Por unidade completa de abrigo de energia executada, com porta, laje e acabamentos necessários.</t>
  </si>
  <si>
    <t>* Exceto pintura</t>
  </si>
  <si>
    <t>Valor Total</t>
  </si>
  <si>
    <t>Data</t>
  </si>
  <si>
    <t>(DATA)</t>
  </si>
  <si>
    <t>(TIMBRE DA LICITANTE)</t>
  </si>
  <si>
    <t xml:space="preserve">  </t>
  </si>
  <si>
    <t>ANEXO IV.A - PLANILHA DE ORÇAMENTO BASE - LICITANTE - GERAL</t>
  </si>
  <si>
    <r>
      <t xml:space="preserve">  •    PLANILHA DE ORÇAMENTO – LICITANTE -</t>
    </r>
    <r>
      <rPr>
        <sz val="10"/>
        <rFont val="Arial"/>
        <family val="1"/>
      </rPr>
      <t xml:space="preserve"> ANEXO IV.A</t>
    </r>
  </si>
  <si>
    <r>
      <t xml:space="preserve">  •    CRONOGRAMA FÍSICO-FINANCEIRO – LICITANTE </t>
    </r>
    <r>
      <rPr>
        <sz val="10"/>
        <rFont val="Arial"/>
        <family val="1"/>
      </rPr>
      <t xml:space="preserve"> - ANEXO V.A</t>
    </r>
  </si>
  <si>
    <r>
      <t xml:space="preserve">  •    PLANILHA DE COMPOSIÇÕES UNITÁRIAS DE SERVIÇOS – LICITANTE -</t>
    </r>
    <r>
      <rPr>
        <sz val="10"/>
        <rFont val="Arial"/>
        <family val="1"/>
      </rPr>
      <t xml:space="preserve"> ANEXO VI.A</t>
    </r>
  </si>
  <si>
    <r>
      <t xml:space="preserve">  •    TABELA DE CUSTOS UNITÁRIOS DE INSUMOS E SERVIÇOS - LICITANTE </t>
    </r>
    <r>
      <rPr>
        <sz val="10"/>
        <rFont val="Arial"/>
        <family val="1"/>
      </rPr>
      <t>- ANEXO VII.A</t>
    </r>
  </si>
  <si>
    <r>
      <t xml:space="preserve">  •    COMPOSIÇÃO DAS TAXAS DE BDI – LICITANTE -</t>
    </r>
    <r>
      <rPr>
        <sz val="10"/>
        <rFont val="Arial"/>
        <family val="1"/>
      </rPr>
      <t xml:space="preserve"> ANEXO VII.A</t>
    </r>
  </si>
  <si>
    <r>
      <t xml:space="preserve">  •    COMPOSIÇÃO DOS ENCARGOS SOCIAIS E TRABALHISTAS  – LICITANTE -</t>
    </r>
    <r>
      <rPr>
        <sz val="10"/>
        <rFont val="Arial"/>
        <family val="1"/>
      </rPr>
      <t xml:space="preserve"> ANEXO IX.A</t>
    </r>
  </si>
  <si>
    <t>3.1) Iniciar o preenchimento pelo Anexo VII.A - TABELA DE CUSTOS UNITÁRIOS DE INSUMOS E SERVIÇOS - LICITANTE. Neste anexo deverão ser preenchidos todas as células em amarelo com os seguintes preços unitários: Mão de Obra (Item 1.0); Equipamentos/Serviços (Item 2.0); Materiais (Item 3.0).</t>
  </si>
  <si>
    <r>
      <rPr>
        <b/>
        <sz val="10"/>
        <rFont val="Arial"/>
        <family val="1"/>
      </rPr>
      <t xml:space="preserve">3.2) </t>
    </r>
    <r>
      <rPr>
        <sz val="10"/>
        <rFont val="Arial"/>
        <family val="1"/>
      </rPr>
      <t>Após a conclusão do preenchimento do Anexo VII.A, a Licitante deverá passar ao preenchimento do AnexoVIII.A (BDI) e Anexo IX.A (Encargos Sociais), com seus respectivos valores percentuais.</t>
    </r>
  </si>
  <si>
    <t>3.3) Em seguida, a Licitante deverá analisar as composições constantes do Anexo VI.A. O SeMAE mantém os coeficientes utilizados na elaboração do Orçamento Base, desta forma a Licitante poderá optar por manter estes coeficientes ou alterá-los conforme sua experiência ou entendimento dos serviços.</t>
  </si>
  <si>
    <r>
      <rPr>
        <b/>
        <sz val="10"/>
        <rFont val="Arial"/>
        <family val="1"/>
      </rPr>
      <t>4)</t>
    </r>
    <r>
      <rPr>
        <sz val="10"/>
        <rFont val="Arial"/>
        <family val="1"/>
      </rPr>
      <t xml:space="preserve"> Por fim, a Licitante deverá preencher somente os campos em amarelo com o Timbre da Licitante, Valor por Extenso e nome do Engenheiro Responsável, no Anexo IV.A.</t>
    </r>
  </si>
  <si>
    <t>5) O CRONOGRAMA FÍSICO-FINANCEIRO (ANEXO V.A) não receberá valores, pois está em conformidade com o Cronograma de execução estimado pelo SeMAE. Poderão ser sugeridas alterações no cronograma durante a execução da obra, devendo no entanto estas alterações serem objeto de aprovação junto ao SeMAE.</t>
  </si>
  <si>
    <t>ANEXO V.A - CRONOGRAMA FÍSICO - FINANCEIRO- SEMAE</t>
  </si>
  <si>
    <t>ANEXO IX.A - DEMONSTRATIVO DA COMPOSIÇÃO DOS ENCARGOS SOCIAIS E TRABALHISTAS - SeMAE</t>
  </si>
  <si>
    <t>ANEXO VIII.A - DEMONSTRATIVO DA COMPOSIÇÃO DAS TAXAS DE BDI - SeMAE</t>
  </si>
  <si>
    <t>ANEXO VII.A - PLANILHA DE CUSTOS UNITÁRIOS DE INSUMOS / SERVIÇOS - SeMAE</t>
  </si>
  <si>
    <t>ANEXO VI.A - PLANILHA  DE COMPOSIÇÕES UNITÁRIAS DE SERVIÇOS - SeMAE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</si>
</sst>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quot;R$&quot;* #,##0.00_-;\-&quot;R$&quot;* #,##0.00_-;_-&quot;R$&quot;* &quot;-&quot;??_-;_-@_-"/>
    <numFmt numFmtId="165" formatCode="&quot;R$ &quot;#,##0.00_);\(&quot;R$ &quot;#,##0.00\)"/>
    <numFmt numFmtId="166" formatCode="_(&quot;R$ &quot;* #,##0.00_);_(&quot;R$ &quot;* \(#,##0.00\);_(&quot;R$ &quot;* &quot;-&quot;??_);_(@_)"/>
    <numFmt numFmtId="167" formatCode="_(* #,##0.00_);_(* \(#,##0.00\);_(* &quot;-&quot;??_);_(@_)"/>
    <numFmt numFmtId="168" formatCode="0.00_);[Red]\(0.00\)"/>
    <numFmt numFmtId="169" formatCode="#,###"/>
    <numFmt numFmtId="170" formatCode="[$R$-416]\ #,##0.00;[Red]\-[$R$-416]\ #,##0.00"/>
    <numFmt numFmtId="171" formatCode="#,###.00;[Red]\-#,###.00"/>
    <numFmt numFmtId="172" formatCode="0.000%"/>
    <numFmt numFmtId="173" formatCode="0.0000"/>
    <numFmt numFmtId="174" formatCode="_(* #,##0.00_);_(* \(#,##0.00\);_(* \-??_);_(@_)"/>
    <numFmt numFmtId="175" formatCode="0.0"/>
    <numFmt numFmtId="176" formatCode="[$-416]mmm\-yy;@"/>
    <numFmt numFmtId="177" formatCode="#,##0.0"/>
    <numFmt numFmtId="178" formatCode="&quot;R$ &quot;#,##0.00"/>
    <numFmt numFmtId="179" formatCode="_-* #,##0.00_-;\-* #,##0.00_-;_-* \-??_-;_-@_-"/>
    <numFmt numFmtId="181" formatCode="#,##0.0000"/>
    <numFmt numFmtId="182" formatCode="#,##0.0000;[Red]\-#,##0.0000"/>
  </numFmts>
  <fonts count="7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color indexed="8"/>
      <name val="Times New Roman"/>
      <family val="1"/>
    </font>
    <font>
      <b/>
      <sz val="10"/>
      <name val="Arial"/>
      <family val="2"/>
    </font>
    <font>
      <b/>
      <sz val="10"/>
      <name val="Times New Roman"/>
      <family val="1"/>
    </font>
    <font>
      <sz val="10"/>
      <name val="Times New Roman"/>
      <family val="1"/>
    </font>
    <font>
      <sz val="11"/>
      <name val="Times New Roman"/>
      <family val="1"/>
    </font>
    <font>
      <b/>
      <sz val="13"/>
      <color indexed="8"/>
      <name val="Times New Roman"/>
      <family val="1"/>
    </font>
    <font>
      <sz val="8"/>
      <name val="Arial"/>
      <family val="2"/>
    </font>
    <font>
      <sz val="9"/>
      <name val="Times New Roman"/>
      <family val="1"/>
    </font>
    <font>
      <b/>
      <sz val="12"/>
      <color indexed="8"/>
      <name val="Times New Roman"/>
      <family val="1"/>
    </font>
    <font>
      <sz val="10"/>
      <name val="Arial"/>
      <family val="2"/>
    </font>
    <font>
      <sz val="10"/>
      <name val="Arial"/>
      <family val="2"/>
    </font>
    <font>
      <b/>
      <sz val="11"/>
      <name val="Times New Roman"/>
      <family val="1"/>
    </font>
    <font>
      <b/>
      <sz val="12"/>
      <name val="Times New Roman"/>
      <family val="1"/>
    </font>
    <font>
      <b/>
      <u/>
      <sz val="10"/>
      <name val="Times New Roman"/>
      <family val="1"/>
    </font>
    <font>
      <b/>
      <sz val="14"/>
      <name val="Times New Roman"/>
      <family val="1"/>
    </font>
    <font>
      <b/>
      <sz val="11"/>
      <color indexed="8"/>
      <name val="Times New Roman"/>
      <family val="1"/>
    </font>
    <font>
      <b/>
      <sz val="15"/>
      <color indexed="62"/>
      <name val="Calibri"/>
      <family val="2"/>
    </font>
    <font>
      <sz val="10"/>
      <color indexed="10"/>
      <name val="Times New Roman"/>
      <family val="1"/>
    </font>
    <font>
      <u/>
      <sz val="8"/>
      <color indexed="12"/>
      <name val="Arial"/>
      <family val="2"/>
    </font>
    <font>
      <b/>
      <sz val="15"/>
      <color indexed="56"/>
      <name val="Calibri"/>
      <family val="2"/>
    </font>
    <font>
      <sz val="8"/>
      <name val="Arial"/>
      <family val="2"/>
    </font>
    <font>
      <b/>
      <sz val="10"/>
      <color indexed="8"/>
      <name val="Times New Roman"/>
      <family val="1"/>
    </font>
    <font>
      <b/>
      <sz val="9"/>
      <name val="Times New Roman"/>
      <family val="1"/>
    </font>
    <font>
      <sz val="12"/>
      <name val="Times New Roman"/>
      <family val="1"/>
    </font>
    <font>
      <b/>
      <sz val="16"/>
      <name val="Times New Roman"/>
      <family val="1"/>
    </font>
    <font>
      <sz val="8"/>
      <name val="Times New Roman"/>
      <family val="1"/>
    </font>
    <font>
      <sz val="11"/>
      <color indexed="8"/>
      <name val="Times New Roman"/>
      <family val="1"/>
    </font>
    <font>
      <sz val="14"/>
      <name val="Times New Roman"/>
      <family val="1"/>
    </font>
    <font>
      <sz val="9"/>
      <color indexed="10"/>
      <name val="Times New Roman"/>
      <family val="1"/>
    </font>
    <font>
      <sz val="9"/>
      <name val="Arial"/>
      <family val="2"/>
    </font>
    <font>
      <b/>
      <sz val="10"/>
      <color theme="5" tint="-0.499984740745262"/>
      <name val="Times New Roman"/>
      <family val="1"/>
    </font>
    <font>
      <b/>
      <sz val="10"/>
      <color theme="3" tint="-0.249977111117893"/>
      <name val="Times New Roman"/>
      <family val="1"/>
    </font>
    <font>
      <sz val="18"/>
      <name val="Times New Roman"/>
      <family val="1"/>
    </font>
    <font>
      <sz val="12"/>
      <color indexed="8"/>
      <name val="Calibri"/>
      <family val="2"/>
    </font>
    <font>
      <i/>
      <sz val="9"/>
      <name val="Times New Roman"/>
      <family val="1"/>
    </font>
    <font>
      <b/>
      <u/>
      <sz val="16"/>
      <name val="Times New Roman"/>
      <family val="1"/>
    </font>
    <font>
      <sz val="16"/>
      <name val="Times New Roman"/>
      <family val="1"/>
    </font>
    <font>
      <sz val="10"/>
      <color rgb="FFFF0000"/>
      <name val="Times New Roman"/>
      <family val="1"/>
    </font>
    <font>
      <b/>
      <sz val="12.5"/>
      <name val="Times New Roman"/>
      <family val="1"/>
    </font>
    <font>
      <b/>
      <sz val="12"/>
      <name val="Times New Roman"/>
      <family val="1"/>
    </font>
    <font>
      <sz val="12"/>
      <name val="Times New Roman"/>
      <family val="1"/>
    </font>
    <font>
      <sz val="11"/>
      <name val="Times New Roman"/>
      <family val="1"/>
    </font>
    <font>
      <b/>
      <sz val="11"/>
      <name val="Times New Roman"/>
      <family val="1"/>
    </font>
    <font>
      <sz val="10"/>
      <color indexed="8"/>
      <name val="Times New Roman"/>
      <family val="1"/>
    </font>
    <font>
      <sz val="12"/>
      <color indexed="8"/>
      <name val="Times New Roman"/>
      <family val="1"/>
    </font>
    <font>
      <sz val="11"/>
      <color indexed="8"/>
      <name val="Times New Roman"/>
      <family val="1"/>
    </font>
    <font>
      <b/>
      <sz val="12"/>
      <color indexed="8"/>
      <name val="Times New Roman"/>
      <family val="1"/>
    </font>
    <font>
      <b/>
      <sz val="10"/>
      <name val="Arial"/>
      <family val="2"/>
    </font>
    <font>
      <b/>
      <sz val="11"/>
      <name val="Arial"/>
      <family val="2"/>
    </font>
    <font>
      <b/>
      <sz val="12"/>
      <color indexed="8"/>
      <name val="Calibri"/>
      <family val="2"/>
    </font>
    <font>
      <sz val="12"/>
      <color indexed="8"/>
      <name val="Calibri"/>
      <family val="2"/>
    </font>
    <font>
      <sz val="11"/>
      <color theme="1"/>
      <name val="Times New Roman"/>
      <family val="1"/>
    </font>
    <font>
      <b/>
      <sz val="14"/>
      <color theme="1"/>
      <name val="Times New Roman"/>
      <family val="1"/>
    </font>
    <font>
      <b/>
      <sz val="10"/>
      <name val="Arial"/>
      <family val="1"/>
    </font>
    <font>
      <sz val="10"/>
      <name val="Arial"/>
      <family val="1"/>
    </font>
    <font>
      <b/>
      <sz val="10"/>
      <color theme="1"/>
      <name val="Times New Roman"/>
      <family val="1"/>
    </font>
    <font>
      <b/>
      <sz val="11"/>
      <color theme="1"/>
      <name val="Times New Roman"/>
      <family val="1"/>
    </font>
    <font>
      <b/>
      <sz val="10"/>
      <color rgb="FFFF0000"/>
      <name val="Arial"/>
      <family val="2"/>
    </font>
    <font>
      <sz val="10"/>
      <color rgb="FFFF0000"/>
      <name val="Arial"/>
      <family val="2"/>
    </font>
    <font>
      <b/>
      <sz val="10"/>
      <color indexed="10"/>
      <name val="Times New Roman"/>
      <family val="1"/>
    </font>
    <font>
      <b/>
      <i/>
      <sz val="11"/>
      <name val="Times New Roman"/>
      <family val="1"/>
    </font>
    <font>
      <b/>
      <i/>
      <sz val="11"/>
      <color indexed="8"/>
      <name val="Times New Roman"/>
      <family val="1"/>
    </font>
    <font>
      <sz val="14"/>
      <color indexed="8"/>
      <name val="Times New Roman"/>
      <family val="1"/>
    </font>
    <font>
      <sz val="9.5"/>
      <name val="Times New Roman"/>
      <family val="1"/>
    </font>
    <font>
      <b/>
      <sz val="14"/>
      <name val="Calibri"/>
      <family val="2"/>
    </font>
    <font>
      <b/>
      <sz val="11"/>
      <name val="Calibri"/>
      <family val="2"/>
    </font>
    <font>
      <b/>
      <sz val="10"/>
      <name val="Calibri"/>
      <family val="2"/>
    </font>
    <font>
      <sz val="10"/>
      <color theme="9" tint="-0.249977111117893"/>
      <name val="Times New Roman"/>
      <family val="1"/>
    </font>
    <font>
      <b/>
      <sz val="14"/>
      <color indexed="8"/>
      <name val="Times New Roman"/>
      <family val="1"/>
    </font>
    <font>
      <sz val="10"/>
      <color rgb="FF0070C0"/>
      <name val="Times New Roman"/>
      <family val="1"/>
    </font>
    <font>
      <sz val="10"/>
      <color rgb="FF7030A0"/>
      <name val="Times New Roman"/>
      <family val="1"/>
    </font>
  </fonts>
  <fills count="19">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9"/>
        <bgColor indexed="34"/>
      </patternFill>
    </fill>
    <fill>
      <patternFill patternType="solid">
        <fgColor indexed="9"/>
        <bgColor indexed="27"/>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C9"/>
        <bgColor indexed="64"/>
      </patternFill>
    </fill>
    <fill>
      <patternFill patternType="solid">
        <fgColor rgb="FFE1FFFF"/>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FFFFCC"/>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rgb="FFFFFFCD"/>
        <bgColor indexed="64"/>
      </patternFill>
    </fill>
    <fill>
      <patternFill patternType="solid">
        <fgColor theme="6" tint="0.39997558519241921"/>
        <bgColor indexed="64"/>
      </patternFill>
    </fill>
  </fills>
  <borders count="133">
    <border>
      <left/>
      <right/>
      <top/>
      <bottom/>
      <diagonal/>
    </border>
    <border>
      <left/>
      <right/>
      <top/>
      <bottom style="thick">
        <color indexed="49"/>
      </bottom>
      <diagonal/>
    </border>
    <border>
      <left/>
      <right/>
      <top/>
      <bottom style="thick">
        <color indexed="6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bottom/>
      <diagonal/>
    </border>
    <border>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medium">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top style="double">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hair">
        <color indexed="64"/>
      </left>
      <right style="hair">
        <color indexed="64"/>
      </right>
      <top style="hair">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thin">
        <color indexed="64"/>
      </left>
      <right style="double">
        <color indexed="64"/>
      </right>
      <top style="double">
        <color indexed="64"/>
      </top>
      <bottom/>
      <diagonal/>
    </border>
    <border>
      <left/>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bottom style="hair">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hair">
        <color indexed="64"/>
      </right>
      <top style="medium">
        <color indexed="64"/>
      </top>
      <bottom style="hair">
        <color indexed="64"/>
      </bottom>
      <diagonal/>
    </border>
    <border>
      <left style="medium">
        <color indexed="64"/>
      </left>
      <right/>
      <top style="hair">
        <color indexed="64"/>
      </top>
      <bottom style="hair">
        <color indexed="64"/>
      </bottom>
      <diagonal/>
    </border>
    <border>
      <left style="double">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thin">
        <color indexed="64"/>
      </bottom>
      <diagonal/>
    </border>
    <border>
      <left style="medium">
        <color indexed="64"/>
      </left>
      <right style="hair">
        <color indexed="64"/>
      </right>
      <top style="hair">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hair">
        <color indexed="64"/>
      </left>
      <right style="hair">
        <color indexed="64"/>
      </right>
      <top style="hair">
        <color indexed="64"/>
      </top>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right style="double">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s>
  <cellStyleXfs count="38">
    <xf numFmtId="0" fontId="0" fillId="0" borderId="0"/>
    <xf numFmtId="0" fontId="15" fillId="0" borderId="0"/>
    <xf numFmtId="0" fontId="15" fillId="0" borderId="0"/>
    <xf numFmtId="0" fontId="24" fillId="0" borderId="0" applyNumberFormat="0" applyFill="0" applyBorder="0" applyAlignment="0" applyProtection="0">
      <alignment vertical="top"/>
      <protection locked="0"/>
    </xf>
    <xf numFmtId="44" fontId="16"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0" fontId="15" fillId="0" borderId="0"/>
    <xf numFmtId="0" fontId="15" fillId="0" borderId="0"/>
    <xf numFmtId="0" fontId="15" fillId="0" borderId="0"/>
    <xf numFmtId="0" fontId="15" fillId="0" borderId="0"/>
    <xf numFmtId="0" fontId="15" fillId="0" borderId="0"/>
    <xf numFmtId="0" fontId="5" fillId="0" borderId="0"/>
    <xf numFmtId="0" fontId="15" fillId="0" borderId="0"/>
    <xf numFmtId="9" fontId="15" fillId="0" borderId="0" applyFill="0" applyBorder="0" applyAlignment="0" applyProtection="0"/>
    <xf numFmtId="9" fontId="15" fillId="0" borderId="0"/>
    <xf numFmtId="9" fontId="15" fillId="0" borderId="0"/>
    <xf numFmtId="174" fontId="15" fillId="0" borderId="0" applyFill="0" applyBorder="0" applyAlignment="0" applyProtection="0"/>
    <xf numFmtId="179" fontId="15" fillId="0" borderId="0"/>
    <xf numFmtId="179" fontId="15" fillId="0" borderId="0"/>
    <xf numFmtId="179" fontId="15" fillId="0" borderId="0"/>
    <xf numFmtId="179" fontId="15" fillId="0" borderId="0"/>
    <xf numFmtId="179" fontId="15" fillId="0" borderId="0"/>
    <xf numFmtId="0" fontId="22" fillId="0" borderId="1"/>
    <xf numFmtId="0" fontId="25" fillId="0" borderId="2"/>
    <xf numFmtId="0" fontId="15" fillId="0" borderId="0"/>
    <xf numFmtId="9" fontId="15" fillId="0" borderId="0" applyFont="0" applyFill="0" applyBorder="0" applyAlignment="0" applyProtection="0"/>
    <xf numFmtId="0" fontId="4" fillId="0" borderId="0"/>
    <xf numFmtId="0" fontId="4" fillId="0" borderId="0"/>
    <xf numFmtId="0" fontId="3" fillId="0" borderId="0"/>
    <xf numFmtId="9" fontId="5" fillId="0" borderId="0" applyFont="0" applyFill="0" applyBorder="0" applyAlignment="0" applyProtection="0"/>
    <xf numFmtId="0" fontId="3" fillId="0" borderId="0"/>
    <xf numFmtId="9" fontId="15" fillId="0" borderId="0"/>
    <xf numFmtId="0" fontId="2" fillId="0" borderId="0"/>
    <xf numFmtId="167" fontId="15" fillId="0" borderId="0" applyFont="0" applyFill="0" applyBorder="0" applyAlignment="0" applyProtection="0"/>
    <xf numFmtId="166" fontId="15" fillId="0" borderId="0"/>
    <xf numFmtId="0" fontId="1" fillId="0" borderId="0"/>
    <xf numFmtId="0" fontId="9" fillId="0" borderId="0"/>
  </cellStyleXfs>
  <cellXfs count="1225">
    <xf numFmtId="0" fontId="0" fillId="0" borderId="0" xfId="0"/>
    <xf numFmtId="3" fontId="8" fillId="0" borderId="12" xfId="0" applyNumberFormat="1" applyFont="1" applyBorder="1" applyAlignment="1">
      <alignment horizontal="center" vertical="center" wrapText="1"/>
    </xf>
    <xf numFmtId="176" fontId="9" fillId="0" borderId="0" xfId="0" applyNumberFormat="1" applyFont="1" applyAlignment="1">
      <alignment vertical="center"/>
    </xf>
    <xf numFmtId="3" fontId="9" fillId="0" borderId="12" xfId="0" applyNumberFormat="1" applyFont="1" applyBorder="1" applyAlignment="1">
      <alignment horizontal="center" vertical="center"/>
    </xf>
    <xf numFmtId="176" fontId="0" fillId="0" borderId="0" xfId="0" applyNumberFormat="1"/>
    <xf numFmtId="3" fontId="8" fillId="2" borderId="8" xfId="0" applyNumberFormat="1" applyFont="1" applyFill="1" applyBorder="1" applyAlignment="1">
      <alignment horizontal="center" vertical="center" wrapText="1"/>
    </xf>
    <xf numFmtId="3" fontId="9" fillId="0" borderId="12" xfId="0" applyNumberFormat="1" applyFont="1" applyBorder="1" applyAlignment="1">
      <alignment horizontal="center" vertical="center" wrapText="1"/>
    </xf>
    <xf numFmtId="176" fontId="9" fillId="0" borderId="0" xfId="0" applyNumberFormat="1" applyFont="1" applyAlignment="1">
      <alignment horizontal="center" vertical="center"/>
    </xf>
    <xf numFmtId="176" fontId="9" fillId="0" borderId="0" xfId="0" applyNumberFormat="1" applyFont="1" applyAlignment="1">
      <alignment horizontal="left" vertical="center"/>
    </xf>
    <xf numFmtId="4" fontId="13" fillId="0" borderId="0" xfId="0" applyNumberFormat="1" applyFont="1" applyAlignment="1">
      <alignment vertical="center"/>
    </xf>
    <xf numFmtId="4" fontId="35" fillId="0" borderId="0" xfId="0" applyNumberFormat="1" applyFont="1" applyAlignment="1">
      <alignment vertical="center"/>
    </xf>
    <xf numFmtId="176" fontId="15" fillId="0" borderId="0" xfId="0" applyNumberFormat="1" applyFont="1" applyAlignment="1">
      <alignment horizontal="left" vertical="center"/>
    </xf>
    <xf numFmtId="176" fontId="15" fillId="0" borderId="0" xfId="0" applyNumberFormat="1" applyFont="1" applyAlignment="1">
      <alignment vertical="center"/>
    </xf>
    <xf numFmtId="176" fontId="30" fillId="0" borderId="26" xfId="0" applyNumberFormat="1" applyFont="1" applyBorder="1" applyAlignment="1">
      <alignment horizontal="center" vertical="center"/>
    </xf>
    <xf numFmtId="176" fontId="8" fillId="0" borderId="26" xfId="0" applyNumberFormat="1" applyFont="1" applyBorder="1" applyAlignment="1">
      <alignment horizontal="justify" vertical="center"/>
    </xf>
    <xf numFmtId="10" fontId="37" fillId="0" borderId="0" xfId="14" applyNumberFormat="1" applyFont="1" applyFill="1" applyBorder="1" applyAlignment="1" applyProtection="1">
      <alignment horizontal="center" vertical="center"/>
    </xf>
    <xf numFmtId="176" fontId="8" fillId="12" borderId="17" xfId="0" applyNumberFormat="1" applyFont="1" applyFill="1" applyBorder="1" applyAlignment="1">
      <alignment horizontal="justify" vertical="center"/>
    </xf>
    <xf numFmtId="176" fontId="8" fillId="12" borderId="17" xfId="0" applyNumberFormat="1" applyFont="1" applyFill="1" applyBorder="1" applyAlignment="1">
      <alignment horizontal="center" vertical="center"/>
    </xf>
    <xf numFmtId="176" fontId="8" fillId="12" borderId="16" xfId="0" applyNumberFormat="1" applyFont="1" applyFill="1" applyBorder="1" applyAlignment="1">
      <alignment horizontal="center" vertical="center"/>
    </xf>
    <xf numFmtId="176" fontId="8" fillId="12" borderId="23" xfId="0" applyNumberFormat="1" applyFont="1" applyFill="1" applyBorder="1" applyAlignment="1">
      <alignment horizontal="justify" vertical="center"/>
    </xf>
    <xf numFmtId="176" fontId="8" fillId="12" borderId="23" xfId="0" applyNumberFormat="1" applyFont="1" applyFill="1" applyBorder="1" applyAlignment="1">
      <alignment horizontal="center" vertical="center"/>
    </xf>
    <xf numFmtId="0" fontId="17" fillId="2" borderId="9" xfId="25" applyFont="1" applyFill="1" applyBorder="1" applyAlignment="1">
      <alignment horizontal="center" vertical="center"/>
    </xf>
    <xf numFmtId="0" fontId="17" fillId="2" borderId="31" xfId="25" applyFont="1" applyFill="1" applyBorder="1" applyAlignment="1">
      <alignment horizontal="center" vertical="center"/>
    </xf>
    <xf numFmtId="0" fontId="8" fillId="2" borderId="47" xfId="25" applyFont="1" applyFill="1" applyBorder="1" applyAlignment="1">
      <alignment horizontal="center" vertical="center" wrapText="1"/>
    </xf>
    <xf numFmtId="0" fontId="8" fillId="2" borderId="33" xfId="25" applyFont="1" applyFill="1" applyBorder="1" applyAlignment="1">
      <alignment horizontal="center" vertical="center" wrapText="1"/>
    </xf>
    <xf numFmtId="0" fontId="9" fillId="0" borderId="25" xfId="25" applyFont="1" applyBorder="1" applyAlignment="1">
      <alignment vertical="center" wrapText="1"/>
    </xf>
    <xf numFmtId="10" fontId="9" fillId="14" borderId="13" xfId="26" applyNumberFormat="1" applyFont="1" applyFill="1" applyBorder="1" applyAlignment="1" applyProtection="1">
      <alignment horizontal="center" vertical="center" wrapText="1"/>
      <protection locked="0"/>
    </xf>
    <xf numFmtId="0" fontId="9" fillId="0" borderId="12" xfId="25" applyFont="1" applyBorder="1" applyAlignment="1">
      <alignment vertical="center" wrapText="1"/>
    </xf>
    <xf numFmtId="0" fontId="8" fillId="0" borderId="29" xfId="25" applyFont="1" applyBorder="1" applyAlignment="1">
      <alignment vertical="center" wrapText="1"/>
    </xf>
    <xf numFmtId="10" fontId="8" fillId="0" borderId="30" xfId="25" applyNumberFormat="1" applyFont="1" applyBorder="1" applyAlignment="1">
      <alignment horizontal="center" vertical="center" wrapText="1"/>
    </xf>
    <xf numFmtId="0" fontId="9" fillId="0" borderId="36" xfId="25" applyFont="1" applyBorder="1" applyAlignment="1">
      <alignment vertical="center" wrapText="1"/>
    </xf>
    <xf numFmtId="10" fontId="40" fillId="14" borderId="27" xfId="26" applyNumberFormat="1" applyFont="1" applyFill="1" applyBorder="1" applyAlignment="1" applyProtection="1">
      <alignment horizontal="center" vertical="center" wrapText="1"/>
      <protection locked="0"/>
    </xf>
    <xf numFmtId="0" fontId="9" fillId="0" borderId="35" xfId="25" applyFont="1" applyBorder="1" applyAlignment="1">
      <alignment vertical="center" wrapText="1"/>
    </xf>
    <xf numFmtId="10" fontId="40" fillId="14" borderId="13" xfId="26" applyNumberFormat="1" applyFont="1" applyFill="1" applyBorder="1" applyAlignment="1" applyProtection="1">
      <alignment horizontal="center" vertical="center" wrapText="1"/>
      <protection locked="0"/>
    </xf>
    <xf numFmtId="0" fontId="8" fillId="0" borderId="34" xfId="25" applyFont="1" applyBorder="1" applyAlignment="1">
      <alignment vertical="center" wrapText="1"/>
    </xf>
    <xf numFmtId="10" fontId="8" fillId="0" borderId="30" xfId="26" applyNumberFormat="1" applyFont="1" applyBorder="1" applyAlignment="1" applyProtection="1">
      <alignment horizontal="center" vertical="center" wrapText="1"/>
    </xf>
    <xf numFmtId="10" fontId="9" fillId="14" borderId="27" xfId="26" applyNumberFormat="1" applyFont="1" applyFill="1" applyBorder="1" applyAlignment="1" applyProtection="1">
      <alignment horizontal="center" vertical="center" wrapText="1"/>
      <protection locked="0"/>
    </xf>
    <xf numFmtId="10" fontId="9" fillId="0" borderId="27" xfId="26" applyNumberFormat="1" applyFont="1" applyFill="1" applyBorder="1" applyAlignment="1" applyProtection="1">
      <alignment horizontal="center" vertical="center" wrapText="1"/>
    </xf>
    <xf numFmtId="0" fontId="9" fillId="0" borderId="35" xfId="25" applyFont="1" applyBorder="1" applyAlignment="1">
      <alignment horizontal="justify" vertical="center" wrapText="1"/>
    </xf>
    <xf numFmtId="10" fontId="9" fillId="0" borderId="13" xfId="26" applyNumberFormat="1" applyFont="1" applyFill="1" applyBorder="1" applyAlignment="1" applyProtection="1">
      <alignment horizontal="center" vertical="center" wrapText="1"/>
    </xf>
    <xf numFmtId="10" fontId="8" fillId="2" borderId="30" xfId="25" applyNumberFormat="1" applyFont="1" applyFill="1" applyBorder="1" applyAlignment="1">
      <alignment horizontal="center" vertical="center" wrapText="1"/>
    </xf>
    <xf numFmtId="0" fontId="9" fillId="7" borderId="12" xfId="25" applyFont="1" applyFill="1" applyBorder="1" applyAlignment="1">
      <alignment vertical="center"/>
    </xf>
    <xf numFmtId="0" fontId="9" fillId="7" borderId="0" xfId="25" applyFont="1" applyFill="1" applyAlignment="1">
      <alignment vertical="center"/>
    </xf>
    <xf numFmtId="0" fontId="9" fillId="7" borderId="13" xfId="25" applyFont="1" applyFill="1" applyBorder="1" applyAlignment="1">
      <alignment vertical="center"/>
    </xf>
    <xf numFmtId="0" fontId="9" fillId="0" borderId="44" xfId="0" applyFont="1" applyBorder="1" applyAlignment="1">
      <alignment horizontal="justify" vertical="center"/>
    </xf>
    <xf numFmtId="0" fontId="9" fillId="0" borderId="44" xfId="0" applyFont="1" applyBorder="1" applyAlignment="1">
      <alignment horizontal="center" vertical="center"/>
    </xf>
    <xf numFmtId="0" fontId="9" fillId="0" borderId="44" xfId="0" applyFont="1" applyBorder="1" applyAlignment="1">
      <alignment horizontal="justify" vertical="center" wrapText="1"/>
    </xf>
    <xf numFmtId="0" fontId="9" fillId="0" borderId="90" xfId="0" applyFont="1" applyBorder="1" applyAlignment="1">
      <alignment horizontal="center" vertical="center"/>
    </xf>
    <xf numFmtId="0" fontId="9" fillId="0" borderId="68" xfId="0" applyFont="1" applyBorder="1" applyAlignment="1">
      <alignment horizontal="center" vertical="center"/>
    </xf>
    <xf numFmtId="176" fontId="0" fillId="7" borderId="0" xfId="0" applyNumberFormat="1" applyFill="1" applyAlignment="1">
      <alignment vertical="center"/>
    </xf>
    <xf numFmtId="176" fontId="0" fillId="7" borderId="0" xfId="0" applyNumberFormat="1" applyFill="1" applyAlignment="1">
      <alignment horizontal="justify" vertical="center"/>
    </xf>
    <xf numFmtId="176" fontId="30" fillId="7" borderId="0" xfId="0" applyNumberFormat="1" applyFont="1" applyFill="1" applyAlignment="1">
      <alignment vertical="center"/>
    </xf>
    <xf numFmtId="3" fontId="9" fillId="0" borderId="12" xfId="0" quotePrefix="1" applyNumberFormat="1" applyFont="1" applyBorder="1" applyAlignment="1">
      <alignment horizontal="center" vertical="center" wrapText="1"/>
    </xf>
    <xf numFmtId="0" fontId="9" fillId="0" borderId="43"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0" fontId="9" fillId="0" borderId="0" xfId="0" applyFont="1"/>
    <xf numFmtId="43" fontId="8" fillId="0" borderId="13" xfId="0" applyNumberFormat="1" applyFont="1" applyBorder="1" applyAlignment="1">
      <alignment horizontal="center" vertical="center"/>
    </xf>
    <xf numFmtId="43" fontId="27" fillId="2" borderId="15" xfId="4" applyNumberFormat="1" applyFont="1" applyFill="1" applyBorder="1" applyAlignment="1" applyProtection="1">
      <alignment horizontal="justify" vertical="center"/>
    </xf>
    <xf numFmtId="43" fontId="9" fillId="0" borderId="13" xfId="0" applyNumberFormat="1" applyFont="1" applyBorder="1" applyAlignment="1">
      <alignment horizontal="justify" vertical="center"/>
    </xf>
    <xf numFmtId="10" fontId="8" fillId="7" borderId="91" xfId="14" applyNumberFormat="1" applyFont="1" applyFill="1" applyBorder="1" applyAlignment="1" applyProtection="1">
      <alignment horizontal="center" vertical="center"/>
    </xf>
    <xf numFmtId="10" fontId="8" fillId="7" borderId="93" xfId="14" applyNumberFormat="1" applyFont="1" applyFill="1" applyBorder="1" applyAlignment="1" applyProtection="1">
      <alignment horizontal="center" vertical="center"/>
    </xf>
    <xf numFmtId="0" fontId="31" fillId="0" borderId="0" xfId="0" applyFont="1" applyAlignment="1">
      <alignment vertical="center"/>
    </xf>
    <xf numFmtId="49" fontId="9" fillId="0" borderId="92" xfId="0" applyNumberFormat="1" applyFont="1" applyBorder="1" applyAlignment="1">
      <alignment horizontal="center" vertical="center"/>
    </xf>
    <xf numFmtId="0" fontId="9" fillId="12" borderId="0" xfId="0" applyFont="1" applyFill="1" applyAlignment="1">
      <alignment vertical="center"/>
    </xf>
    <xf numFmtId="0" fontId="31" fillId="12" borderId="0" xfId="0" applyFont="1" applyFill="1" applyAlignment="1">
      <alignment vertical="center"/>
    </xf>
    <xf numFmtId="175" fontId="9" fillId="0" borderId="94" xfId="0" applyNumberFormat="1" applyFont="1" applyBorder="1" applyAlignment="1">
      <alignment horizontal="center" vertical="center"/>
    </xf>
    <xf numFmtId="0" fontId="9" fillId="0" borderId="43" xfId="0" applyFont="1" applyBorder="1" applyAlignment="1">
      <alignment horizontal="justify" vertical="center"/>
    </xf>
    <xf numFmtId="0" fontId="9" fillId="0" borderId="68" xfId="0" applyFont="1" applyBorder="1" applyAlignment="1">
      <alignment horizontal="justify" vertical="center"/>
    </xf>
    <xf numFmtId="0" fontId="9" fillId="0" borderId="90" xfId="0" applyFont="1" applyBorder="1" applyAlignment="1">
      <alignment horizontal="justify" vertical="center"/>
    </xf>
    <xf numFmtId="175" fontId="9" fillId="0" borderId="92" xfId="0" applyNumberFormat="1" applyFont="1" applyBorder="1" applyAlignment="1">
      <alignment horizontal="center" vertical="center"/>
    </xf>
    <xf numFmtId="0" fontId="9" fillId="0" borderId="0" xfId="0" applyFont="1" applyAlignment="1">
      <alignment horizontal="justify" vertical="center" wrapText="1"/>
    </xf>
    <xf numFmtId="0" fontId="31" fillId="0" borderId="0" xfId="0" applyFont="1" applyAlignment="1">
      <alignment horizontal="center" vertical="center"/>
    </xf>
    <xf numFmtId="44" fontId="31" fillId="0" borderId="0" xfId="0" applyNumberFormat="1" applyFont="1" applyAlignment="1">
      <alignment horizontal="center" vertical="center"/>
    </xf>
    <xf numFmtId="0" fontId="9" fillId="0" borderId="0" xfId="0" applyFont="1" applyAlignment="1">
      <alignment horizontal="justify" vertical="center"/>
    </xf>
    <xf numFmtId="4" fontId="14" fillId="0" borderId="0" xfId="0" applyNumberFormat="1" applyFont="1" applyAlignment="1">
      <alignment vertical="center"/>
    </xf>
    <xf numFmtId="172" fontId="17" fillId="0" borderId="54" xfId="5" applyNumberFormat="1" applyFont="1" applyFill="1" applyBorder="1" applyAlignment="1" applyProtection="1">
      <alignment horizontal="center" vertical="center"/>
    </xf>
    <xf numFmtId="172" fontId="17" fillId="0" borderId="55" xfId="5" applyNumberFormat="1" applyFont="1" applyFill="1" applyBorder="1" applyAlignment="1" applyProtection="1">
      <alignment horizontal="center" vertical="center"/>
    </xf>
    <xf numFmtId="4" fontId="10" fillId="0" borderId="39" xfId="14" applyNumberFormat="1" applyFont="1" applyFill="1" applyBorder="1" applyAlignment="1" applyProtection="1">
      <alignment horizontal="center" vertical="center"/>
    </xf>
    <xf numFmtId="10" fontId="17" fillId="0" borderId="58" xfId="14" applyNumberFormat="1" applyFont="1" applyFill="1" applyBorder="1" applyAlignment="1" applyProtection="1">
      <alignment horizontal="center" vertical="center"/>
    </xf>
    <xf numFmtId="178" fontId="17" fillId="0" borderId="0" xfId="5" applyNumberFormat="1" applyFont="1" applyFill="1" applyBorder="1" applyAlignment="1" applyProtection="1">
      <alignment vertical="center"/>
    </xf>
    <xf numFmtId="3" fontId="9" fillId="3" borderId="10" xfId="0" applyNumberFormat="1" applyFont="1" applyFill="1" applyBorder="1" applyAlignment="1">
      <alignment vertical="center"/>
    </xf>
    <xf numFmtId="0" fontId="9" fillId="3" borderId="10" xfId="0" applyFont="1" applyFill="1" applyBorder="1" applyAlignment="1">
      <alignment horizontal="justify" vertical="center"/>
    </xf>
    <xf numFmtId="0" fontId="9" fillId="3" borderId="10" xfId="0" applyFont="1" applyFill="1" applyBorder="1" applyAlignment="1">
      <alignment vertical="center"/>
    </xf>
    <xf numFmtId="44" fontId="9" fillId="3" borderId="10" xfId="0" applyNumberFormat="1" applyFont="1" applyFill="1" applyBorder="1" applyAlignment="1">
      <alignment vertical="center"/>
    </xf>
    <xf numFmtId="44" fontId="9" fillId="10" borderId="0" xfId="0" applyNumberFormat="1" applyFont="1" applyFill="1" applyAlignment="1">
      <alignment horizontal="center" vertical="center"/>
    </xf>
    <xf numFmtId="0" fontId="36" fillId="0" borderId="0" xfId="0" applyFont="1" applyAlignment="1">
      <alignment horizontal="right" vertical="center"/>
    </xf>
    <xf numFmtId="173" fontId="36" fillId="0" borderId="0" xfId="0" applyNumberFormat="1" applyFont="1" applyAlignment="1">
      <alignment horizontal="center" vertical="center"/>
    </xf>
    <xf numFmtId="0" fontId="36" fillId="0" borderId="0" xfId="0" applyFont="1" applyAlignment="1">
      <alignment horizontal="center" vertical="center"/>
    </xf>
    <xf numFmtId="44" fontId="36" fillId="0" borderId="0" xfId="0" applyNumberFormat="1" applyFont="1" applyAlignment="1">
      <alignment horizontal="center" vertical="center"/>
    </xf>
    <xf numFmtId="43" fontId="36" fillId="0" borderId="13" xfId="0" applyNumberFormat="1" applyFont="1" applyBorder="1" applyAlignment="1">
      <alignment horizontal="justify" vertical="center"/>
    </xf>
    <xf numFmtId="0" fontId="37" fillId="0" borderId="0" xfId="0" applyFont="1" applyAlignment="1">
      <alignment horizontal="right" vertical="center"/>
    </xf>
    <xf numFmtId="0" fontId="37" fillId="0" borderId="0" xfId="0" applyFont="1" applyAlignment="1">
      <alignment horizontal="center" vertical="center"/>
    </xf>
    <xf numFmtId="44" fontId="37" fillId="0" borderId="0" xfId="0" applyNumberFormat="1" applyFont="1" applyAlignment="1">
      <alignment horizontal="center" vertical="center"/>
    </xf>
    <xf numFmtId="43" fontId="37" fillId="0" borderId="13" xfId="0" applyNumberFormat="1" applyFont="1" applyBorder="1" applyAlignment="1">
      <alignment horizontal="justify" vertical="center"/>
    </xf>
    <xf numFmtId="3" fontId="9" fillId="8" borderId="12" xfId="0" applyNumberFormat="1" applyFont="1" applyFill="1" applyBorder="1" applyAlignment="1">
      <alignment horizontal="center" vertical="center"/>
    </xf>
    <xf numFmtId="43" fontId="37" fillId="8" borderId="13" xfId="0" applyNumberFormat="1" applyFont="1" applyFill="1" applyBorder="1" applyAlignment="1">
      <alignment horizontal="justify" vertical="center"/>
    </xf>
    <xf numFmtId="3" fontId="8" fillId="0" borderId="12" xfId="0" applyNumberFormat="1" applyFont="1" applyBorder="1" applyAlignment="1">
      <alignment horizontal="center" vertical="center"/>
    </xf>
    <xf numFmtId="3" fontId="9" fillId="8" borderId="29" xfId="0" applyNumberFormat="1" applyFont="1" applyFill="1" applyBorder="1" applyAlignment="1">
      <alignment horizontal="center" vertical="center"/>
    </xf>
    <xf numFmtId="0" fontId="37" fillId="8" borderId="20" xfId="0" applyFont="1" applyFill="1" applyBorder="1" applyAlignment="1">
      <alignment horizontal="right" vertical="center"/>
    </xf>
    <xf numFmtId="0" fontId="37" fillId="8" borderId="20" xfId="0" applyFont="1" applyFill="1" applyBorder="1" applyAlignment="1">
      <alignment vertical="center"/>
    </xf>
    <xf numFmtId="44" fontId="37" fillId="8" borderId="20" xfId="0" applyNumberFormat="1" applyFont="1" applyFill="1" applyBorder="1" applyAlignment="1">
      <alignment vertical="center"/>
    </xf>
    <xf numFmtId="43" fontId="37" fillId="8" borderId="30" xfId="0" applyNumberFormat="1" applyFont="1" applyFill="1" applyBorder="1" applyAlignment="1">
      <alignment horizontal="justify" vertical="center"/>
    </xf>
    <xf numFmtId="43" fontId="9" fillId="3" borderId="10" xfId="0" applyNumberFormat="1" applyFont="1" applyFill="1" applyBorder="1" applyAlignment="1">
      <alignment horizontal="justify" vertical="center"/>
    </xf>
    <xf numFmtId="44" fontId="36" fillId="0" borderId="13" xfId="0" applyNumberFormat="1" applyFont="1" applyBorder="1" applyAlignment="1">
      <alignment horizontal="justify" vertical="center"/>
    </xf>
    <xf numFmtId="44" fontId="37" fillId="0" borderId="13" xfId="0" applyNumberFormat="1" applyFont="1" applyBorder="1" applyAlignment="1">
      <alignment horizontal="justify" vertical="center"/>
    </xf>
    <xf numFmtId="44" fontId="37" fillId="8" borderId="13" xfId="0" applyNumberFormat="1" applyFont="1" applyFill="1" applyBorder="1" applyAlignment="1">
      <alignment horizontal="justify" vertical="center"/>
    </xf>
    <xf numFmtId="3" fontId="9" fillId="0" borderId="0" xfId="0" applyNumberFormat="1" applyFont="1" applyAlignment="1">
      <alignment horizontal="center" vertical="center"/>
    </xf>
    <xf numFmtId="173" fontId="9" fillId="0" borderId="0" xfId="0" applyNumberFormat="1" applyFont="1" applyAlignment="1">
      <alignment horizontal="center" vertical="center"/>
    </xf>
    <xf numFmtId="44" fontId="9" fillId="0" borderId="0" xfId="0" applyNumberFormat="1" applyFont="1" applyAlignment="1">
      <alignment horizontal="center" vertical="center"/>
    </xf>
    <xf numFmtId="3" fontId="9" fillId="0" borderId="0" xfId="0" applyNumberFormat="1" applyFont="1"/>
    <xf numFmtId="0" fontId="9" fillId="0" borderId="0" xfId="0" applyFont="1" applyAlignment="1">
      <alignment horizontal="justify"/>
    </xf>
    <xf numFmtId="0" fontId="12" fillId="0" borderId="0" xfId="0" applyFont="1"/>
    <xf numFmtId="168" fontId="6" fillId="3" borderId="0" xfId="0" applyNumberFormat="1" applyFont="1" applyFill="1" applyAlignment="1">
      <alignment vertical="center"/>
    </xf>
    <xf numFmtId="181" fontId="9" fillId="9" borderId="0" xfId="0" applyNumberFormat="1" applyFont="1" applyFill="1" applyAlignment="1" applyProtection="1">
      <alignment horizontal="center" vertical="center"/>
      <protection locked="0"/>
    </xf>
    <xf numFmtId="0" fontId="11" fillId="4" borderId="0" xfId="0" applyFont="1" applyFill="1" applyAlignment="1">
      <alignment horizontal="center" vertical="center"/>
    </xf>
    <xf numFmtId="176" fontId="31" fillId="0" borderId="0" xfId="0" applyNumberFormat="1" applyFont="1" applyAlignment="1">
      <alignment horizontal="center" vertical="center"/>
    </xf>
    <xf numFmtId="176" fontId="42" fillId="7" borderId="0" xfId="0" applyNumberFormat="1" applyFont="1" applyFill="1" applyAlignment="1" applyProtection="1">
      <alignment horizontal="center" vertical="center"/>
      <protection locked="0"/>
    </xf>
    <xf numFmtId="176" fontId="33" fillId="7" borderId="0" xfId="0" applyNumberFormat="1" applyFont="1" applyFill="1" applyAlignment="1" applyProtection="1">
      <alignment horizontal="justify" vertical="center"/>
      <protection locked="0"/>
    </xf>
    <xf numFmtId="4" fontId="33" fillId="7" borderId="0" xfId="0" applyNumberFormat="1" applyFont="1" applyFill="1" applyAlignment="1" applyProtection="1">
      <alignment horizontal="center" vertical="center"/>
      <protection locked="0"/>
    </xf>
    <xf numFmtId="166" fontId="33" fillId="7" borderId="0" xfId="0" applyNumberFormat="1" applyFont="1" applyFill="1" applyAlignment="1" applyProtection="1">
      <alignment horizontal="center" vertical="center"/>
      <protection locked="0"/>
    </xf>
    <xf numFmtId="44" fontId="9" fillId="9" borderId="68" xfId="0" applyNumberFormat="1" applyFont="1" applyFill="1" applyBorder="1" applyAlignment="1" applyProtection="1">
      <alignment horizontal="center" vertical="center"/>
      <protection locked="0"/>
    </xf>
    <xf numFmtId="2" fontId="38" fillId="7" borderId="27" xfId="12" applyNumberFormat="1" applyFont="1" applyFill="1" applyBorder="1" applyAlignment="1">
      <alignment vertical="center" wrapText="1"/>
    </xf>
    <xf numFmtId="176" fontId="9" fillId="0" borderId="0" xfId="12" applyNumberFormat="1" applyFont="1" applyAlignment="1">
      <alignment horizontal="left" vertical="center"/>
    </xf>
    <xf numFmtId="176" fontId="9" fillId="0" borderId="0" xfId="12" applyNumberFormat="1" applyFont="1" applyAlignment="1">
      <alignment horizontal="center" vertical="center"/>
    </xf>
    <xf numFmtId="176" fontId="9" fillId="0" borderId="0" xfId="12" applyNumberFormat="1" applyFont="1" applyAlignment="1">
      <alignment vertical="center"/>
    </xf>
    <xf numFmtId="2" fontId="38" fillId="7" borderId="13" xfId="12" applyNumberFormat="1" applyFont="1" applyFill="1" applyBorder="1" applyAlignment="1">
      <alignment vertical="center" wrapText="1"/>
    </xf>
    <xf numFmtId="4" fontId="9" fillId="0" borderId="0" xfId="12" applyNumberFormat="1" applyFont="1" applyAlignment="1">
      <alignment horizontal="center" vertical="center"/>
    </xf>
    <xf numFmtId="2" fontId="38" fillId="7" borderId="30" xfId="12" applyNumberFormat="1" applyFont="1" applyFill="1" applyBorder="1" applyAlignment="1">
      <alignment vertical="center" wrapText="1"/>
    </xf>
    <xf numFmtId="176" fontId="9" fillId="7" borderId="0" xfId="12" applyNumberFormat="1" applyFont="1" applyFill="1" applyAlignment="1">
      <alignment vertical="center"/>
    </xf>
    <xf numFmtId="176" fontId="9" fillId="7" borderId="0" xfId="12" applyNumberFormat="1" applyFont="1" applyFill="1" applyAlignment="1">
      <alignment vertical="center" wrapText="1"/>
    </xf>
    <xf numFmtId="176" fontId="23" fillId="7" borderId="10" xfId="0" applyNumberFormat="1" applyFont="1" applyFill="1" applyBorder="1" applyAlignment="1">
      <alignment vertical="center"/>
    </xf>
    <xf numFmtId="0" fontId="9" fillId="0" borderId="0" xfId="0" applyFont="1" applyAlignment="1">
      <alignment horizontal="left"/>
    </xf>
    <xf numFmtId="0" fontId="9" fillId="0" borderId="0" xfId="0" applyFont="1" applyAlignment="1">
      <alignment horizontal="center"/>
    </xf>
    <xf numFmtId="176" fontId="9" fillId="0" borderId="0" xfId="0" applyNumberFormat="1" applyFont="1"/>
    <xf numFmtId="176" fontId="9" fillId="0" borderId="18" xfId="0" applyNumberFormat="1" applyFont="1" applyBorder="1" applyAlignment="1">
      <alignment horizontal="center" vertical="center"/>
    </xf>
    <xf numFmtId="176" fontId="9" fillId="0" borderId="25" xfId="0" applyNumberFormat="1" applyFont="1" applyBorder="1" applyAlignment="1">
      <alignment vertical="center"/>
    </xf>
    <xf numFmtId="176" fontId="9" fillId="0" borderId="37" xfId="0" applyNumberFormat="1" applyFont="1" applyBorder="1" applyAlignment="1">
      <alignment vertical="center"/>
    </xf>
    <xf numFmtId="4" fontId="9" fillId="0" borderId="24" xfId="0" applyNumberFormat="1" applyFont="1" applyBorder="1" applyAlignment="1">
      <alignment horizontal="center" vertical="center"/>
    </xf>
    <xf numFmtId="0" fontId="9" fillId="0" borderId="12" xfId="0" applyFont="1" applyBorder="1"/>
    <xf numFmtId="0" fontId="9" fillId="0" borderId="39" xfId="0" applyFont="1" applyBorder="1"/>
    <xf numFmtId="176" fontId="9" fillId="0" borderId="41" xfId="0" applyNumberFormat="1" applyFont="1" applyBorder="1" applyAlignment="1">
      <alignment horizontal="justify" vertical="center" wrapText="1"/>
    </xf>
    <xf numFmtId="176" fontId="9" fillId="0" borderId="0" xfId="0" applyNumberFormat="1" applyFont="1" applyAlignment="1">
      <alignment horizontal="justify" vertical="center" wrapText="1"/>
    </xf>
    <xf numFmtId="176" fontId="9" fillId="0" borderId="39" xfId="0" applyNumberFormat="1" applyFont="1" applyBorder="1" applyAlignment="1">
      <alignment horizontal="justify" vertical="center" wrapText="1"/>
    </xf>
    <xf numFmtId="0" fontId="9" fillId="0" borderId="38" xfId="0" applyFont="1" applyBorder="1"/>
    <xf numFmtId="176" fontId="9" fillId="0" borderId="12" xfId="0" applyNumberFormat="1" applyFont="1" applyBorder="1" applyAlignment="1">
      <alignment horizontal="center" vertical="center"/>
    </xf>
    <xf numFmtId="176" fontId="9" fillId="0" borderId="39" xfId="0" applyNumberFormat="1" applyFont="1" applyBorder="1" applyAlignment="1">
      <alignment horizontal="center" vertical="center"/>
    </xf>
    <xf numFmtId="176" fontId="9" fillId="0" borderId="0" xfId="0" applyNumberFormat="1" applyFont="1" applyAlignment="1">
      <alignment horizontal="center" vertical="center" wrapText="1"/>
    </xf>
    <xf numFmtId="4" fontId="9" fillId="0" borderId="38" xfId="0" applyNumberFormat="1" applyFont="1" applyBorder="1" applyAlignment="1">
      <alignment horizontal="center" vertical="center"/>
    </xf>
    <xf numFmtId="176" fontId="9" fillId="0" borderId="29" xfId="0" applyNumberFormat="1" applyFont="1" applyBorder="1" applyAlignment="1">
      <alignment vertical="center"/>
    </xf>
    <xf numFmtId="176" fontId="9" fillId="0" borderId="40" xfId="0" applyNumberFormat="1" applyFont="1" applyBorder="1" applyAlignment="1">
      <alignment vertical="center"/>
    </xf>
    <xf numFmtId="176" fontId="9" fillId="0" borderId="20" xfId="0" applyNumberFormat="1" applyFont="1" applyBorder="1" applyAlignment="1">
      <alignment vertical="center" wrapText="1"/>
    </xf>
    <xf numFmtId="176" fontId="9" fillId="0" borderId="19" xfId="0" applyNumberFormat="1" applyFont="1" applyBorder="1" applyAlignment="1">
      <alignment vertical="center"/>
    </xf>
    <xf numFmtId="176" fontId="9" fillId="0" borderId="10" xfId="0" applyNumberFormat="1" applyFont="1" applyBorder="1" applyAlignment="1">
      <alignment vertical="center"/>
    </xf>
    <xf numFmtId="176" fontId="9" fillId="0" borderId="10" xfId="0" applyNumberFormat="1" applyFont="1" applyBorder="1" applyAlignment="1">
      <alignment vertical="center" wrapText="1"/>
    </xf>
    <xf numFmtId="176" fontId="9" fillId="0" borderId="26" xfId="0" applyNumberFormat="1" applyFont="1" applyBorder="1" applyAlignment="1">
      <alignment vertical="center"/>
    </xf>
    <xf numFmtId="176" fontId="9" fillId="0" borderId="26" xfId="0" applyNumberFormat="1" applyFont="1" applyBorder="1" applyAlignment="1">
      <alignment vertical="center" wrapText="1"/>
    </xf>
    <xf numFmtId="176" fontId="9" fillId="0" borderId="27" xfId="0" applyNumberFormat="1" applyFont="1" applyBorder="1" applyAlignment="1">
      <alignment vertical="center"/>
    </xf>
    <xf numFmtId="0" fontId="9" fillId="0" borderId="12" xfId="0" applyFont="1" applyBorder="1" applyAlignment="1">
      <alignment vertical="center"/>
    </xf>
    <xf numFmtId="0" fontId="9" fillId="0" borderId="0" xfId="0" applyFont="1" applyAlignment="1">
      <alignment vertical="center" wrapText="1"/>
    </xf>
    <xf numFmtId="0" fontId="9" fillId="0" borderId="13" xfId="0" applyFont="1" applyBorder="1" applyAlignment="1">
      <alignment vertical="center" wrapText="1"/>
    </xf>
    <xf numFmtId="176" fontId="9" fillId="0" borderId="12" xfId="0" applyNumberFormat="1" applyFont="1" applyBorder="1" applyAlignment="1">
      <alignment vertical="center"/>
    </xf>
    <xf numFmtId="0" fontId="13" fillId="0" borderId="0" xfId="0" applyFont="1" applyAlignment="1">
      <alignment vertical="center" wrapText="1"/>
    </xf>
    <xf numFmtId="0" fontId="13" fillId="0" borderId="13" xfId="0" applyFont="1" applyBorder="1" applyAlignment="1">
      <alignment vertical="center" wrapText="1"/>
    </xf>
    <xf numFmtId="176" fontId="23" fillId="0" borderId="0" xfId="0" applyNumberFormat="1" applyFont="1" applyAlignment="1">
      <alignment vertical="center" wrapText="1"/>
    </xf>
    <xf numFmtId="176" fontId="9" fillId="0" borderId="0" xfId="0" applyNumberFormat="1" applyFont="1" applyAlignment="1">
      <alignment vertical="center" wrapText="1"/>
    </xf>
    <xf numFmtId="176" fontId="9" fillId="0" borderId="13" xfId="0" applyNumberFormat="1" applyFont="1" applyBorder="1" applyAlignment="1">
      <alignment vertical="center" wrapText="1"/>
    </xf>
    <xf numFmtId="176" fontId="9" fillId="0" borderId="20" xfId="0" applyNumberFormat="1" applyFont="1" applyBorder="1" applyAlignment="1">
      <alignment vertical="center"/>
    </xf>
    <xf numFmtId="176" fontId="9" fillId="0" borderId="30" xfId="0" applyNumberFormat="1" applyFont="1" applyBorder="1" applyAlignment="1">
      <alignment vertical="center" wrapText="1"/>
    </xf>
    <xf numFmtId="176" fontId="23" fillId="0" borderId="10" xfId="0" applyNumberFormat="1" applyFont="1" applyBorder="1" applyAlignment="1">
      <alignment vertical="center"/>
    </xf>
    <xf numFmtId="176" fontId="9" fillId="0" borderId="12" xfId="0" applyNumberFormat="1" applyFont="1" applyBorder="1" applyAlignment="1">
      <alignment horizontal="left"/>
    </xf>
    <xf numFmtId="0" fontId="9" fillId="0" borderId="0" xfId="0" applyFont="1" applyAlignment="1">
      <alignment horizontal="left" vertical="center"/>
    </xf>
    <xf numFmtId="176" fontId="9" fillId="0" borderId="0" xfId="0" applyNumberFormat="1" applyFont="1" applyAlignment="1">
      <alignment vertical="top" wrapText="1"/>
    </xf>
    <xf numFmtId="176" fontId="9" fillId="0" borderId="13" xfId="0" applyNumberFormat="1" applyFont="1" applyBorder="1" applyAlignment="1">
      <alignment vertical="top"/>
    </xf>
    <xf numFmtId="0" fontId="9" fillId="0" borderId="13" xfId="0" applyFont="1" applyBorder="1" applyAlignment="1">
      <alignment horizontal="justify" vertical="center" wrapText="1"/>
    </xf>
    <xf numFmtId="0" fontId="9" fillId="0" borderId="0" xfId="0" applyFont="1" applyAlignment="1">
      <alignment vertical="top" wrapText="1"/>
    </xf>
    <xf numFmtId="0" fontId="9" fillId="0" borderId="13" xfId="0" applyFont="1" applyBorder="1" applyAlignment="1">
      <alignment vertical="top" wrapText="1"/>
    </xf>
    <xf numFmtId="0" fontId="9" fillId="0" borderId="12" xfId="0" applyFont="1" applyBorder="1" applyAlignment="1">
      <alignment horizontal="justify" vertical="center"/>
    </xf>
    <xf numFmtId="0" fontId="34" fillId="0" borderId="0" xfId="0" applyFont="1" applyAlignment="1">
      <alignment vertical="center" wrapText="1"/>
    </xf>
    <xf numFmtId="0" fontId="34" fillId="0" borderId="13" xfId="0" applyFont="1" applyBorder="1" applyAlignment="1">
      <alignment vertical="center" wrapText="1"/>
    </xf>
    <xf numFmtId="0" fontId="9" fillId="0" borderId="0" xfId="0" applyFont="1" applyAlignment="1">
      <alignment horizontal="justify" vertical="top" wrapText="1"/>
    </xf>
    <xf numFmtId="0" fontId="9" fillId="0" borderId="13" xfId="0" applyFont="1" applyBorder="1" applyAlignment="1">
      <alignment horizontal="justify" vertical="top" wrapText="1"/>
    </xf>
    <xf numFmtId="176" fontId="9" fillId="0" borderId="0" xfId="0" applyNumberFormat="1" applyFont="1" applyAlignment="1">
      <alignment horizontal="justify" vertical="center"/>
    </xf>
    <xf numFmtId="0" fontId="9" fillId="0" borderId="29" xfId="0" applyFont="1" applyBorder="1" applyAlignment="1">
      <alignment vertical="center"/>
    </xf>
    <xf numFmtId="0" fontId="9" fillId="0" borderId="20" xfId="0" applyFont="1" applyBorder="1" applyAlignment="1">
      <alignment vertical="center"/>
    </xf>
    <xf numFmtId="0" fontId="9" fillId="0" borderId="20" xfId="0" applyFont="1" applyBorder="1" applyAlignment="1">
      <alignment vertical="top" wrapText="1"/>
    </xf>
    <xf numFmtId="176" fontId="9" fillId="0" borderId="20" xfId="0" applyNumberFormat="1" applyFont="1" applyBorder="1" applyAlignment="1">
      <alignment vertical="top" wrapText="1"/>
    </xf>
    <xf numFmtId="176" fontId="9" fillId="0" borderId="30" xfId="0" applyNumberFormat="1" applyFont="1" applyBorder="1" applyAlignment="1">
      <alignment vertical="top"/>
    </xf>
    <xf numFmtId="0" fontId="9" fillId="0" borderId="39" xfId="0" applyFont="1" applyBorder="1" applyAlignment="1">
      <alignment vertical="center"/>
    </xf>
    <xf numFmtId="176" fontId="9" fillId="0" borderId="41" xfId="0" applyNumberFormat="1" applyFont="1" applyBorder="1" applyAlignment="1">
      <alignment vertical="center" wrapText="1"/>
    </xf>
    <xf numFmtId="176" fontId="9" fillId="0" borderId="39" xfId="0" applyNumberFormat="1" applyFont="1" applyBorder="1" applyAlignment="1">
      <alignment vertical="center" wrapText="1"/>
    </xf>
    <xf numFmtId="0" fontId="9" fillId="0" borderId="38" xfId="0" applyFont="1" applyBorder="1" applyAlignment="1">
      <alignment vertical="center"/>
    </xf>
    <xf numFmtId="0" fontId="9" fillId="0" borderId="12" xfId="0" applyFont="1" applyBorder="1" applyAlignment="1">
      <alignment horizontal="left" vertical="center"/>
    </xf>
    <xf numFmtId="176" fontId="9" fillId="0" borderId="25" xfId="0" applyNumberFormat="1" applyFont="1" applyBorder="1" applyAlignment="1">
      <alignment horizontal="justify" vertical="center"/>
    </xf>
    <xf numFmtId="176" fontId="9" fillId="0" borderId="26" xfId="0" applyNumberFormat="1" applyFont="1" applyBorder="1" applyAlignment="1">
      <alignment horizontal="justify" vertical="center"/>
    </xf>
    <xf numFmtId="176" fontId="9" fillId="0" borderId="24" xfId="0" applyNumberFormat="1" applyFont="1" applyBorder="1" applyAlignment="1">
      <alignment horizontal="center" vertical="center"/>
    </xf>
    <xf numFmtId="0" fontId="9" fillId="0" borderId="13" xfId="0" applyFont="1" applyBorder="1" applyAlignment="1">
      <alignment vertical="center"/>
    </xf>
    <xf numFmtId="0" fontId="9" fillId="0" borderId="0" xfId="0" applyFont="1" applyAlignment="1">
      <alignment vertical="top"/>
    </xf>
    <xf numFmtId="0" fontId="9" fillId="0" borderId="30" xfId="0" applyFont="1" applyBorder="1" applyAlignment="1">
      <alignment vertical="top" wrapText="1"/>
    </xf>
    <xf numFmtId="1" fontId="9" fillId="0" borderId="12" xfId="0" applyNumberFormat="1" applyFont="1" applyBorder="1" applyAlignment="1">
      <alignment vertical="center"/>
    </xf>
    <xf numFmtId="0" fontId="9" fillId="0" borderId="26" xfId="0" applyFont="1" applyBorder="1" applyAlignment="1">
      <alignment vertical="center" wrapText="1"/>
    </xf>
    <xf numFmtId="0" fontId="9" fillId="0" borderId="27" xfId="0" applyFont="1" applyBorder="1" applyAlignment="1">
      <alignment vertical="center" wrapText="1"/>
    </xf>
    <xf numFmtId="0" fontId="0" fillId="0" borderId="0" xfId="0" applyAlignment="1">
      <alignment vertical="center"/>
    </xf>
    <xf numFmtId="0" fontId="9" fillId="0" borderId="12" xfId="0" applyFont="1" applyBorder="1" applyAlignment="1">
      <alignment vertical="center" wrapText="1"/>
    </xf>
    <xf numFmtId="0" fontId="9" fillId="0" borderId="25" xfId="0" applyFont="1" applyBorder="1" applyAlignment="1">
      <alignment horizontal="left" vertical="center"/>
    </xf>
    <xf numFmtId="0" fontId="9" fillId="0" borderId="26" xfId="0" applyFont="1" applyBorder="1" applyAlignment="1">
      <alignment horizontal="left" vertical="center"/>
    </xf>
    <xf numFmtId="0" fontId="9" fillId="0" borderId="20" xfId="0" applyFont="1" applyBorder="1" applyAlignment="1">
      <alignment vertical="center" wrapText="1"/>
    </xf>
    <xf numFmtId="0" fontId="9" fillId="0" borderId="30" xfId="0" applyFont="1" applyBorder="1" applyAlignment="1">
      <alignment vertical="center" wrapText="1"/>
    </xf>
    <xf numFmtId="176" fontId="9" fillId="0" borderId="12" xfId="0" applyNumberFormat="1" applyFont="1" applyBorder="1"/>
    <xf numFmtId="176" fontId="9" fillId="0" borderId="0" xfId="0" applyNumberFormat="1" applyFont="1" applyAlignment="1">
      <alignment wrapText="1"/>
    </xf>
    <xf numFmtId="0" fontId="9" fillId="0" borderId="12" xfId="0" applyFont="1" applyBorder="1" applyAlignment="1">
      <alignment vertical="top" wrapText="1"/>
    </xf>
    <xf numFmtId="0" fontId="34" fillId="0" borderId="0" xfId="0" applyFont="1" applyAlignment="1">
      <alignment horizontal="justify" vertical="center" wrapText="1"/>
    </xf>
    <xf numFmtId="0" fontId="34" fillId="0" borderId="13" xfId="0" applyFont="1" applyBorder="1" applyAlignment="1">
      <alignment horizontal="justify" vertical="center" wrapText="1"/>
    </xf>
    <xf numFmtId="0" fontId="0" fillId="0" borderId="12" xfId="0" applyBorder="1" applyAlignment="1">
      <alignment vertical="center" wrapText="1"/>
    </xf>
    <xf numFmtId="0" fontId="0" fillId="0" borderId="0" xfId="0" applyAlignment="1">
      <alignment vertical="center" wrapText="1"/>
    </xf>
    <xf numFmtId="0" fontId="9" fillId="0" borderId="25" xfId="0" applyFont="1" applyBorder="1" applyAlignment="1">
      <alignment vertical="center"/>
    </xf>
    <xf numFmtId="0" fontId="9" fillId="0" borderId="26" xfId="0" applyFont="1" applyBorder="1" applyAlignment="1">
      <alignment vertical="center"/>
    </xf>
    <xf numFmtId="176" fontId="9" fillId="0" borderId="0" xfId="0" applyNumberFormat="1" applyFont="1" applyAlignment="1">
      <alignment horizontal="left"/>
    </xf>
    <xf numFmtId="176" fontId="9" fillId="0" borderId="0" xfId="0" applyNumberFormat="1" applyFont="1" applyAlignment="1">
      <alignment horizontal="center"/>
    </xf>
    <xf numFmtId="174" fontId="45" fillId="11" borderId="14" xfId="17" applyFont="1" applyFill="1" applyBorder="1" applyAlignment="1" applyProtection="1">
      <alignment horizontal="center" vertical="center"/>
    </xf>
    <xf numFmtId="10" fontId="45" fillId="6" borderId="47" xfId="14" applyNumberFormat="1" applyFont="1" applyFill="1" applyBorder="1" applyAlignment="1" applyProtection="1">
      <alignment horizontal="center" vertical="center"/>
    </xf>
    <xf numFmtId="10" fontId="46" fillId="6" borderId="7" xfId="14" applyNumberFormat="1" applyFont="1" applyFill="1" applyBorder="1" applyAlignment="1" applyProtection="1">
      <alignment horizontal="center" vertical="center"/>
    </xf>
    <xf numFmtId="10" fontId="45" fillId="6" borderId="7" xfId="14" applyNumberFormat="1" applyFont="1" applyFill="1" applyBorder="1" applyAlignment="1" applyProtection="1">
      <alignment horizontal="center" vertical="center"/>
    </xf>
    <xf numFmtId="10" fontId="45" fillId="6" borderId="64" xfId="14" applyNumberFormat="1" applyFont="1" applyFill="1" applyBorder="1" applyAlignment="1" applyProtection="1">
      <alignment horizontal="center" vertical="center"/>
    </xf>
    <xf numFmtId="10" fontId="45" fillId="3" borderId="52" xfId="14" applyNumberFormat="1" applyFont="1" applyFill="1" applyBorder="1" applyAlignment="1" applyProtection="1">
      <alignment horizontal="center" vertical="center"/>
    </xf>
    <xf numFmtId="10" fontId="45" fillId="3" borderId="11" xfId="14" applyNumberFormat="1" applyFont="1" applyFill="1" applyBorder="1" applyAlignment="1" applyProtection="1">
      <alignment horizontal="center" vertical="center"/>
    </xf>
    <xf numFmtId="10" fontId="45" fillId="3" borderId="49" xfId="14" applyNumberFormat="1" applyFont="1" applyFill="1" applyBorder="1" applyAlignment="1" applyProtection="1">
      <alignment horizontal="center" vertical="center"/>
    </xf>
    <xf numFmtId="10" fontId="53" fillId="6" borderId="47" xfId="14" applyNumberFormat="1" applyFont="1" applyFill="1" applyBorder="1" applyAlignment="1" applyProtection="1">
      <alignment horizontal="center" vertical="center"/>
    </xf>
    <xf numFmtId="10" fontId="53" fillId="6" borderId="7" xfId="14" applyNumberFormat="1" applyFont="1" applyFill="1" applyBorder="1" applyAlignment="1" applyProtection="1">
      <alignment horizontal="center" vertical="center"/>
    </xf>
    <xf numFmtId="10" fontId="53" fillId="6" borderId="64" xfId="14" applyNumberFormat="1" applyFont="1" applyFill="1" applyBorder="1" applyAlignment="1" applyProtection="1">
      <alignment horizontal="center" vertical="center"/>
    </xf>
    <xf numFmtId="10" fontId="45" fillId="0" borderId="47" xfId="14" applyNumberFormat="1" applyFont="1" applyFill="1" applyBorder="1" applyAlignment="1" applyProtection="1">
      <alignment horizontal="center" vertical="center"/>
    </xf>
    <xf numFmtId="10" fontId="45" fillId="0" borderId="7" xfId="14" applyNumberFormat="1" applyFont="1" applyFill="1" applyBorder="1" applyAlignment="1" applyProtection="1">
      <alignment horizontal="center" vertical="center"/>
    </xf>
    <xf numFmtId="10" fontId="45" fillId="0" borderId="64" xfId="14" applyNumberFormat="1" applyFont="1" applyFill="1" applyBorder="1" applyAlignment="1" applyProtection="1">
      <alignment horizontal="center" vertical="center"/>
    </xf>
    <xf numFmtId="10" fontId="45" fillId="6" borderId="52" xfId="14" applyNumberFormat="1" applyFont="1" applyFill="1" applyBorder="1" applyAlignment="1" applyProtection="1">
      <alignment horizontal="center" vertical="center"/>
    </xf>
    <xf numFmtId="10" fontId="46" fillId="6" borderId="11" xfId="14" applyNumberFormat="1" applyFont="1" applyFill="1" applyBorder="1" applyAlignment="1" applyProtection="1">
      <alignment horizontal="center" vertical="center"/>
    </xf>
    <xf numFmtId="10" fontId="45" fillId="6" borderId="11" xfId="14" applyNumberFormat="1" applyFont="1" applyFill="1" applyBorder="1" applyAlignment="1" applyProtection="1">
      <alignment horizontal="center" vertical="center"/>
    </xf>
    <xf numFmtId="10" fontId="45" fillId="6" borderId="49" xfId="14" applyNumberFormat="1" applyFont="1" applyFill="1" applyBorder="1" applyAlignment="1" applyProtection="1">
      <alignment horizontal="center" vertical="center"/>
    </xf>
    <xf numFmtId="10" fontId="46" fillId="0" borderId="7" xfId="14" applyNumberFormat="1" applyFont="1" applyFill="1" applyBorder="1" applyAlignment="1" applyProtection="1">
      <alignment horizontal="center" vertical="center"/>
    </xf>
    <xf numFmtId="0" fontId="57" fillId="0" borderId="0" xfId="33" applyFont="1"/>
    <xf numFmtId="0" fontId="61" fillId="0" borderId="0" xfId="33" quotePrefix="1" applyFont="1"/>
    <xf numFmtId="0" fontId="62" fillId="0" borderId="0" xfId="33" quotePrefix="1" applyFont="1"/>
    <xf numFmtId="0" fontId="57" fillId="0" borderId="0" xfId="33" applyFont="1" applyAlignment="1">
      <alignment vertical="center" wrapText="1"/>
    </xf>
    <xf numFmtId="0" fontId="62" fillId="0" borderId="0" xfId="33" applyFont="1" applyAlignment="1">
      <alignment horizontal="center" vertical="center" wrapText="1"/>
    </xf>
    <xf numFmtId="0" fontId="62" fillId="0" borderId="0" xfId="33" applyFont="1" applyAlignment="1">
      <alignment vertical="center" wrapText="1"/>
    </xf>
    <xf numFmtId="0" fontId="62" fillId="0" borderId="0" xfId="33" applyFont="1"/>
    <xf numFmtId="10" fontId="9" fillId="14" borderId="22" xfId="26" applyNumberFormat="1" applyFont="1" applyFill="1" applyBorder="1" applyAlignment="1" applyProtection="1">
      <alignment horizontal="center" vertical="center" wrapText="1"/>
      <protection locked="0"/>
    </xf>
    <xf numFmtId="10" fontId="9" fillId="14" borderId="105" xfId="26" applyNumberFormat="1" applyFont="1" applyFill="1" applyBorder="1" applyAlignment="1" applyProtection="1">
      <alignment horizontal="center" vertical="center" wrapText="1"/>
      <protection locked="0"/>
    </xf>
    <xf numFmtId="10" fontId="8" fillId="0" borderId="106" xfId="25" applyNumberFormat="1" applyFont="1" applyBorder="1" applyAlignment="1">
      <alignment horizontal="center" vertical="center" wrapText="1"/>
    </xf>
    <xf numFmtId="10" fontId="8" fillId="0" borderId="106" xfId="26" applyNumberFormat="1" applyFont="1" applyBorder="1" applyAlignment="1" applyProtection="1">
      <alignment horizontal="center" vertical="center" wrapText="1"/>
    </xf>
    <xf numFmtId="10" fontId="9" fillId="0" borderId="22" xfId="26" applyNumberFormat="1" applyFont="1" applyFill="1" applyBorder="1" applyAlignment="1" applyProtection="1">
      <alignment horizontal="center" vertical="center" wrapText="1"/>
    </xf>
    <xf numFmtId="10" fontId="9" fillId="0" borderId="105" xfId="26" applyNumberFormat="1" applyFont="1" applyFill="1" applyBorder="1" applyAlignment="1" applyProtection="1">
      <alignment horizontal="center" vertical="center" wrapText="1"/>
    </xf>
    <xf numFmtId="10" fontId="8" fillId="2" borderId="16" xfId="25" applyNumberFormat="1" applyFont="1" applyFill="1" applyBorder="1" applyAlignment="1">
      <alignment horizontal="center" vertical="center" wrapText="1"/>
    </xf>
    <xf numFmtId="3" fontId="9" fillId="3" borderId="26" xfId="0" applyNumberFormat="1" applyFont="1" applyFill="1" applyBorder="1" applyAlignment="1">
      <alignment vertical="center"/>
    </xf>
    <xf numFmtId="0" fontId="9" fillId="3" borderId="26" xfId="0" applyFont="1" applyFill="1" applyBorder="1" applyAlignment="1">
      <alignment horizontal="justify" vertical="center"/>
    </xf>
    <xf numFmtId="0" fontId="9" fillId="3" borderId="26" xfId="0" applyFont="1" applyFill="1" applyBorder="1" applyAlignment="1">
      <alignment vertical="center"/>
    </xf>
    <xf numFmtId="44" fontId="9" fillId="3" borderId="26" xfId="0" applyNumberFormat="1" applyFont="1" applyFill="1" applyBorder="1" applyAlignment="1">
      <alignment vertical="center"/>
    </xf>
    <xf numFmtId="43" fontId="9" fillId="3" borderId="26" xfId="0" applyNumberFormat="1" applyFont="1" applyFill="1" applyBorder="1" applyAlignment="1">
      <alignment horizontal="justify" vertical="center"/>
    </xf>
    <xf numFmtId="0" fontId="0" fillId="0" borderId="12" xfId="0" applyBorder="1" applyAlignment="1">
      <alignment vertical="center"/>
    </xf>
    <xf numFmtId="0" fontId="9" fillId="0" borderId="12" xfId="25" applyFont="1" applyBorder="1" applyAlignment="1">
      <alignment vertical="center"/>
    </xf>
    <xf numFmtId="0" fontId="9" fillId="0" borderId="0" xfId="25" applyFont="1" applyAlignment="1">
      <alignment vertical="center"/>
    </xf>
    <xf numFmtId="176" fontId="8" fillId="0" borderId="18" xfId="0" applyNumberFormat="1" applyFont="1" applyBorder="1" applyAlignment="1">
      <alignment horizontal="center" vertical="center"/>
    </xf>
    <xf numFmtId="0" fontId="15" fillId="0" borderId="0" xfId="0" applyFont="1"/>
    <xf numFmtId="0" fontId="7" fillId="8" borderId="26" xfId="0" applyFont="1" applyFill="1" applyBorder="1"/>
    <xf numFmtId="0" fontId="0" fillId="8" borderId="26" xfId="0" applyFill="1" applyBorder="1"/>
    <xf numFmtId="0" fontId="0" fillId="8" borderId="27" xfId="0" applyFill="1" applyBorder="1"/>
    <xf numFmtId="0" fontId="0" fillId="0" borderId="13" xfId="0" applyBorder="1"/>
    <xf numFmtId="0" fontId="0" fillId="0" borderId="20" xfId="0" applyBorder="1"/>
    <xf numFmtId="0" fontId="0" fillId="0" borderId="30" xfId="0" applyBorder="1"/>
    <xf numFmtId="2" fontId="0" fillId="0" borderId="0" xfId="0" applyNumberFormat="1"/>
    <xf numFmtId="0" fontId="7" fillId="0" borderId="21" xfId="0" applyFont="1" applyBorder="1"/>
    <xf numFmtId="2" fontId="7" fillId="0" borderId="10" xfId="0" applyNumberFormat="1" applyFont="1" applyBorder="1"/>
    <xf numFmtId="0" fontId="7" fillId="0" borderId="28" xfId="0" applyFont="1" applyBorder="1"/>
    <xf numFmtId="175" fontId="0" fillId="0" borderId="0" xfId="0" applyNumberFormat="1"/>
    <xf numFmtId="0" fontId="7" fillId="8" borderId="27" xfId="0" applyFont="1" applyFill="1" applyBorder="1"/>
    <xf numFmtId="2" fontId="15" fillId="0" borderId="0" xfId="0" applyNumberFormat="1" applyFont="1"/>
    <xf numFmtId="4" fontId="0" fillId="0" borderId="0" xfId="0" applyNumberFormat="1"/>
    <xf numFmtId="4" fontId="7" fillId="0" borderId="10" xfId="0" applyNumberFormat="1" applyFont="1" applyBorder="1"/>
    <xf numFmtId="0" fontId="7" fillId="0" borderId="0" xfId="0" applyFont="1"/>
    <xf numFmtId="2" fontId="0" fillId="0" borderId="13" xfId="0" applyNumberFormat="1" applyBorder="1"/>
    <xf numFmtId="0" fontId="7" fillId="0" borderId="10" xfId="0" applyFont="1" applyBorder="1"/>
    <xf numFmtId="0" fontId="15" fillId="0" borderId="20" xfId="0" applyFont="1" applyBorder="1"/>
    <xf numFmtId="4" fontId="15" fillId="0" borderId="0" xfId="0" applyNumberFormat="1" applyFont="1"/>
    <xf numFmtId="176" fontId="8" fillId="0" borderId="24" xfId="0" applyNumberFormat="1" applyFont="1" applyBorder="1" applyAlignment="1">
      <alignment horizontal="center" vertical="center"/>
    </xf>
    <xf numFmtId="0" fontId="43" fillId="0" borderId="0" xfId="0" applyFont="1" applyAlignment="1">
      <alignment horizontal="right"/>
    </xf>
    <xf numFmtId="0" fontId="15" fillId="0" borderId="13" xfId="0" applyFont="1" applyBorder="1"/>
    <xf numFmtId="0" fontId="0" fillId="0" borderId="0" xfId="0" applyAlignment="1">
      <alignment wrapText="1"/>
    </xf>
    <xf numFmtId="0" fontId="0" fillId="0" borderId="13" xfId="0" applyBorder="1" applyAlignment="1">
      <alignment wrapText="1"/>
    </xf>
    <xf numFmtId="0" fontId="63" fillId="0" borderId="0" xfId="0" applyFont="1"/>
    <xf numFmtId="0" fontId="64" fillId="0" borderId="0" xfId="0" applyFont="1"/>
    <xf numFmtId="0" fontId="0" fillId="0" borderId="13" xfId="0" applyBorder="1" applyAlignment="1">
      <alignment vertical="center" wrapText="1"/>
    </xf>
    <xf numFmtId="0" fontId="15" fillId="0" borderId="0" xfId="0" applyFont="1" applyAlignment="1">
      <alignment wrapText="1"/>
    </xf>
    <xf numFmtId="0" fontId="15" fillId="0" borderId="13" xfId="0" applyFont="1" applyBorder="1" applyAlignment="1">
      <alignment wrapText="1"/>
    </xf>
    <xf numFmtId="2" fontId="15" fillId="0" borderId="0" xfId="0" applyNumberFormat="1" applyFont="1" applyAlignment="1">
      <alignment wrapText="1"/>
    </xf>
    <xf numFmtId="2" fontId="7" fillId="0" borderId="0" xfId="0" applyNumberFormat="1" applyFont="1"/>
    <xf numFmtId="2" fontId="0" fillId="0" borderId="20" xfId="0" applyNumberFormat="1" applyBorder="1"/>
    <xf numFmtId="4" fontId="0" fillId="0" borderId="20" xfId="0" applyNumberFormat="1" applyBorder="1"/>
    <xf numFmtId="0" fontId="15" fillId="0" borderId="0" xfId="0" applyFont="1" applyAlignment="1">
      <alignment horizontal="left" wrapText="1"/>
    </xf>
    <xf numFmtId="0" fontId="15" fillId="0" borderId="13" xfId="0" applyFont="1" applyBorder="1" applyAlignment="1">
      <alignment horizontal="left" wrapText="1"/>
    </xf>
    <xf numFmtId="0" fontId="9" fillId="0" borderId="13" xfId="0" applyFont="1" applyBorder="1" applyAlignment="1">
      <alignment vertical="top"/>
    </xf>
    <xf numFmtId="0" fontId="9" fillId="0" borderId="41" xfId="0" applyFont="1" applyBorder="1"/>
    <xf numFmtId="176" fontId="9" fillId="0" borderId="39" xfId="0" applyNumberFormat="1" applyFont="1" applyBorder="1" applyAlignment="1">
      <alignment wrapText="1"/>
    </xf>
    <xf numFmtId="176" fontId="9" fillId="0" borderId="41" xfId="0" applyNumberFormat="1" applyFont="1" applyBorder="1" applyAlignment="1">
      <alignment wrapText="1"/>
    </xf>
    <xf numFmtId="176" fontId="65" fillId="0" borderId="10" xfId="0" applyNumberFormat="1" applyFont="1" applyBorder="1" applyAlignment="1">
      <alignment vertical="center"/>
    </xf>
    <xf numFmtId="0" fontId="9" fillId="0" borderId="13" xfId="0" applyFont="1" applyBorder="1" applyAlignment="1">
      <alignment horizontal="left" vertical="center"/>
    </xf>
    <xf numFmtId="0" fontId="9" fillId="0" borderId="12" xfId="0" applyFont="1" applyBorder="1" applyAlignment="1">
      <alignment horizontal="center" vertical="center"/>
    </xf>
    <xf numFmtId="0" fontId="9" fillId="0" borderId="0" xfId="0" applyFont="1" applyAlignment="1">
      <alignment horizontal="center" vertical="center" wrapText="1"/>
    </xf>
    <xf numFmtId="10" fontId="66" fillId="8" borderId="9" xfId="14" applyNumberFormat="1" applyFont="1" applyFill="1" applyBorder="1" applyAlignment="1" applyProtection="1">
      <alignment horizontal="center" vertical="center"/>
    </xf>
    <xf numFmtId="10" fontId="66" fillId="8" borderId="4" xfId="14" applyNumberFormat="1" applyFont="1" applyFill="1" applyBorder="1" applyAlignment="1" applyProtection="1">
      <alignment horizontal="center" vertical="center"/>
    </xf>
    <xf numFmtId="10" fontId="66" fillId="8" borderId="31" xfId="14" applyNumberFormat="1" applyFont="1" applyFill="1" applyBorder="1" applyAlignment="1" applyProtection="1">
      <alignment horizontal="center" vertical="center"/>
    </xf>
    <xf numFmtId="172" fontId="17" fillId="8" borderId="54" xfId="5" applyNumberFormat="1" applyFont="1" applyFill="1" applyBorder="1" applyAlignment="1" applyProtection="1">
      <alignment horizontal="center" vertical="center"/>
    </xf>
    <xf numFmtId="0" fontId="0" fillId="0" borderId="13" xfId="0" applyBorder="1" applyAlignment="1">
      <alignment vertical="top" wrapText="1"/>
    </xf>
    <xf numFmtId="0" fontId="9" fillId="0" borderId="0" xfId="25" applyFont="1" applyAlignment="1">
      <alignment vertical="top" wrapText="1"/>
    </xf>
    <xf numFmtId="0" fontId="9" fillId="0" borderId="13" xfId="25" applyFont="1" applyBorder="1" applyAlignment="1">
      <alignment vertical="top" wrapText="1"/>
    </xf>
    <xf numFmtId="1" fontId="9" fillId="0" borderId="39" xfId="0" applyNumberFormat="1" applyFont="1" applyBorder="1" applyAlignment="1">
      <alignment vertical="center"/>
    </xf>
    <xf numFmtId="0" fontId="9" fillId="0" borderId="13" xfId="0" applyFont="1" applyBorder="1"/>
    <xf numFmtId="176" fontId="9" fillId="0" borderId="13" xfId="0" applyNumberFormat="1" applyFont="1" applyBorder="1"/>
    <xf numFmtId="176" fontId="9" fillId="0" borderId="20" xfId="0" applyNumberFormat="1" applyFont="1" applyBorder="1" applyAlignment="1">
      <alignment wrapText="1"/>
    </xf>
    <xf numFmtId="176" fontId="9" fillId="0" borderId="30" xfId="0" applyNumberFormat="1" applyFont="1" applyBorder="1"/>
    <xf numFmtId="0" fontId="0" fillId="0" borderId="0" xfId="0" applyAlignment="1">
      <alignment vertical="top" wrapText="1"/>
    </xf>
    <xf numFmtId="0" fontId="9" fillId="0" borderId="0" xfId="0" applyFont="1" applyAlignment="1">
      <alignment wrapText="1"/>
    </xf>
    <xf numFmtId="176" fontId="0" fillId="7" borderId="0" xfId="0" applyNumberFormat="1" applyFill="1" applyAlignment="1" applyProtection="1">
      <alignment vertical="center"/>
      <protection locked="0"/>
    </xf>
    <xf numFmtId="3" fontId="8" fillId="0" borderId="0" xfId="35" applyNumberFormat="1" applyFont="1" applyAlignment="1">
      <alignment horizontal="left" vertical="center"/>
    </xf>
    <xf numFmtId="176" fontId="9" fillId="0" borderId="0" xfId="35" applyNumberFormat="1" applyFont="1" applyAlignment="1">
      <alignment horizontal="left" vertical="center"/>
    </xf>
    <xf numFmtId="3" fontId="9" fillId="0" borderId="0" xfId="35" applyNumberFormat="1" applyFont="1" applyAlignment="1">
      <alignment horizontal="center" vertical="center"/>
    </xf>
    <xf numFmtId="176" fontId="9" fillId="0" borderId="0" xfId="35" quotePrefix="1" applyNumberFormat="1" applyFont="1" applyAlignment="1">
      <alignment horizontal="left" vertical="center"/>
    </xf>
    <xf numFmtId="172" fontId="17" fillId="0" borderId="55" xfId="14" applyNumberFormat="1" applyFont="1" applyFill="1" applyBorder="1" applyAlignment="1" applyProtection="1">
      <alignment horizontal="center" vertical="center"/>
    </xf>
    <xf numFmtId="178" fontId="17" fillId="0" borderId="0" xfId="5" applyNumberFormat="1" applyFont="1" applyFill="1" applyBorder="1" applyAlignment="1" applyProtection="1">
      <alignment horizontal="center" vertical="center"/>
    </xf>
    <xf numFmtId="43" fontId="0" fillId="0" borderId="0" xfId="0" applyNumberFormat="1"/>
    <xf numFmtId="0" fontId="0" fillId="0" borderId="0" xfId="0" applyAlignment="1">
      <alignment horizontal="right"/>
    </xf>
    <xf numFmtId="0" fontId="15" fillId="0" borderId="0" xfId="0" applyFont="1" applyAlignment="1">
      <alignment horizontal="right"/>
    </xf>
    <xf numFmtId="0" fontId="0" fillId="13" borderId="0" xfId="0" applyFill="1"/>
    <xf numFmtId="164" fontId="9" fillId="0" borderId="0" xfId="0" applyNumberFormat="1" applyFont="1" applyAlignment="1">
      <alignment vertical="center"/>
    </xf>
    <xf numFmtId="0" fontId="15" fillId="0" borderId="0" xfId="0" applyFont="1" applyAlignment="1">
      <alignment horizontal="left"/>
    </xf>
    <xf numFmtId="3" fontId="9" fillId="0" borderId="20" xfId="0" applyNumberFormat="1" applyFont="1" applyBorder="1" applyAlignment="1">
      <alignment horizontal="center" vertical="center"/>
    </xf>
    <xf numFmtId="43" fontId="37" fillId="0" borderId="20" xfId="0" applyNumberFormat="1" applyFont="1" applyBorder="1" applyAlignment="1">
      <alignment horizontal="justify" vertical="center"/>
    </xf>
    <xf numFmtId="49" fontId="9" fillId="0" borderId="12" xfId="0" applyNumberFormat="1" applyFont="1" applyBorder="1" applyAlignment="1">
      <alignment horizontal="center" vertical="center" wrapText="1"/>
    </xf>
    <xf numFmtId="3" fontId="9" fillId="7" borderId="20" xfId="0" applyNumberFormat="1" applyFont="1" applyFill="1" applyBorder="1" applyAlignment="1">
      <alignment horizontal="center" vertical="center"/>
    </xf>
    <xf numFmtId="43" fontId="37" fillId="7" borderId="20" xfId="0" applyNumberFormat="1" applyFont="1" applyFill="1" applyBorder="1" applyAlignment="1">
      <alignment horizontal="justify" vertical="center"/>
    </xf>
    <xf numFmtId="2" fontId="9" fillId="0" borderId="12" xfId="0" applyNumberFormat="1" applyFont="1" applyBorder="1" applyAlignment="1">
      <alignment horizontal="center" vertical="center" wrapText="1"/>
    </xf>
    <xf numFmtId="172" fontId="54" fillId="0" borderId="0" xfId="14" applyNumberFormat="1" applyFont="1" applyFill="1" applyBorder="1" applyAlignment="1" applyProtection="1">
      <alignment vertical="center"/>
    </xf>
    <xf numFmtId="0" fontId="9" fillId="7" borderId="44" xfId="0" applyFont="1" applyFill="1" applyBorder="1" applyAlignment="1">
      <alignment horizontal="center" vertical="center"/>
    </xf>
    <xf numFmtId="0" fontId="9" fillId="7" borderId="44" xfId="0" applyFont="1" applyFill="1" applyBorder="1" applyAlignment="1">
      <alignment horizontal="justify" vertical="center" wrapText="1"/>
    </xf>
    <xf numFmtId="0" fontId="7" fillId="8" borderId="25" xfId="0" applyFont="1" applyFill="1" applyBorder="1" applyAlignment="1">
      <alignment horizontal="left" vertical="top"/>
    </xf>
    <xf numFmtId="1" fontId="7" fillId="8" borderId="25" xfId="0" applyNumberFormat="1" applyFont="1" applyFill="1" applyBorder="1" applyAlignment="1">
      <alignment horizontal="left" vertical="top"/>
    </xf>
    <xf numFmtId="0" fontId="7" fillId="8" borderId="12" xfId="0" applyFont="1" applyFill="1" applyBorder="1" applyAlignment="1">
      <alignment horizontal="left" vertical="top"/>
    </xf>
    <xf numFmtId="49" fontId="7" fillId="6" borderId="21" xfId="0" applyNumberFormat="1" applyFont="1" applyFill="1" applyBorder="1" applyAlignment="1">
      <alignment horizontal="left" vertical="top"/>
    </xf>
    <xf numFmtId="49" fontId="7" fillId="0" borderId="21" xfId="0" applyNumberFormat="1" applyFont="1" applyBorder="1" applyAlignment="1">
      <alignment horizontal="left" vertical="top"/>
    </xf>
    <xf numFmtId="0" fontId="7" fillId="0" borderId="21" xfId="0" applyFont="1" applyBorder="1" applyAlignment="1">
      <alignment horizontal="left" vertical="top"/>
    </xf>
    <xf numFmtId="0" fontId="7" fillId="6" borderId="21" xfId="0" applyFont="1" applyFill="1" applyBorder="1" applyAlignment="1">
      <alignment horizontal="left" vertical="top"/>
    </xf>
    <xf numFmtId="0" fontId="0" fillId="0" borderId="12" xfId="0" applyBorder="1" applyAlignment="1">
      <alignment horizontal="left" vertical="top"/>
    </xf>
    <xf numFmtId="0" fontId="0" fillId="0" borderId="29" xfId="0" applyBorder="1" applyAlignment="1">
      <alignment horizontal="left" vertical="top"/>
    </xf>
    <xf numFmtId="0" fontId="15" fillId="0" borderId="12" xfId="0" applyFont="1" applyBorder="1" applyAlignment="1">
      <alignment horizontal="left" vertical="top"/>
    </xf>
    <xf numFmtId="2" fontId="7" fillId="0" borderId="21" xfId="0" applyNumberFormat="1" applyFont="1" applyBorder="1" applyAlignment="1">
      <alignment horizontal="left" vertical="top"/>
    </xf>
    <xf numFmtId="1" fontId="7" fillId="0" borderId="21" xfId="0" applyNumberFormat="1" applyFont="1" applyBorder="1" applyAlignment="1">
      <alignment horizontal="left" vertical="top"/>
    </xf>
    <xf numFmtId="2" fontId="7" fillId="8" borderId="25" xfId="0" applyNumberFormat="1" applyFont="1" applyFill="1" applyBorder="1" applyAlignment="1">
      <alignment horizontal="left" vertical="top"/>
    </xf>
    <xf numFmtId="3" fontId="7" fillId="6" borderId="21" xfId="0" applyNumberFormat="1" applyFont="1" applyFill="1" applyBorder="1" applyAlignment="1">
      <alignment horizontal="left" vertical="top"/>
    </xf>
    <xf numFmtId="0" fontId="0" fillId="0" borderId="0" xfId="0" applyAlignment="1">
      <alignment horizontal="left" vertical="top"/>
    </xf>
    <xf numFmtId="4" fontId="9" fillId="0" borderId="38" xfId="0" applyNumberFormat="1" applyFont="1" applyBorder="1" applyAlignment="1">
      <alignment vertical="center"/>
    </xf>
    <xf numFmtId="2" fontId="9" fillId="0" borderId="0" xfId="0" applyNumberFormat="1" applyFont="1"/>
    <xf numFmtId="0" fontId="31" fillId="0" borderId="24"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 xfId="0" applyFont="1" applyBorder="1" applyAlignment="1">
      <alignment horizontal="center" vertical="center" wrapText="1"/>
    </xf>
    <xf numFmtId="2" fontId="9" fillId="0" borderId="15"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9" xfId="0" applyFont="1" applyBorder="1" applyAlignment="1">
      <alignment horizontal="center" vertical="center" wrapText="1"/>
    </xf>
    <xf numFmtId="2" fontId="9" fillId="0" borderId="31" xfId="0" applyNumberFormat="1" applyFont="1" applyBorder="1" applyAlignment="1">
      <alignment horizontal="center" vertical="center" wrapText="1"/>
    </xf>
    <xf numFmtId="0" fontId="9" fillId="0" borderId="31" xfId="0" applyFont="1" applyBorder="1" applyAlignment="1">
      <alignment horizontal="center" vertical="top" wrapText="1"/>
    </xf>
    <xf numFmtId="176" fontId="9" fillId="0" borderId="9" xfId="0" applyNumberFormat="1" applyFont="1" applyBorder="1" applyAlignment="1">
      <alignment horizontal="center" vertical="top" wrapText="1"/>
    </xf>
    <xf numFmtId="176" fontId="9" fillId="0" borderId="31" xfId="0" applyNumberFormat="1" applyFont="1" applyBorder="1" applyAlignment="1">
      <alignment horizontal="center" vertical="top" wrapText="1"/>
    </xf>
    <xf numFmtId="0" fontId="9" fillId="0" borderId="33" xfId="0" applyFont="1" applyBorder="1" applyAlignment="1">
      <alignment horizontal="center" vertical="center" wrapText="1"/>
    </xf>
    <xf numFmtId="176" fontId="9" fillId="0" borderId="47" xfId="0" applyNumberFormat="1" applyFont="1" applyBorder="1" applyAlignment="1">
      <alignment horizontal="center" vertical="center" wrapText="1"/>
    </xf>
    <xf numFmtId="176" fontId="9" fillId="0" borderId="33" xfId="0" applyNumberFormat="1" applyFont="1" applyBorder="1" applyAlignment="1">
      <alignment horizontal="center" vertical="center" wrapText="1"/>
    </xf>
    <xf numFmtId="49" fontId="8" fillId="12" borderId="22" xfId="0" applyNumberFormat="1" applyFont="1" applyFill="1" applyBorder="1" applyAlignment="1">
      <alignment horizontal="center" vertical="center"/>
    </xf>
    <xf numFmtId="49" fontId="9" fillId="0" borderId="89" xfId="0" applyNumberFormat="1" applyFont="1" applyBorder="1" applyAlignment="1">
      <alignment horizontal="center" vertical="center"/>
    </xf>
    <xf numFmtId="49" fontId="9" fillId="0" borderId="115" xfId="0" applyNumberFormat="1" applyFont="1" applyBorder="1" applyAlignment="1">
      <alignment horizontal="center" vertical="center"/>
    </xf>
    <xf numFmtId="49" fontId="9" fillId="0" borderId="94" xfId="0" applyNumberFormat="1" applyFont="1" applyBorder="1" applyAlignment="1">
      <alignment horizontal="center" vertical="center"/>
    </xf>
    <xf numFmtId="176" fontId="8" fillId="12" borderId="16" xfId="0" applyNumberFormat="1" applyFont="1" applyFill="1" applyBorder="1" applyAlignment="1">
      <alignment horizontal="justify" vertical="center"/>
    </xf>
    <xf numFmtId="0" fontId="9" fillId="0" borderId="43" xfId="0" applyFont="1" applyBorder="1" applyAlignment="1">
      <alignment horizontal="justify" vertical="center" wrapText="1"/>
    </xf>
    <xf numFmtId="0" fontId="1" fillId="3" borderId="0" xfId="36" applyFill="1" applyAlignment="1">
      <alignment vertical="center"/>
    </xf>
    <xf numFmtId="4" fontId="71" fillId="3" borderId="0" xfId="37" applyNumberFormat="1" applyFont="1" applyFill="1" applyAlignment="1">
      <alignment vertical="center"/>
    </xf>
    <xf numFmtId="4" fontId="71" fillId="3" borderId="26" xfId="37" applyNumberFormat="1" applyFont="1" applyFill="1" applyBorder="1" applyAlignment="1">
      <alignment vertical="center"/>
    </xf>
    <xf numFmtId="49" fontId="72" fillId="3" borderId="0" xfId="37" applyNumberFormat="1" applyFont="1" applyFill="1" applyAlignment="1">
      <alignment vertical="center"/>
    </xf>
    <xf numFmtId="49" fontId="71" fillId="3" borderId="0" xfId="37" applyNumberFormat="1" applyFont="1" applyFill="1" applyAlignment="1">
      <alignment vertical="center"/>
    </xf>
    <xf numFmtId="0" fontId="9" fillId="0" borderId="0" xfId="36" applyFont="1"/>
    <xf numFmtId="0" fontId="8" fillId="2" borderId="21" xfId="36" applyFont="1" applyFill="1" applyBorder="1" applyAlignment="1">
      <alignment horizontal="center" vertical="center"/>
    </xf>
    <xf numFmtId="0" fontId="9" fillId="0" borderId="0" xfId="36" applyFont="1" applyAlignment="1">
      <alignment horizontal="center"/>
    </xf>
    <xf numFmtId="0" fontId="8" fillId="0" borderId="0" xfId="36" applyFont="1" applyAlignment="1">
      <alignment horizontal="left" vertical="center"/>
    </xf>
    <xf numFmtId="0" fontId="8" fillId="2" borderId="85" xfId="36" applyFont="1" applyFill="1" applyBorder="1" applyAlignment="1">
      <alignment vertical="center" wrapText="1"/>
    </xf>
    <xf numFmtId="0" fontId="9" fillId="0" borderId="0" xfId="36" applyFont="1" applyAlignment="1">
      <alignment vertical="center"/>
    </xf>
    <xf numFmtId="172" fontId="8" fillId="2" borderId="14" xfId="30" applyNumberFormat="1" applyFont="1" applyFill="1" applyBorder="1" applyAlignment="1">
      <alignment horizontal="center" vertical="center"/>
    </xf>
    <xf numFmtId="0" fontId="9" fillId="0" borderId="25" xfId="36" applyFont="1" applyBorder="1" applyAlignment="1">
      <alignment horizontal="center" vertical="center"/>
    </xf>
    <xf numFmtId="0" fontId="31" fillId="0" borderId="63" xfId="36" applyFont="1" applyBorder="1" applyAlignment="1">
      <alignment horizontal="justify" vertical="center" wrapText="1"/>
    </xf>
    <xf numFmtId="0" fontId="9" fillId="0" borderId="29" xfId="36" applyFont="1" applyBorder="1" applyAlignment="1">
      <alignment horizontal="center" vertical="center"/>
    </xf>
    <xf numFmtId="0" fontId="31" fillId="0" borderId="64" xfId="36" applyFont="1" applyBorder="1" applyAlignment="1">
      <alignment horizontal="justify" vertical="center" wrapText="1"/>
    </xf>
    <xf numFmtId="0" fontId="9" fillId="0" borderId="12" xfId="36" applyFont="1" applyBorder="1" applyAlignment="1">
      <alignment horizontal="center" vertical="center"/>
    </xf>
    <xf numFmtId="0" fontId="31" fillId="0" borderId="48" xfId="36" applyFont="1" applyBorder="1" applyAlignment="1">
      <alignment horizontal="justify" vertical="center" wrapText="1"/>
    </xf>
    <xf numFmtId="0" fontId="28" fillId="2" borderId="85" xfId="36" applyFont="1" applyFill="1" applyBorder="1" applyAlignment="1">
      <alignment horizontal="justify" vertical="center" wrapText="1"/>
    </xf>
    <xf numFmtId="10" fontId="17" fillId="2" borderId="14" xfId="30" applyNumberFormat="1" applyFont="1" applyFill="1" applyBorder="1" applyAlignment="1">
      <alignment horizontal="center" vertical="center"/>
    </xf>
    <xf numFmtId="0" fontId="9" fillId="0" borderId="0" xfId="36" applyFont="1" applyAlignment="1">
      <alignment horizontal="center" vertical="center"/>
    </xf>
    <xf numFmtId="10" fontId="9" fillId="0" borderId="0" xfId="30" applyNumberFormat="1" applyFont="1" applyAlignment="1">
      <alignment vertical="center"/>
    </xf>
    <xf numFmtId="0" fontId="9" fillId="7" borderId="0" xfId="36" applyFont="1" applyFill="1" applyAlignment="1">
      <alignment horizontal="left"/>
    </xf>
    <xf numFmtId="0" fontId="9" fillId="7" borderId="0" xfId="36" applyFont="1" applyFill="1"/>
    <xf numFmtId="0" fontId="9" fillId="7" borderId="0" xfId="36" applyFont="1" applyFill="1" applyAlignment="1">
      <alignment horizontal="center"/>
    </xf>
    <xf numFmtId="0" fontId="10" fillId="7" borderId="0" xfId="36" applyFont="1" applyFill="1" applyAlignment="1">
      <alignment vertical="center"/>
    </xf>
    <xf numFmtId="172" fontId="8" fillId="9" borderId="14" xfId="30" applyNumberFormat="1" applyFont="1" applyFill="1" applyBorder="1" applyAlignment="1" applyProtection="1">
      <alignment horizontal="center" vertical="center"/>
      <protection locked="0"/>
    </xf>
    <xf numFmtId="172" fontId="9" fillId="9" borderId="116" xfId="30" applyNumberFormat="1" applyFont="1" applyFill="1" applyBorder="1" applyAlignment="1" applyProtection="1">
      <alignment horizontal="center" vertical="center"/>
      <protection locked="0"/>
    </xf>
    <xf numFmtId="172" fontId="9" fillId="9" borderId="98" xfId="30" applyNumberFormat="1" applyFont="1" applyFill="1" applyBorder="1" applyAlignment="1" applyProtection="1">
      <alignment horizontal="center" vertical="center"/>
      <protection locked="0"/>
    </xf>
    <xf numFmtId="172" fontId="45" fillId="8" borderId="50" xfId="14" applyNumberFormat="1" applyFont="1" applyFill="1" applyBorder="1" applyAlignment="1" applyProtection="1">
      <alignment horizontal="center" vertical="center"/>
    </xf>
    <xf numFmtId="10" fontId="66" fillId="8" borderId="48" xfId="14" applyNumberFormat="1" applyFont="1" applyFill="1" applyBorder="1" applyAlignment="1" applyProtection="1">
      <alignment horizontal="center" vertical="center"/>
    </xf>
    <xf numFmtId="0" fontId="73" fillId="0" borderId="0" xfId="0" applyFont="1" applyAlignment="1">
      <alignment vertical="center"/>
    </xf>
    <xf numFmtId="0" fontId="9" fillId="0" borderId="118" xfId="0" applyFont="1" applyBorder="1" applyAlignment="1">
      <alignment horizontal="justify" vertical="center"/>
    </xf>
    <xf numFmtId="0" fontId="9" fillId="0" borderId="118" xfId="0" applyFont="1" applyBorder="1" applyAlignment="1">
      <alignment horizontal="center" vertical="center"/>
    </xf>
    <xf numFmtId="44" fontId="75" fillId="9" borderId="44" xfId="0" applyNumberFormat="1" applyFont="1" applyFill="1" applyBorder="1" applyAlignment="1" applyProtection="1">
      <alignment horizontal="center" vertical="center"/>
      <protection locked="0"/>
    </xf>
    <xf numFmtId="44" fontId="30" fillId="0" borderId="26" xfId="0" applyNumberFormat="1" applyFont="1" applyBorder="1" applyAlignment="1">
      <alignment horizontal="center" vertical="center"/>
    </xf>
    <xf numFmtId="172" fontId="18" fillId="8" borderId="50" xfId="14" applyNumberFormat="1" applyFont="1" applyFill="1" applyBorder="1" applyAlignment="1" applyProtection="1">
      <alignment horizontal="center" vertical="center"/>
    </xf>
    <xf numFmtId="176" fontId="8" fillId="2" borderId="6" xfId="0" applyNumberFormat="1" applyFont="1" applyFill="1" applyBorder="1" applyAlignment="1">
      <alignment horizontal="justify" vertical="center" wrapText="1"/>
    </xf>
    <xf numFmtId="44" fontId="27" fillId="2" borderId="6" xfId="0" applyNumberFormat="1" applyFont="1" applyFill="1" applyBorder="1" applyAlignment="1">
      <alignment horizontal="center" vertical="center" wrapText="1"/>
    </xf>
    <xf numFmtId="176" fontId="8" fillId="0" borderId="0" xfId="0" applyNumberFormat="1" applyFont="1" applyAlignment="1">
      <alignment horizontal="left" vertical="center" wrapText="1"/>
    </xf>
    <xf numFmtId="176" fontId="8" fillId="0" borderId="0" xfId="0" applyNumberFormat="1" applyFont="1" applyAlignment="1">
      <alignment horizontal="center" vertical="center"/>
    </xf>
    <xf numFmtId="44" fontId="8" fillId="0" borderId="0" xfId="0" applyNumberFormat="1" applyFont="1" applyAlignment="1">
      <alignment horizontal="center" vertical="center" wrapText="1"/>
    </xf>
    <xf numFmtId="176" fontId="9" fillId="0" borderId="0" xfId="0" applyNumberFormat="1" applyFont="1" applyAlignment="1">
      <alignment horizontal="left" vertical="center" wrapText="1"/>
    </xf>
    <xf numFmtId="181" fontId="9" fillId="9" borderId="0" xfId="0" applyNumberFormat="1" applyFont="1" applyFill="1" applyAlignment="1">
      <alignment horizontal="center" vertical="center"/>
    </xf>
    <xf numFmtId="4" fontId="6" fillId="0" borderId="0" xfId="0" quotePrefix="1" applyNumberFormat="1" applyFont="1" applyAlignment="1">
      <alignment horizontal="center" vertical="center"/>
    </xf>
    <xf numFmtId="0" fontId="37" fillId="8" borderId="0" xfId="0" applyFont="1" applyFill="1" applyAlignment="1">
      <alignment horizontal="right" vertical="center"/>
    </xf>
    <xf numFmtId="0" fontId="37" fillId="8" borderId="0" xfId="0" applyFont="1" applyFill="1" applyAlignment="1">
      <alignment vertical="center"/>
    </xf>
    <xf numFmtId="44" fontId="37" fillId="8" borderId="0" xfId="0" applyNumberFormat="1" applyFont="1" applyFill="1" applyAlignment="1">
      <alignment vertical="center"/>
    </xf>
    <xf numFmtId="176" fontId="8" fillId="0" borderId="0" xfId="0" applyNumberFormat="1" applyFont="1" applyAlignment="1">
      <alignment horizontal="justify" vertical="center" wrapText="1"/>
    </xf>
    <xf numFmtId="0" fontId="8" fillId="0" borderId="0" xfId="0" applyFont="1" applyAlignment="1">
      <alignment horizontal="center" vertical="center"/>
    </xf>
    <xf numFmtId="173" fontId="8" fillId="0" borderId="0" xfId="0" applyNumberFormat="1" applyFont="1" applyAlignment="1">
      <alignment horizontal="center" vertical="center"/>
    </xf>
    <xf numFmtId="44" fontId="8" fillId="0" borderId="0" xfId="0" applyNumberFormat="1" applyFont="1" applyAlignment="1">
      <alignment horizontal="center" vertical="center"/>
    </xf>
    <xf numFmtId="0" fontId="37" fillId="0" borderId="20" xfId="0" applyFont="1" applyBorder="1" applyAlignment="1">
      <alignment horizontal="right" vertical="center"/>
    </xf>
    <xf numFmtId="0" fontId="37" fillId="0" borderId="20" xfId="0" applyFont="1" applyBorder="1" applyAlignment="1">
      <alignment vertical="center"/>
    </xf>
    <xf numFmtId="44" fontId="37" fillId="0" borderId="20" xfId="0" applyNumberFormat="1" applyFont="1" applyBorder="1" applyAlignment="1">
      <alignment vertical="center"/>
    </xf>
    <xf numFmtId="0" fontId="37" fillId="7" borderId="20" xfId="0" applyFont="1" applyFill="1" applyBorder="1" applyAlignment="1">
      <alignment horizontal="right" vertical="center"/>
    </xf>
    <xf numFmtId="0" fontId="37" fillId="7" borderId="20" xfId="0" applyFont="1" applyFill="1" applyBorder="1" applyAlignment="1">
      <alignment vertical="center"/>
    </xf>
    <xf numFmtId="44" fontId="37" fillId="7" borderId="20" xfId="0" applyNumberFormat="1" applyFont="1" applyFill="1" applyBorder="1" applyAlignment="1">
      <alignment vertical="center"/>
    </xf>
    <xf numFmtId="176" fontId="43" fillId="0" borderId="0" xfId="0" applyNumberFormat="1" applyFont="1" applyAlignment="1">
      <alignment horizontal="left" vertical="center" wrapText="1"/>
    </xf>
    <xf numFmtId="0" fontId="8" fillId="2" borderId="6" xfId="0" applyFont="1" applyFill="1" applyBorder="1" applyAlignment="1">
      <alignment horizontal="justify" vertical="center" wrapText="1"/>
    </xf>
    <xf numFmtId="176" fontId="9" fillId="0" borderId="41" xfId="0" applyNumberFormat="1" applyFont="1" applyBorder="1" applyAlignment="1">
      <alignment horizontal="justify" vertical="center" wrapText="1"/>
    </xf>
    <xf numFmtId="176" fontId="9" fillId="0" borderId="0" xfId="0" applyNumberFormat="1" applyFont="1" applyAlignment="1">
      <alignment horizontal="justify" vertical="center" wrapText="1"/>
    </xf>
    <xf numFmtId="176" fontId="9" fillId="0" borderId="39" xfId="0" applyNumberFormat="1" applyFont="1" applyBorder="1" applyAlignment="1">
      <alignment horizontal="justify" vertical="center" wrapText="1"/>
    </xf>
    <xf numFmtId="0" fontId="9" fillId="0" borderId="12" xfId="0" applyFont="1" applyBorder="1" applyAlignment="1">
      <alignment horizontal="left" vertical="center"/>
    </xf>
    <xf numFmtId="0" fontId="9" fillId="0" borderId="0" xfId="0" applyFont="1" applyAlignment="1">
      <alignment horizontal="justify" vertical="center" wrapText="1"/>
    </xf>
    <xf numFmtId="0" fontId="9" fillId="0" borderId="13" xfId="0" applyFont="1" applyBorder="1" applyAlignment="1">
      <alignment horizontal="justify" vertical="center" wrapText="1"/>
    </xf>
    <xf numFmtId="4" fontId="9" fillId="0" borderId="38" xfId="0" applyNumberFormat="1" applyFont="1" applyBorder="1" applyAlignment="1">
      <alignment horizontal="center" vertical="center"/>
    </xf>
    <xf numFmtId="0" fontId="9" fillId="0" borderId="0" xfId="0" applyFont="1" applyAlignment="1">
      <alignment vertical="top" wrapText="1"/>
    </xf>
    <xf numFmtId="0" fontId="9" fillId="0" borderId="13" xfId="0" applyFont="1" applyBorder="1" applyAlignment="1">
      <alignment vertical="top" wrapText="1"/>
    </xf>
    <xf numFmtId="0" fontId="8" fillId="2" borderId="21" xfId="25" applyFont="1" applyFill="1" applyBorder="1" applyAlignment="1">
      <alignment vertical="center" wrapText="1"/>
    </xf>
    <xf numFmtId="44" fontId="75" fillId="9" borderId="43" xfId="0" applyNumberFormat="1" applyFont="1" applyFill="1" applyBorder="1" applyAlignment="1" applyProtection="1">
      <alignment horizontal="center" vertical="center"/>
      <protection locked="0"/>
    </xf>
    <xf numFmtId="44" fontId="9" fillId="9" borderId="91" xfId="0" applyNumberFormat="1" applyFont="1" applyFill="1" applyBorder="1" applyAlignment="1" applyProtection="1">
      <alignment horizontal="center" vertical="center"/>
      <protection locked="0"/>
    </xf>
    <xf numFmtId="44" fontId="9" fillId="9" borderId="93" xfId="0" applyNumberFormat="1" applyFont="1" applyFill="1" applyBorder="1" applyAlignment="1" applyProtection="1">
      <alignment horizontal="center" vertical="center"/>
      <protection locked="0"/>
    </xf>
    <xf numFmtId="44" fontId="9" fillId="9" borderId="128" xfId="0" applyNumberFormat="1" applyFont="1" applyFill="1" applyBorder="1" applyAlignment="1" applyProtection="1">
      <alignment horizontal="center" vertical="center"/>
      <protection locked="0"/>
    </xf>
    <xf numFmtId="175" fontId="9" fillId="0" borderId="89" xfId="0" applyNumberFormat="1" applyFont="1" applyBorder="1" applyAlignment="1">
      <alignment horizontal="center" vertical="center"/>
    </xf>
    <xf numFmtId="44" fontId="9" fillId="9" borderId="129" xfId="0" applyNumberFormat="1" applyFont="1" applyFill="1" applyBorder="1" applyAlignment="1" applyProtection="1">
      <alignment horizontal="center" vertical="center"/>
      <protection locked="0"/>
    </xf>
    <xf numFmtId="175" fontId="9" fillId="0" borderId="115" xfId="0" applyNumberFormat="1" applyFont="1" applyBorder="1" applyAlignment="1">
      <alignment horizontal="center" vertical="center"/>
    </xf>
    <xf numFmtId="44" fontId="9" fillId="9" borderId="130" xfId="0" applyNumberFormat="1" applyFont="1" applyFill="1" applyBorder="1" applyAlignment="1" applyProtection="1">
      <alignment horizontal="center" vertical="center"/>
      <protection locked="0"/>
    </xf>
    <xf numFmtId="0" fontId="57" fillId="0" borderId="0" xfId="33" applyFont="1" applyAlignment="1">
      <alignment horizontal="justify" vertical="center" wrapText="1"/>
    </xf>
    <xf numFmtId="0" fontId="57" fillId="0" borderId="0" xfId="33" applyFont="1" applyAlignment="1">
      <alignment horizontal="justify" vertical="center" wrapText="1"/>
    </xf>
    <xf numFmtId="0" fontId="57" fillId="0" borderId="0" xfId="33" applyFont="1" applyAlignment="1">
      <alignment horizontal="center"/>
    </xf>
    <xf numFmtId="0" fontId="57" fillId="0" borderId="20" xfId="33" applyFont="1" applyBorder="1" applyAlignment="1">
      <alignment horizontal="center"/>
    </xf>
    <xf numFmtId="0" fontId="58" fillId="0" borderId="21" xfId="33" applyFont="1" applyBorder="1" applyAlignment="1">
      <alignment horizontal="center" vertical="center"/>
    </xf>
    <xf numFmtId="0" fontId="58" fillId="0" borderId="10" xfId="33" applyFont="1" applyBorder="1" applyAlignment="1">
      <alignment horizontal="center" vertical="center"/>
    </xf>
    <xf numFmtId="0" fontId="58" fillId="0" borderId="28" xfId="33" applyFont="1" applyBorder="1" applyAlignment="1">
      <alignment horizontal="center" vertical="center"/>
    </xf>
    <xf numFmtId="0" fontId="57" fillId="0" borderId="0" xfId="33" applyFont="1" applyAlignment="1">
      <alignment horizontal="justify"/>
    </xf>
    <xf numFmtId="0" fontId="62" fillId="0" borderId="0" xfId="33" applyFont="1" applyAlignment="1">
      <alignment horizontal="justify" vertical="center" wrapText="1"/>
    </xf>
    <xf numFmtId="0" fontId="7" fillId="8" borderId="26" xfId="0" applyFont="1" applyFill="1" applyBorder="1" applyAlignment="1">
      <alignment horizontal="left" wrapText="1"/>
    </xf>
    <xf numFmtId="0" fontId="7" fillId="8" borderId="27" xfId="0" applyFont="1" applyFill="1" applyBorder="1" applyAlignment="1">
      <alignment horizontal="left" wrapText="1"/>
    </xf>
    <xf numFmtId="0" fontId="7" fillId="8" borderId="0" xfId="0" applyFont="1" applyFill="1" applyAlignment="1">
      <alignment horizontal="left" wrapText="1"/>
    </xf>
    <xf numFmtId="0" fontId="7" fillId="8" borderId="13" xfId="0" applyFont="1" applyFill="1" applyBorder="1" applyAlignment="1">
      <alignment horizontal="left" wrapText="1"/>
    </xf>
    <xf numFmtId="4" fontId="7" fillId="0" borderId="10" xfId="0" applyNumberFormat="1" applyFont="1" applyBorder="1" applyAlignment="1">
      <alignment horizontal="center"/>
    </xf>
    <xf numFmtId="4" fontId="7" fillId="0" borderId="28" xfId="0" applyNumberFormat="1" applyFont="1" applyBorder="1" applyAlignment="1">
      <alignment horizontal="center"/>
    </xf>
    <xf numFmtId="0" fontId="7" fillId="8" borderId="26" xfId="0" applyFont="1" applyFill="1" applyBorder="1" applyAlignment="1">
      <alignment horizontal="left"/>
    </xf>
    <xf numFmtId="0" fontId="7" fillId="8" borderId="27" xfId="0" applyFont="1" applyFill="1" applyBorder="1" applyAlignment="1">
      <alignment horizontal="left"/>
    </xf>
    <xf numFmtId="0" fontId="7" fillId="8" borderId="26" xfId="0" applyFont="1" applyFill="1" applyBorder="1" applyAlignment="1">
      <alignment horizontal="left" vertical="top" wrapText="1"/>
    </xf>
    <xf numFmtId="0" fontId="7" fillId="8" borderId="27" xfId="0" applyFont="1" applyFill="1" applyBorder="1" applyAlignment="1">
      <alignment horizontal="left" vertical="top" wrapText="1"/>
    </xf>
    <xf numFmtId="4" fontId="7" fillId="0" borderId="10" xfId="0" applyNumberFormat="1" applyFont="1" applyBorder="1" applyAlignment="1">
      <alignment horizontal="left" wrapText="1"/>
    </xf>
    <xf numFmtId="0" fontId="7" fillId="0" borderId="10" xfId="0" applyFont="1" applyBorder="1" applyAlignment="1">
      <alignment horizontal="left" wrapText="1"/>
    </xf>
    <xf numFmtId="0" fontId="7" fillId="0" borderId="28" xfId="0" applyFont="1" applyBorder="1" applyAlignment="1">
      <alignment horizontal="left" wrapText="1"/>
    </xf>
    <xf numFmtId="0" fontId="15" fillId="0" borderId="0" xfId="0" applyFont="1" applyAlignment="1">
      <alignment horizontal="center" wrapText="1"/>
    </xf>
    <xf numFmtId="49" fontId="7" fillId="8" borderId="26" xfId="0" applyNumberFormat="1" applyFont="1" applyFill="1" applyBorder="1" applyAlignment="1">
      <alignment horizontal="left" wrapText="1"/>
    </xf>
    <xf numFmtId="1" fontId="7" fillId="8" borderId="25" xfId="0" applyNumberFormat="1" applyFont="1" applyFill="1" applyBorder="1" applyAlignment="1">
      <alignment horizontal="left" vertical="top"/>
    </xf>
    <xf numFmtId="0" fontId="7" fillId="8" borderId="12" xfId="0" applyFont="1" applyFill="1" applyBorder="1" applyAlignment="1">
      <alignment horizontal="left" vertical="top"/>
    </xf>
    <xf numFmtId="4" fontId="7" fillId="0" borderId="28" xfId="0" applyNumberFormat="1" applyFont="1" applyBorder="1" applyAlignment="1">
      <alignment horizontal="left" wrapText="1"/>
    </xf>
    <xf numFmtId="0" fontId="7" fillId="8" borderId="26" xfId="0" applyFont="1" applyFill="1" applyBorder="1" applyAlignment="1">
      <alignment horizontal="left" vertical="center" wrapText="1"/>
    </xf>
    <xf numFmtId="0" fontId="7" fillId="8" borderId="27" xfId="0" applyFont="1" applyFill="1" applyBorder="1" applyAlignment="1">
      <alignment horizontal="left" vertical="center" wrapText="1"/>
    </xf>
    <xf numFmtId="0" fontId="7" fillId="8" borderId="0" xfId="0" applyFont="1" applyFill="1" applyAlignment="1">
      <alignment horizontal="left" vertical="center" wrapText="1"/>
    </xf>
    <xf numFmtId="0" fontId="7" fillId="8" borderId="13" xfId="0" applyFont="1" applyFill="1" applyBorder="1" applyAlignment="1">
      <alignment horizontal="left" vertical="center" wrapText="1"/>
    </xf>
    <xf numFmtId="0" fontId="7" fillId="6" borderId="10" xfId="0" applyFont="1" applyFill="1" applyBorder="1" applyAlignment="1">
      <alignment horizontal="left" wrapText="1"/>
    </xf>
    <xf numFmtId="0" fontId="7" fillId="6" borderId="28" xfId="0" applyFont="1" applyFill="1" applyBorder="1" applyAlignment="1">
      <alignment horizontal="left" wrapText="1"/>
    </xf>
    <xf numFmtId="0" fontId="7" fillId="18" borderId="21" xfId="0" applyFont="1" applyFill="1" applyBorder="1" applyAlignment="1">
      <alignment horizontal="center"/>
    </xf>
    <xf numFmtId="0" fontId="7" fillId="18" borderId="10" xfId="0" applyFont="1" applyFill="1" applyBorder="1" applyAlignment="1">
      <alignment horizontal="center"/>
    </xf>
    <xf numFmtId="0" fontId="7" fillId="18" borderId="28" xfId="0" applyFont="1" applyFill="1" applyBorder="1" applyAlignment="1">
      <alignment horizontal="center"/>
    </xf>
    <xf numFmtId="0" fontId="7" fillId="6" borderId="10" xfId="0" applyFont="1" applyFill="1" applyBorder="1" applyAlignment="1">
      <alignment horizontal="left"/>
    </xf>
    <xf numFmtId="0" fontId="7" fillId="6" borderId="28" xfId="0" applyFont="1" applyFill="1" applyBorder="1" applyAlignment="1">
      <alignment horizontal="left"/>
    </xf>
    <xf numFmtId="0" fontId="15" fillId="0" borderId="0" xfId="0" applyFont="1" applyAlignment="1">
      <alignment horizontal="left" wrapText="1"/>
    </xf>
    <xf numFmtId="0" fontId="15" fillId="0" borderId="13" xfId="0" applyFont="1" applyBorder="1" applyAlignment="1">
      <alignment horizontal="left" wrapText="1"/>
    </xf>
    <xf numFmtId="49" fontId="7" fillId="6" borderId="10" xfId="0" applyNumberFormat="1" applyFont="1" applyFill="1" applyBorder="1" applyAlignment="1">
      <alignment horizontal="left"/>
    </xf>
    <xf numFmtId="0" fontId="7" fillId="8" borderId="0" xfId="0" applyFont="1" applyFill="1" applyAlignment="1">
      <alignment horizontal="left" vertical="top" wrapText="1"/>
    </xf>
    <xf numFmtId="0" fontId="7" fillId="8" borderId="13" xfId="0" applyFont="1" applyFill="1" applyBorder="1" applyAlignment="1">
      <alignment horizontal="left" vertical="top" wrapText="1"/>
    </xf>
    <xf numFmtId="10" fontId="45" fillId="0" borderId="107" xfId="14" applyNumberFormat="1" applyFont="1" applyBorder="1" applyAlignment="1" applyProtection="1">
      <alignment horizontal="center" vertical="center"/>
    </xf>
    <xf numFmtId="10" fontId="45" fillId="0" borderId="111" xfId="14" applyNumberFormat="1" applyFont="1" applyBorder="1" applyAlignment="1" applyProtection="1">
      <alignment horizontal="center" vertical="center"/>
    </xf>
    <xf numFmtId="10" fontId="45" fillId="0" borderId="108" xfId="14" applyNumberFormat="1" applyFont="1" applyBorder="1" applyAlignment="1" applyProtection="1">
      <alignment horizontal="center" vertical="center"/>
    </xf>
    <xf numFmtId="10" fontId="45" fillId="0" borderId="113" xfId="14" applyNumberFormat="1" applyFont="1" applyBorder="1" applyAlignment="1" applyProtection="1">
      <alignment horizontal="center" vertical="center"/>
    </xf>
    <xf numFmtId="172" fontId="48" fillId="0" borderId="24" xfId="14" applyNumberFormat="1" applyFont="1" applyFill="1" applyBorder="1" applyAlignment="1" applyProtection="1">
      <alignment horizontal="center" vertical="center"/>
    </xf>
    <xf numFmtId="172" fontId="48" fillId="0" borderId="19" xfId="14" applyNumberFormat="1" applyFont="1" applyFill="1" applyBorder="1" applyAlignment="1" applyProtection="1">
      <alignment horizontal="center" vertical="center"/>
    </xf>
    <xf numFmtId="172" fontId="48" fillId="6" borderId="24" xfId="14" applyNumberFormat="1" applyFont="1" applyFill="1" applyBorder="1" applyAlignment="1" applyProtection="1">
      <alignment horizontal="center" vertical="center"/>
    </xf>
    <xf numFmtId="172" fontId="48" fillId="6" borderId="19" xfId="14" applyNumberFormat="1" applyFont="1" applyFill="1" applyBorder="1" applyAlignment="1" applyProtection="1">
      <alignment horizontal="center" vertical="center"/>
    </xf>
    <xf numFmtId="176" fontId="18" fillId="9" borderId="12" xfId="0" applyNumberFormat="1" applyFont="1" applyFill="1" applyBorder="1" applyAlignment="1" applyProtection="1">
      <alignment horizontal="center" vertical="center"/>
      <protection locked="0"/>
    </xf>
    <xf numFmtId="176" fontId="18" fillId="9" borderId="13" xfId="0" applyNumberFormat="1" applyFont="1" applyFill="1" applyBorder="1" applyAlignment="1" applyProtection="1">
      <alignment horizontal="center" vertical="center"/>
      <protection locked="0"/>
    </xf>
    <xf numFmtId="172" fontId="48" fillId="3" borderId="15" xfId="14" applyNumberFormat="1" applyFont="1" applyFill="1" applyBorder="1" applyAlignment="1" applyProtection="1">
      <alignment horizontal="center" vertical="center"/>
    </xf>
    <xf numFmtId="172" fontId="48" fillId="3" borderId="32" xfId="14" applyNumberFormat="1" applyFont="1" applyFill="1" applyBorder="1" applyAlignment="1" applyProtection="1">
      <alignment horizontal="center" vertical="center"/>
    </xf>
    <xf numFmtId="172" fontId="48" fillId="6" borderId="15" xfId="14" applyNumberFormat="1" applyFont="1" applyFill="1" applyBorder="1" applyAlignment="1" applyProtection="1">
      <alignment horizontal="center" vertical="center"/>
    </xf>
    <xf numFmtId="172" fontId="48" fillId="6" borderId="32" xfId="14" applyNumberFormat="1" applyFont="1" applyFill="1" applyBorder="1" applyAlignment="1" applyProtection="1">
      <alignment horizontal="center" vertical="center"/>
    </xf>
    <xf numFmtId="168" fontId="74" fillId="9" borderId="0" xfId="0" applyNumberFormat="1" applyFont="1" applyFill="1" applyAlignment="1" applyProtection="1">
      <alignment horizontal="center" vertical="center"/>
      <protection locked="0"/>
    </xf>
    <xf numFmtId="172" fontId="48" fillId="6" borderId="33" xfId="14" applyNumberFormat="1" applyFont="1" applyFill="1" applyBorder="1" applyAlignment="1" applyProtection="1">
      <alignment horizontal="center" vertical="center"/>
    </xf>
    <xf numFmtId="44" fontId="17" fillId="0" borderId="79" xfId="5" applyNumberFormat="1" applyFont="1" applyFill="1" applyBorder="1" applyAlignment="1" applyProtection="1">
      <alignment horizontal="center" vertical="center"/>
    </xf>
    <xf numFmtId="44" fontId="17" fillId="0" borderId="75" xfId="5" applyNumberFormat="1" applyFont="1" applyFill="1" applyBorder="1" applyAlignment="1" applyProtection="1">
      <alignment horizontal="center" vertical="center"/>
    </xf>
    <xf numFmtId="172" fontId="66" fillId="0" borderId="83" xfId="14" applyNumberFormat="1" applyFont="1" applyFill="1" applyBorder="1" applyAlignment="1" applyProtection="1">
      <alignment horizontal="center" vertical="center"/>
    </xf>
    <xf numFmtId="172" fontId="66" fillId="0" borderId="84" xfId="14" applyNumberFormat="1" applyFont="1" applyFill="1" applyBorder="1" applyAlignment="1" applyProtection="1">
      <alignment horizontal="center" vertical="center"/>
    </xf>
    <xf numFmtId="172" fontId="66" fillId="0" borderId="119" xfId="14" applyNumberFormat="1" applyFont="1" applyFill="1" applyBorder="1" applyAlignment="1" applyProtection="1">
      <alignment horizontal="center" vertical="center"/>
    </xf>
    <xf numFmtId="44" fontId="17" fillId="0" borderId="57" xfId="5" applyNumberFormat="1" applyFont="1" applyFill="1" applyBorder="1" applyAlignment="1" applyProtection="1">
      <alignment horizontal="center" vertical="center"/>
    </xf>
    <xf numFmtId="165" fontId="17" fillId="0" borderId="81" xfId="14" applyNumberFormat="1" applyFont="1" applyFill="1" applyBorder="1" applyAlignment="1" applyProtection="1">
      <alignment horizontal="center" vertical="center"/>
    </xf>
    <xf numFmtId="165" fontId="17" fillId="0" borderId="82" xfId="14" applyNumberFormat="1" applyFont="1" applyFill="1" applyBorder="1" applyAlignment="1" applyProtection="1">
      <alignment horizontal="center" vertical="center"/>
    </xf>
    <xf numFmtId="44" fontId="17" fillId="8" borderId="57" xfId="5" applyNumberFormat="1" applyFont="1" applyFill="1" applyBorder="1" applyAlignment="1" applyProtection="1">
      <alignment horizontal="center" vertical="center"/>
    </xf>
    <xf numFmtId="44" fontId="17" fillId="8" borderId="75" xfId="5" applyNumberFormat="1" applyFont="1" applyFill="1" applyBorder="1" applyAlignment="1" applyProtection="1">
      <alignment horizontal="center" vertical="center"/>
    </xf>
    <xf numFmtId="4" fontId="27" fillId="2" borderId="63" xfId="0" quotePrefix="1" applyNumberFormat="1" applyFont="1" applyFill="1" applyBorder="1" applyAlignment="1">
      <alignment horizontal="center" vertical="center"/>
    </xf>
    <xf numFmtId="4" fontId="27" fillId="2" borderId="69" xfId="0" quotePrefix="1" applyNumberFormat="1" applyFont="1" applyFill="1" applyBorder="1" applyAlignment="1">
      <alignment horizontal="center" vertical="center"/>
    </xf>
    <xf numFmtId="0" fontId="20" fillId="7" borderId="25" xfId="0" applyFont="1" applyFill="1" applyBorder="1" applyAlignment="1" applyProtection="1">
      <alignment horizontal="center" vertical="center"/>
      <protection locked="0"/>
    </xf>
    <xf numFmtId="0" fontId="20" fillId="7" borderId="26" xfId="0" applyFont="1" applyFill="1" applyBorder="1" applyAlignment="1" applyProtection="1">
      <alignment horizontal="center" vertical="center"/>
      <protection locked="0"/>
    </xf>
    <xf numFmtId="0" fontId="20" fillId="7" borderId="27" xfId="0" applyFont="1" applyFill="1" applyBorder="1" applyAlignment="1" applyProtection="1">
      <alignment horizontal="center" vertical="center"/>
      <protection locked="0"/>
    </xf>
    <xf numFmtId="0" fontId="20" fillId="7" borderId="12" xfId="0" applyFont="1" applyFill="1" applyBorder="1" applyAlignment="1" applyProtection="1">
      <alignment horizontal="center" vertical="center"/>
      <protection locked="0"/>
    </xf>
    <xf numFmtId="0" fontId="20" fillId="7" borderId="0" xfId="0" applyFont="1" applyFill="1" applyAlignment="1" applyProtection="1">
      <alignment horizontal="center" vertical="center"/>
      <protection locked="0"/>
    </xf>
    <xf numFmtId="0" fontId="20" fillId="7" borderId="13" xfId="0" applyFont="1" applyFill="1" applyBorder="1" applyAlignment="1" applyProtection="1">
      <alignment horizontal="center" vertical="center"/>
      <protection locked="0"/>
    </xf>
    <xf numFmtId="3" fontId="19" fillId="7" borderId="12" xfId="0" applyNumberFormat="1" applyFont="1" applyFill="1" applyBorder="1" applyAlignment="1" applyProtection="1">
      <alignment horizontal="center" vertical="center"/>
      <protection locked="0"/>
    </xf>
    <xf numFmtId="3" fontId="19" fillId="7" borderId="0" xfId="0" applyNumberFormat="1" applyFont="1" applyFill="1" applyAlignment="1" applyProtection="1">
      <alignment horizontal="center" vertical="center"/>
      <protection locked="0"/>
    </xf>
    <xf numFmtId="3" fontId="19" fillId="7" borderId="13" xfId="0" applyNumberFormat="1" applyFont="1" applyFill="1" applyBorder="1" applyAlignment="1" applyProtection="1">
      <alignment horizontal="center" vertical="center"/>
      <protection locked="0"/>
    </xf>
    <xf numFmtId="3" fontId="9" fillId="7" borderId="12" xfId="0" applyNumberFormat="1" applyFont="1" applyFill="1" applyBorder="1" applyAlignment="1" applyProtection="1">
      <alignment horizontal="center" vertical="center"/>
      <protection locked="0"/>
    </xf>
    <xf numFmtId="3" fontId="9" fillId="7" borderId="0" xfId="0" applyNumberFormat="1" applyFont="1" applyFill="1" applyAlignment="1" applyProtection="1">
      <alignment horizontal="center" vertical="center"/>
      <protection locked="0"/>
    </xf>
    <xf numFmtId="3" fontId="9" fillId="7" borderId="13" xfId="0" applyNumberFormat="1" applyFont="1" applyFill="1" applyBorder="1" applyAlignment="1" applyProtection="1">
      <alignment horizontal="center" vertical="center"/>
      <protection locked="0"/>
    </xf>
    <xf numFmtId="3" fontId="20" fillId="0" borderId="21" xfId="14" applyNumberFormat="1" applyFont="1" applyBorder="1" applyAlignment="1" applyProtection="1">
      <alignment horizontal="center" vertical="center" wrapText="1"/>
    </xf>
    <xf numFmtId="3" fontId="20" fillId="0" borderId="10" xfId="14" applyNumberFormat="1" applyFont="1" applyBorder="1" applyAlignment="1" applyProtection="1">
      <alignment horizontal="center" vertical="center" wrapText="1"/>
    </xf>
    <xf numFmtId="3" fontId="20" fillId="0" borderId="28" xfId="14" applyNumberFormat="1" applyFont="1" applyBorder="1" applyAlignment="1" applyProtection="1">
      <alignment horizontal="center" vertical="center" wrapText="1"/>
    </xf>
    <xf numFmtId="176" fontId="10" fillId="7" borderId="12" xfId="0" applyNumberFormat="1" applyFont="1" applyFill="1" applyBorder="1" applyAlignment="1" applyProtection="1">
      <alignment horizontal="center" vertical="center"/>
      <protection locked="0"/>
    </xf>
    <xf numFmtId="176" fontId="10" fillId="7" borderId="0" xfId="0" applyNumberFormat="1" applyFont="1" applyFill="1" applyAlignment="1" applyProtection="1">
      <alignment horizontal="center" vertical="center"/>
      <protection locked="0"/>
    </xf>
    <xf numFmtId="176" fontId="10" fillId="7" borderId="13" xfId="0" applyNumberFormat="1" applyFont="1" applyFill="1" applyBorder="1" applyAlignment="1" applyProtection="1">
      <alignment horizontal="center" vertical="center"/>
      <protection locked="0"/>
    </xf>
    <xf numFmtId="176" fontId="8" fillId="7" borderId="36" xfId="0" applyNumberFormat="1" applyFont="1" applyFill="1" applyBorder="1" applyAlignment="1">
      <alignment horizontal="center" vertical="center"/>
    </xf>
    <xf numFmtId="176" fontId="8" fillId="7" borderId="35" xfId="0" applyNumberFormat="1" applyFont="1" applyFill="1" applyBorder="1" applyAlignment="1">
      <alignment horizontal="center" vertical="center"/>
    </xf>
    <xf numFmtId="0" fontId="44" fillId="7" borderId="29" xfId="0" applyFont="1" applyFill="1" applyBorder="1" applyAlignment="1">
      <alignment horizontal="center" vertical="center" wrapText="1"/>
    </xf>
    <xf numFmtId="0" fontId="44" fillId="7" borderId="20" xfId="0" applyFont="1" applyFill="1" applyBorder="1" applyAlignment="1">
      <alignment horizontal="center" vertical="center" wrapText="1"/>
    </xf>
    <xf numFmtId="0" fontId="44" fillId="7" borderId="30" xfId="0" applyFont="1" applyFill="1" applyBorder="1" applyAlignment="1">
      <alignment horizontal="center" vertical="center" wrapText="1"/>
    </xf>
    <xf numFmtId="44" fontId="8" fillId="7" borderId="36" xfId="0" applyNumberFormat="1" applyFont="1" applyFill="1" applyBorder="1" applyAlignment="1">
      <alignment horizontal="center" vertical="center"/>
    </xf>
    <xf numFmtId="44" fontId="8" fillId="7" borderId="35" xfId="0" applyNumberFormat="1" applyFont="1" applyFill="1" applyBorder="1" applyAlignment="1">
      <alignment horizontal="center" vertical="center"/>
    </xf>
    <xf numFmtId="9" fontId="8" fillId="7" borderId="99" xfId="14" applyFont="1" applyFill="1" applyBorder="1" applyAlignment="1" applyProtection="1">
      <alignment horizontal="justify" vertical="center" wrapText="1"/>
    </xf>
    <xf numFmtId="9" fontId="8" fillId="7" borderId="110" xfId="14" applyFont="1" applyFill="1" applyBorder="1" applyAlignment="1" applyProtection="1">
      <alignment horizontal="justify" vertical="center" wrapText="1"/>
    </xf>
    <xf numFmtId="9" fontId="8" fillId="7" borderId="100" xfId="14" applyFont="1" applyFill="1" applyBorder="1" applyAlignment="1" applyProtection="1">
      <alignment horizontal="justify" vertical="center" wrapText="1"/>
    </xf>
    <xf numFmtId="9" fontId="8" fillId="7" borderId="101" xfId="14" applyFont="1" applyFill="1" applyBorder="1" applyAlignment="1" applyProtection="1">
      <alignment horizontal="justify" vertical="center" wrapText="1"/>
    </xf>
    <xf numFmtId="9" fontId="8" fillId="7" borderId="112" xfId="14" applyFont="1" applyFill="1" applyBorder="1" applyAlignment="1" applyProtection="1">
      <alignment horizontal="justify" vertical="center" wrapText="1"/>
    </xf>
    <xf numFmtId="9" fontId="8" fillId="7" borderId="66" xfId="14" applyFont="1" applyFill="1" applyBorder="1" applyAlignment="1" applyProtection="1">
      <alignment horizontal="justify" vertical="center" wrapText="1"/>
    </xf>
    <xf numFmtId="176" fontId="31" fillId="0" borderId="0" xfId="0" applyNumberFormat="1" applyFont="1" applyAlignment="1">
      <alignment horizontal="center" vertical="center"/>
    </xf>
    <xf numFmtId="176" fontId="20" fillId="7" borderId="0" xfId="0" applyNumberFormat="1" applyFont="1" applyFill="1" applyAlignment="1">
      <alignment horizontal="center" vertical="center"/>
    </xf>
    <xf numFmtId="4" fontId="18" fillId="7" borderId="0" xfId="0" applyNumberFormat="1" applyFont="1" applyFill="1" applyAlignment="1">
      <alignment horizontal="center" vertical="center" wrapText="1"/>
    </xf>
    <xf numFmtId="4" fontId="18" fillId="7" borderId="20" xfId="0" applyNumberFormat="1" applyFont="1" applyFill="1" applyBorder="1" applyAlignment="1">
      <alignment horizontal="center" vertical="center" wrapText="1"/>
    </xf>
    <xf numFmtId="0" fontId="9" fillId="0" borderId="10" xfId="36" applyFont="1" applyBorder="1" applyAlignment="1">
      <alignment horizontal="center"/>
    </xf>
    <xf numFmtId="0" fontId="10" fillId="7" borderId="0" xfId="36" applyFont="1" applyFill="1" applyAlignment="1">
      <alignment horizontal="justify" vertical="center"/>
    </xf>
    <xf numFmtId="4" fontId="70" fillId="3" borderId="0" xfId="37" applyNumberFormat="1" applyFont="1" applyFill="1" applyAlignment="1">
      <alignment horizontal="center" vertical="center"/>
    </xf>
    <xf numFmtId="4" fontId="72" fillId="3" borderId="0" xfId="37" applyNumberFormat="1" applyFont="1" applyFill="1" applyAlignment="1">
      <alignment horizontal="center" vertical="center"/>
    </xf>
    <xf numFmtId="0" fontId="8" fillId="0" borderId="20" xfId="36" applyFont="1" applyBorder="1" applyAlignment="1">
      <alignment horizontal="center" vertical="center"/>
    </xf>
    <xf numFmtId="0" fontId="8" fillId="2" borderId="21" xfId="36" applyFont="1" applyFill="1" applyBorder="1" applyAlignment="1">
      <alignment horizontal="center" vertical="center"/>
    </xf>
    <xf numFmtId="0" fontId="8" fillId="2" borderId="10" xfId="36" applyFont="1" applyFill="1" applyBorder="1" applyAlignment="1">
      <alignment horizontal="center" vertical="center"/>
    </xf>
    <xf numFmtId="0" fontId="8" fillId="2" borderId="28" xfId="36" applyFont="1" applyFill="1" applyBorder="1" applyAlignment="1">
      <alignment horizontal="center" vertical="center"/>
    </xf>
    <xf numFmtId="176" fontId="9" fillId="7" borderId="12" xfId="25" applyNumberFormat="1" applyFont="1" applyFill="1" applyBorder="1" applyAlignment="1">
      <alignment horizontal="left" vertical="center"/>
    </xf>
    <xf numFmtId="176" fontId="9" fillId="7" borderId="0" xfId="25" applyNumberFormat="1" applyFont="1" applyFill="1" applyAlignment="1">
      <alignment horizontal="left" vertical="center"/>
    </xf>
    <xf numFmtId="176" fontId="9" fillId="7" borderId="13" xfId="25" applyNumberFormat="1" applyFont="1" applyFill="1" applyBorder="1" applyAlignment="1">
      <alignment horizontal="left" vertical="center"/>
    </xf>
    <xf numFmtId="176" fontId="9" fillId="7" borderId="29" xfId="25" applyNumberFormat="1" applyFont="1" applyFill="1" applyBorder="1" applyAlignment="1">
      <alignment horizontal="left" vertical="center"/>
    </xf>
    <xf numFmtId="176" fontId="9" fillId="7" borderId="20" xfId="25" applyNumberFormat="1" applyFont="1" applyFill="1" applyBorder="1" applyAlignment="1">
      <alignment horizontal="left" vertical="center"/>
    </xf>
    <xf numFmtId="176" fontId="9" fillId="7" borderId="30" xfId="25" applyNumberFormat="1" applyFont="1" applyFill="1" applyBorder="1" applyAlignment="1">
      <alignment horizontal="left" vertical="center"/>
    </xf>
    <xf numFmtId="176" fontId="9" fillId="7" borderId="12" xfId="25" applyNumberFormat="1" applyFont="1" applyFill="1" applyBorder="1" applyAlignment="1">
      <alignment horizontal="justify" vertical="center" wrapText="1"/>
    </xf>
    <xf numFmtId="176" fontId="9" fillId="7" borderId="0" xfId="25" applyNumberFormat="1" applyFont="1" applyFill="1" applyAlignment="1">
      <alignment horizontal="justify" vertical="center" wrapText="1"/>
    </xf>
    <xf numFmtId="176" fontId="9" fillId="7" borderId="13" xfId="25" applyNumberFormat="1" applyFont="1" applyFill="1" applyBorder="1" applyAlignment="1">
      <alignment horizontal="justify" vertical="center" wrapText="1"/>
    </xf>
    <xf numFmtId="176" fontId="0" fillId="7" borderId="0" xfId="0" applyNumberFormat="1" applyFill="1" applyAlignment="1" applyProtection="1">
      <alignment horizontal="center" vertical="center"/>
      <protection locked="0"/>
    </xf>
    <xf numFmtId="0" fontId="20" fillId="0" borderId="0" xfId="25" applyFont="1" applyAlignment="1" applyProtection="1">
      <alignment horizontal="center" vertical="center"/>
      <protection locked="0"/>
    </xf>
    <xf numFmtId="0" fontId="9" fillId="0" borderId="0" xfId="25" applyFont="1" applyAlignment="1" applyProtection="1">
      <alignment horizontal="center" vertical="center"/>
      <protection locked="0"/>
    </xf>
    <xf numFmtId="0" fontId="28" fillId="7" borderId="0" xfId="25" applyFont="1" applyFill="1" applyAlignment="1">
      <alignment horizontal="center" vertical="center"/>
    </xf>
    <xf numFmtId="176" fontId="7" fillId="0" borderId="0" xfId="0" applyNumberFormat="1" applyFont="1" applyAlignment="1">
      <alignment horizontal="center" vertical="center" wrapText="1"/>
    </xf>
    <xf numFmtId="0" fontId="8" fillId="2" borderId="25" xfId="25" applyFont="1" applyFill="1" applyBorder="1" applyAlignment="1">
      <alignment horizontal="center" vertical="center"/>
    </xf>
    <xf numFmtId="0" fontId="8" fillId="2" borderId="12" xfId="25" applyFont="1" applyFill="1" applyBorder="1" applyAlignment="1">
      <alignment horizontal="center" vertical="center"/>
    </xf>
    <xf numFmtId="0" fontId="8" fillId="2" borderId="29" xfId="25" applyFont="1" applyFill="1" applyBorder="1" applyAlignment="1">
      <alignment horizontal="center" vertical="center"/>
    </xf>
    <xf numFmtId="0" fontId="8" fillId="2" borderId="25" xfId="25" applyFont="1" applyFill="1" applyBorder="1" applyAlignment="1">
      <alignment horizontal="center" vertical="center" wrapText="1"/>
    </xf>
    <xf numFmtId="0" fontId="8" fillId="2" borderId="12" xfId="25" applyFont="1" applyFill="1" applyBorder="1" applyAlignment="1">
      <alignment horizontal="center" vertical="center" wrapText="1"/>
    </xf>
    <xf numFmtId="0" fontId="8" fillId="2" borderId="29" xfId="25" applyFont="1" applyFill="1" applyBorder="1" applyAlignment="1">
      <alignment horizontal="center" vertical="center" wrapText="1"/>
    </xf>
    <xf numFmtId="0" fontId="8" fillId="0" borderId="36" xfId="25" applyFont="1" applyBorder="1" applyAlignment="1">
      <alignment horizontal="center" vertical="center"/>
    </xf>
    <xf numFmtId="0" fontId="8" fillId="0" borderId="35" xfId="25" applyFont="1" applyBorder="1" applyAlignment="1">
      <alignment horizontal="center" vertical="center"/>
    </xf>
    <xf numFmtId="0" fontId="8" fillId="0" borderId="34" xfId="25" applyFont="1" applyBorder="1" applyAlignment="1">
      <alignment horizontal="center" vertical="center"/>
    </xf>
    <xf numFmtId="0" fontId="17" fillId="2" borderId="8" xfId="25" applyFont="1" applyFill="1" applyBorder="1" applyAlignment="1">
      <alignment horizontal="center" vertical="center"/>
    </xf>
    <xf numFmtId="0" fontId="17" fillId="2" borderId="15" xfId="25" applyFont="1" applyFill="1" applyBorder="1" applyAlignment="1">
      <alignment horizontal="center" vertical="center"/>
    </xf>
    <xf numFmtId="0" fontId="9" fillId="0" borderId="0" xfId="0" applyFont="1" applyAlignment="1">
      <alignment horizontal="justify" vertical="top" wrapText="1"/>
    </xf>
    <xf numFmtId="0" fontId="9" fillId="0" borderId="13" xfId="0" applyFont="1" applyBorder="1" applyAlignment="1">
      <alignment horizontal="justify" vertical="top" wrapText="1"/>
    </xf>
    <xf numFmtId="0" fontId="9" fillId="0" borderId="12" xfId="0" applyFont="1" applyBorder="1" applyAlignment="1">
      <alignment horizontal="justify" vertical="center"/>
    </xf>
    <xf numFmtId="0" fontId="0" fillId="0" borderId="0" xfId="0" applyAlignment="1">
      <alignment horizontal="justify" vertical="center"/>
    </xf>
    <xf numFmtId="0" fontId="9" fillId="0" borderId="0" xfId="0" applyFont="1" applyAlignment="1">
      <alignment vertical="top" wrapText="1"/>
    </xf>
    <xf numFmtId="0" fontId="9" fillId="0" borderId="13" xfId="0" applyFont="1" applyBorder="1" applyAlignment="1">
      <alignment vertical="top" wrapText="1"/>
    </xf>
    <xf numFmtId="176" fontId="18" fillId="0" borderId="8" xfId="12" applyNumberFormat="1" applyFont="1" applyBorder="1" applyAlignment="1">
      <alignment horizontal="center" vertical="center"/>
    </xf>
    <xf numFmtId="176" fontId="18" fillId="0" borderId="6" xfId="12" applyNumberFormat="1" applyFont="1" applyBorder="1" applyAlignment="1">
      <alignment horizontal="center" vertical="center"/>
    </xf>
    <xf numFmtId="176" fontId="18" fillId="0" borderId="15" xfId="12" applyNumberFormat="1" applyFont="1" applyBorder="1" applyAlignment="1">
      <alignment horizontal="center" vertical="center"/>
    </xf>
    <xf numFmtId="176" fontId="18" fillId="0" borderId="46" xfId="12" applyNumberFormat="1" applyFont="1" applyBorder="1" applyAlignment="1">
      <alignment horizontal="center" vertical="center"/>
    </xf>
    <xf numFmtId="176" fontId="18" fillId="0" borderId="38" xfId="12" applyNumberFormat="1" applyFont="1" applyBorder="1" applyAlignment="1">
      <alignment horizontal="center" vertical="center"/>
    </xf>
    <xf numFmtId="176" fontId="18" fillId="0" borderId="7" xfId="12" applyNumberFormat="1" applyFont="1" applyBorder="1" applyAlignment="1">
      <alignment horizontal="center" vertical="center"/>
    </xf>
    <xf numFmtId="176" fontId="18" fillId="0" borderId="33" xfId="12" applyNumberFormat="1" applyFont="1" applyBorder="1" applyAlignment="1">
      <alignment horizontal="center" vertical="center"/>
    </xf>
    <xf numFmtId="4" fontId="18" fillId="0" borderId="88" xfId="12" applyNumberFormat="1" applyFont="1" applyBorder="1" applyAlignment="1">
      <alignment horizontal="center" vertical="center"/>
    </xf>
    <xf numFmtId="4" fontId="18" fillId="0" borderId="62" xfId="12" applyNumberFormat="1" applyFont="1" applyBorder="1" applyAlignment="1">
      <alignment horizontal="center" vertical="center"/>
    </xf>
    <xf numFmtId="4" fontId="18" fillId="0" borderId="29" xfId="12" applyNumberFormat="1" applyFont="1" applyBorder="1" applyAlignment="1">
      <alignment horizontal="center" vertical="center"/>
    </xf>
    <xf numFmtId="4" fontId="18" fillId="0" borderId="40" xfId="12" applyNumberFormat="1" applyFont="1" applyBorder="1" applyAlignment="1">
      <alignment horizontal="center" vertical="center"/>
    </xf>
    <xf numFmtId="176" fontId="9" fillId="0" borderId="10" xfId="0" applyNumberFormat="1" applyFont="1" applyBorder="1" applyAlignment="1">
      <alignment horizontal="center" vertical="center" wrapText="1"/>
    </xf>
    <xf numFmtId="176" fontId="8" fillId="0" borderId="21" xfId="0" applyNumberFormat="1" applyFont="1" applyBorder="1" applyAlignment="1">
      <alignment horizontal="center" vertical="center"/>
    </xf>
    <xf numFmtId="176" fontId="8" fillId="0" borderId="86" xfId="0" applyNumberFormat="1" applyFont="1" applyBorder="1" applyAlignment="1">
      <alignment horizontal="center" vertical="center"/>
    </xf>
    <xf numFmtId="176" fontId="8" fillId="0" borderId="85" xfId="0" applyNumberFormat="1" applyFont="1" applyBorder="1" applyAlignment="1">
      <alignment horizontal="center" vertical="center" wrapText="1"/>
    </xf>
    <xf numFmtId="176" fontId="8" fillId="0" borderId="10" xfId="0" applyNumberFormat="1" applyFont="1" applyBorder="1" applyAlignment="1">
      <alignment horizontal="center" vertical="center" wrapText="1"/>
    </xf>
    <xf numFmtId="176" fontId="8" fillId="0" borderId="86" xfId="0" applyNumberFormat="1" applyFont="1" applyBorder="1" applyAlignment="1">
      <alignment horizontal="center" vertical="center" wrapText="1"/>
    </xf>
    <xf numFmtId="176" fontId="9" fillId="0" borderId="45" xfId="0" applyNumberFormat="1" applyFont="1" applyBorder="1" applyAlignment="1">
      <alignment horizontal="left" vertical="center" wrapText="1"/>
    </xf>
    <xf numFmtId="176" fontId="9" fillId="0" borderId="26" xfId="0" applyNumberFormat="1" applyFont="1" applyBorder="1" applyAlignment="1">
      <alignment horizontal="left" vertical="center" wrapText="1"/>
    </xf>
    <xf numFmtId="0" fontId="9" fillId="0" borderId="26" xfId="0" applyFont="1" applyBorder="1" applyAlignment="1">
      <alignment horizontal="left" wrapText="1"/>
    </xf>
    <xf numFmtId="0" fontId="9" fillId="0" borderId="37" xfId="0" applyFont="1" applyBorder="1" applyAlignment="1">
      <alignment horizontal="left" wrapText="1"/>
    </xf>
    <xf numFmtId="1" fontId="9" fillId="0" borderId="12" xfId="0" applyNumberFormat="1" applyFont="1" applyBorder="1" applyAlignment="1">
      <alignment horizontal="center" vertical="center"/>
    </xf>
    <xf numFmtId="0" fontId="9" fillId="0" borderId="39" xfId="0" applyFont="1" applyBorder="1" applyAlignment="1">
      <alignment horizontal="center" vertical="center"/>
    </xf>
    <xf numFmtId="0" fontId="9" fillId="0" borderId="12" xfId="0" applyFont="1" applyBorder="1" applyAlignment="1">
      <alignment horizontal="center" vertical="center"/>
    </xf>
    <xf numFmtId="176" fontId="9" fillId="0" borderId="41" xfId="0" applyNumberFormat="1" applyFont="1" applyBorder="1" applyAlignment="1">
      <alignment horizontal="justify" vertical="center" wrapText="1"/>
    </xf>
    <xf numFmtId="176" fontId="9" fillId="0" borderId="0" xfId="0" applyNumberFormat="1" applyFont="1" applyAlignment="1">
      <alignment horizontal="justify" vertical="center" wrapText="1"/>
    </xf>
    <xf numFmtId="176" fontId="9" fillId="0" borderId="39" xfId="0" applyNumberFormat="1" applyFont="1" applyBorder="1" applyAlignment="1">
      <alignment horizontal="justify" vertical="center" wrapText="1"/>
    </xf>
    <xf numFmtId="0" fontId="9" fillId="0" borderId="38" xfId="0" applyFont="1" applyBorder="1" applyAlignment="1">
      <alignment horizontal="center" vertical="center"/>
    </xf>
    <xf numFmtId="0" fontId="9" fillId="0" borderId="12" xfId="0" applyFont="1" applyBorder="1" applyAlignment="1">
      <alignment horizontal="left" vertical="center"/>
    </xf>
    <xf numFmtId="0" fontId="9" fillId="0" borderId="0" xfId="0" applyFont="1" applyAlignment="1">
      <alignment horizontal="center" vertical="center"/>
    </xf>
    <xf numFmtId="176" fontId="8" fillId="0" borderId="16" xfId="0" applyNumberFormat="1" applyFont="1" applyBorder="1" applyAlignment="1">
      <alignment horizontal="center" vertical="center"/>
    </xf>
    <xf numFmtId="176" fontId="8" fillId="0" borderId="17" xfId="0" applyNumberFormat="1" applyFont="1" applyBorder="1" applyAlignment="1">
      <alignment horizontal="center" vertical="center"/>
    </xf>
    <xf numFmtId="0" fontId="9" fillId="0" borderId="0" xfId="0" applyFont="1" applyAlignment="1">
      <alignment horizontal="left" vertical="top" wrapText="1"/>
    </xf>
    <xf numFmtId="0" fontId="9" fillId="0" borderId="13" xfId="0" applyFont="1" applyBorder="1" applyAlignment="1">
      <alignment horizontal="left" vertical="top" wrapText="1"/>
    </xf>
    <xf numFmtId="1" fontId="9" fillId="0" borderId="39" xfId="0" applyNumberFormat="1" applyFont="1" applyBorder="1" applyAlignment="1">
      <alignment horizontal="center" vertical="center"/>
    </xf>
    <xf numFmtId="176" fontId="18" fillId="0" borderId="6" xfId="12" applyNumberFormat="1" applyFont="1" applyBorder="1" applyAlignment="1">
      <alignment horizontal="center" vertical="center" wrapText="1"/>
    </xf>
    <xf numFmtId="0" fontId="9" fillId="0" borderId="0" xfId="0" applyFont="1" applyAlignment="1">
      <alignment horizontal="justify" vertical="center"/>
    </xf>
    <xf numFmtId="176" fontId="18" fillId="0" borderId="45" xfId="12" applyNumberFormat="1" applyFont="1" applyBorder="1" applyAlignment="1">
      <alignment horizontal="center" vertical="center" wrapText="1"/>
    </xf>
    <xf numFmtId="176" fontId="18" fillId="0" borderId="26" xfId="12" applyNumberFormat="1" applyFont="1" applyBorder="1" applyAlignment="1">
      <alignment horizontal="center" vertical="center" wrapText="1"/>
    </xf>
    <xf numFmtId="176" fontId="18" fillId="0" borderId="27" xfId="12" applyNumberFormat="1" applyFont="1" applyBorder="1" applyAlignment="1">
      <alignment horizontal="center" vertical="center" wrapText="1"/>
    </xf>
    <xf numFmtId="176" fontId="18" fillId="0" borderId="41" xfId="12" applyNumberFormat="1" applyFont="1" applyBorder="1" applyAlignment="1">
      <alignment horizontal="center" vertical="center" wrapText="1"/>
    </xf>
    <xf numFmtId="176" fontId="18" fillId="0" borderId="0" xfId="12" applyNumberFormat="1" applyFont="1" applyAlignment="1">
      <alignment horizontal="center" vertical="center" wrapText="1"/>
    </xf>
    <xf numFmtId="176" fontId="18" fillId="0" borderId="13" xfId="12" applyNumberFormat="1" applyFont="1" applyBorder="1" applyAlignment="1">
      <alignment horizontal="center" vertical="center" wrapText="1"/>
    </xf>
    <xf numFmtId="176" fontId="18" fillId="0" borderId="42" xfId="12" applyNumberFormat="1" applyFont="1" applyBorder="1" applyAlignment="1">
      <alignment horizontal="center" vertical="center" wrapText="1"/>
    </xf>
    <xf numFmtId="176" fontId="18" fillId="0" borderId="20" xfId="12" applyNumberFormat="1" applyFont="1" applyBorder="1" applyAlignment="1">
      <alignment horizontal="center" vertical="center" wrapText="1"/>
    </xf>
    <xf numFmtId="176" fontId="18" fillId="0" borderId="30" xfId="12" applyNumberFormat="1" applyFont="1" applyBorder="1" applyAlignment="1">
      <alignment horizontal="center" vertical="center" wrapText="1"/>
    </xf>
    <xf numFmtId="176" fontId="8" fillId="0" borderId="10" xfId="0" applyNumberFormat="1" applyFont="1" applyBorder="1" applyAlignment="1">
      <alignment horizontal="center" vertical="center"/>
    </xf>
    <xf numFmtId="176" fontId="8" fillId="0" borderId="28" xfId="0" applyNumberFormat="1" applyFont="1" applyBorder="1" applyAlignment="1">
      <alignment horizontal="center" vertical="center"/>
    </xf>
    <xf numFmtId="176" fontId="18" fillId="0" borderId="3" xfId="12" applyNumberFormat="1" applyFont="1" applyBorder="1" applyAlignment="1">
      <alignment horizontal="center" vertical="center"/>
    </xf>
    <xf numFmtId="176" fontId="18" fillId="0" borderId="109" xfId="12" applyNumberFormat="1" applyFont="1" applyBorder="1" applyAlignment="1">
      <alignment horizontal="center" vertical="center"/>
    </xf>
    <xf numFmtId="0" fontId="9" fillId="0" borderId="0" xfId="0" applyFont="1" applyAlignment="1">
      <alignment horizontal="justify" vertical="center" wrapText="1"/>
    </xf>
    <xf numFmtId="0" fontId="9" fillId="0" borderId="13" xfId="0" applyFont="1" applyBorder="1" applyAlignment="1">
      <alignment horizontal="justify" vertical="center" wrapText="1"/>
    </xf>
    <xf numFmtId="176" fontId="8" fillId="0" borderId="23" xfId="0" applyNumberFormat="1" applyFont="1" applyBorder="1" applyAlignment="1">
      <alignment horizontal="center" vertical="center" wrapText="1"/>
    </xf>
    <xf numFmtId="0" fontId="9" fillId="0" borderId="0" xfId="0" applyFont="1" applyAlignment="1">
      <alignment horizontal="justify" wrapText="1"/>
    </xf>
    <xf numFmtId="176" fontId="8" fillId="0" borderId="17" xfId="0" applyNumberFormat="1" applyFont="1" applyBorder="1" applyAlignment="1">
      <alignment horizontal="center" vertical="center" wrapText="1"/>
    </xf>
    <xf numFmtId="0" fontId="9" fillId="0" borderId="0" xfId="0" applyFont="1" applyAlignment="1">
      <alignment horizontal="left" vertical="center"/>
    </xf>
    <xf numFmtId="0" fontId="9" fillId="0" borderId="114" xfId="0" applyFont="1" applyBorder="1" applyAlignment="1">
      <alignment horizontal="center" vertical="top" wrapText="1"/>
    </xf>
    <xf numFmtId="0" fontId="9" fillId="0" borderId="5" xfId="0" applyFont="1" applyBorder="1" applyAlignment="1">
      <alignment horizontal="center" vertical="top" wrapText="1"/>
    </xf>
    <xf numFmtId="0" fontId="9" fillId="0" borderId="21" xfId="0" applyFont="1" applyBorder="1" applyAlignment="1">
      <alignment horizontal="center" vertical="center" wrapText="1"/>
    </xf>
    <xf numFmtId="0" fontId="9" fillId="0" borderId="86" xfId="0" applyFont="1" applyBorder="1" applyAlignment="1">
      <alignment horizontal="center" vertical="center" wrapText="1"/>
    </xf>
    <xf numFmtId="0" fontId="9" fillId="0" borderId="0" xfId="0" applyFont="1" applyAlignment="1">
      <alignment horizontal="left" vertical="center" wrapText="1"/>
    </xf>
    <xf numFmtId="0" fontId="9" fillId="0" borderId="13" xfId="0" applyFont="1" applyBorder="1" applyAlignment="1">
      <alignment horizontal="left" vertical="center" wrapText="1"/>
    </xf>
    <xf numFmtId="176" fontId="9" fillId="0" borderId="0" xfId="0" applyNumberFormat="1" applyFont="1" applyAlignment="1">
      <alignment horizontal="justify" wrapText="1"/>
    </xf>
    <xf numFmtId="176" fontId="9" fillId="0" borderId="13" xfId="0" applyNumberFormat="1" applyFont="1" applyBorder="1" applyAlignment="1">
      <alignment horizontal="justify" wrapText="1"/>
    </xf>
    <xf numFmtId="0" fontId="9" fillId="0" borderId="114" xfId="0" applyFont="1" applyBorder="1" applyAlignment="1">
      <alignment horizontal="center" vertical="center" wrapText="1"/>
    </xf>
    <xf numFmtId="0" fontId="9" fillId="0" borderId="5" xfId="0" applyFont="1" applyBorder="1" applyAlignment="1">
      <alignment horizontal="center" vertical="center" wrapText="1"/>
    </xf>
    <xf numFmtId="4" fontId="9" fillId="0" borderId="38" xfId="0" applyNumberFormat="1" applyFont="1" applyBorder="1" applyAlignment="1">
      <alignment horizontal="center" vertical="center"/>
    </xf>
    <xf numFmtId="176" fontId="9" fillId="0" borderId="16" xfId="0" applyNumberFormat="1" applyFont="1" applyBorder="1" applyAlignment="1">
      <alignment horizontal="center" vertical="center"/>
    </xf>
    <xf numFmtId="176" fontId="9" fillId="0" borderId="17" xfId="0" applyNumberFormat="1" applyFont="1" applyBorder="1" applyAlignment="1">
      <alignment horizontal="center" vertical="center"/>
    </xf>
    <xf numFmtId="0" fontId="9" fillId="0" borderId="12" xfId="0" applyFont="1" applyBorder="1" applyAlignment="1">
      <alignment horizontal="justify" vertical="top" wrapText="1"/>
    </xf>
    <xf numFmtId="0" fontId="0" fillId="0" borderId="0" xfId="0" applyAlignment="1">
      <alignment horizontal="justify" vertical="top" wrapText="1"/>
    </xf>
    <xf numFmtId="0" fontId="0" fillId="0" borderId="0" xfId="0" applyAlignment="1">
      <alignment horizontal="justify" vertical="center" wrapText="1"/>
    </xf>
    <xf numFmtId="0" fontId="0" fillId="0" borderId="13" xfId="0" applyBorder="1" applyAlignment="1">
      <alignment horizontal="justify" vertical="center" wrapText="1"/>
    </xf>
    <xf numFmtId="0" fontId="9" fillId="0" borderId="0" xfId="0" applyFont="1" applyAlignment="1">
      <alignment vertical="center" wrapText="1"/>
    </xf>
    <xf numFmtId="0" fontId="9" fillId="0" borderId="13" xfId="0" applyFont="1" applyBorder="1" applyAlignment="1">
      <alignment vertical="center" wrapText="1"/>
    </xf>
    <xf numFmtId="0" fontId="9" fillId="0" borderId="12" xfId="0" applyFont="1" applyBorder="1" applyAlignment="1">
      <alignment horizontal="left" vertical="center" wrapText="1"/>
    </xf>
    <xf numFmtId="176" fontId="9" fillId="0" borderId="17" xfId="0" applyNumberFormat="1" applyFont="1" applyBorder="1" applyAlignment="1">
      <alignment horizontal="center" vertical="center" wrapText="1"/>
    </xf>
    <xf numFmtId="176" fontId="18" fillId="0" borderId="53" xfId="12" applyNumberFormat="1" applyFont="1" applyBorder="1" applyAlignment="1">
      <alignment horizontal="center" vertical="center"/>
    </xf>
    <xf numFmtId="0" fontId="9" fillId="0" borderId="12" xfId="0" applyFont="1" applyBorder="1" applyAlignment="1">
      <alignment horizontal="justify" vertical="center" wrapText="1"/>
    </xf>
    <xf numFmtId="0" fontId="9" fillId="0" borderId="103" xfId="0" applyFont="1" applyBorder="1" applyAlignment="1">
      <alignment horizontal="center" vertical="center" wrapText="1"/>
    </xf>
    <xf numFmtId="0" fontId="9" fillId="0" borderId="69" xfId="0" applyFont="1" applyBorder="1" applyAlignment="1">
      <alignment horizontal="center" vertical="center" wrapText="1"/>
    </xf>
    <xf numFmtId="176" fontId="69" fillId="0" borderId="0" xfId="0" applyNumberFormat="1" applyFont="1" applyAlignment="1">
      <alignment horizontal="justify" wrapText="1"/>
    </xf>
    <xf numFmtId="176" fontId="69" fillId="0" borderId="13" xfId="0" applyNumberFormat="1" applyFont="1" applyBorder="1" applyAlignment="1">
      <alignment horizontal="justify" wrapText="1"/>
    </xf>
    <xf numFmtId="0" fontId="9" fillId="0" borderId="12" xfId="0" applyFont="1" applyBorder="1" applyAlignment="1">
      <alignment horizontal="left" vertical="top" wrapText="1"/>
    </xf>
    <xf numFmtId="0" fontId="0" fillId="0" borderId="0" xfId="0" applyAlignment="1">
      <alignment horizontal="left" vertical="top" wrapText="1"/>
    </xf>
    <xf numFmtId="176" fontId="9" fillId="0" borderId="37" xfId="0" applyNumberFormat="1" applyFont="1" applyBorder="1" applyAlignment="1">
      <alignment horizontal="left" vertical="center" wrapText="1"/>
    </xf>
    <xf numFmtId="176" fontId="18" fillId="0" borderId="45" xfId="12" applyNumberFormat="1" applyFont="1" applyBorder="1" applyAlignment="1">
      <alignment horizontal="center" vertical="center"/>
    </xf>
    <xf numFmtId="176" fontId="18" fillId="0" borderId="26" xfId="12" applyNumberFormat="1" applyFont="1" applyBorder="1" applyAlignment="1">
      <alignment horizontal="center" vertical="center"/>
    </xf>
    <xf numFmtId="176" fontId="18" fillId="0" borderId="27" xfId="12" applyNumberFormat="1" applyFont="1" applyBorder="1" applyAlignment="1">
      <alignment horizontal="center" vertical="center"/>
    </xf>
    <xf numFmtId="176" fontId="18" fillId="0" borderId="41" xfId="12" applyNumberFormat="1" applyFont="1" applyBorder="1" applyAlignment="1">
      <alignment horizontal="center" vertical="center"/>
    </xf>
    <xf numFmtId="176" fontId="18" fillId="0" borderId="0" xfId="12" applyNumberFormat="1" applyFont="1" applyAlignment="1">
      <alignment horizontal="center" vertical="center"/>
    </xf>
    <xf numFmtId="176" fontId="18" fillId="0" borderId="13" xfId="12" applyNumberFormat="1" applyFont="1" applyBorder="1" applyAlignment="1">
      <alignment horizontal="center" vertical="center"/>
    </xf>
    <xf numFmtId="176" fontId="18" fillId="0" borderId="42" xfId="12" applyNumberFormat="1" applyFont="1" applyBorder="1" applyAlignment="1">
      <alignment horizontal="center" vertical="center"/>
    </xf>
    <xf numFmtId="176" fontId="18" fillId="0" borderId="20" xfId="12" applyNumberFormat="1" applyFont="1" applyBorder="1" applyAlignment="1">
      <alignment horizontal="center" vertical="center"/>
    </xf>
    <xf numFmtId="176" fontId="18" fillId="0" borderId="30" xfId="12" applyNumberFormat="1" applyFont="1" applyBorder="1" applyAlignment="1">
      <alignment horizontal="center" vertical="center"/>
    </xf>
    <xf numFmtId="176" fontId="9" fillId="0" borderId="8" xfId="12" applyNumberFormat="1" applyFont="1" applyBorder="1" applyAlignment="1">
      <alignment horizontal="center" vertical="center"/>
    </xf>
    <xf numFmtId="176" fontId="9" fillId="0" borderId="6" xfId="12" applyNumberFormat="1" applyFont="1" applyBorder="1" applyAlignment="1">
      <alignment horizontal="center" vertical="center"/>
    </xf>
    <xf numFmtId="176" fontId="9" fillId="0" borderId="9" xfId="12" applyNumberFormat="1" applyFont="1" applyBorder="1" applyAlignment="1">
      <alignment horizontal="center" vertical="center"/>
    </xf>
    <xf numFmtId="176" fontId="9" fillId="0" borderId="4" xfId="12" applyNumberFormat="1" applyFont="1" applyBorder="1" applyAlignment="1">
      <alignment horizontal="center" vertical="center"/>
    </xf>
    <xf numFmtId="176" fontId="9" fillId="0" borderId="47" xfId="12" applyNumberFormat="1" applyFont="1" applyBorder="1" applyAlignment="1">
      <alignment horizontal="center" vertical="center"/>
    </xf>
    <xf numFmtId="176" fontId="9" fillId="0" borderId="7" xfId="12" applyNumberFormat="1" applyFont="1" applyBorder="1" applyAlignment="1">
      <alignment horizontal="center" vertical="center"/>
    </xf>
    <xf numFmtId="2" fontId="20" fillId="0" borderId="63" xfId="12" applyNumberFormat="1" applyFont="1" applyBorder="1" applyAlignment="1">
      <alignment horizontal="center" vertical="center" wrapText="1"/>
    </xf>
    <xf numFmtId="2" fontId="20" fillId="0" borderId="104" xfId="12" applyNumberFormat="1" applyFont="1" applyBorder="1" applyAlignment="1">
      <alignment horizontal="center" vertical="center" wrapText="1"/>
    </xf>
    <xf numFmtId="2" fontId="20" fillId="0" borderId="69" xfId="12" applyNumberFormat="1" applyFont="1" applyBorder="1" applyAlignment="1">
      <alignment horizontal="center" vertical="center" wrapText="1"/>
    </xf>
    <xf numFmtId="2" fontId="18" fillId="0" borderId="41" xfId="12" applyNumberFormat="1" applyFont="1" applyBorder="1" applyAlignment="1">
      <alignment horizontal="center" vertical="center" wrapText="1"/>
    </xf>
    <xf numFmtId="2" fontId="18" fillId="0" borderId="0" xfId="12" applyNumberFormat="1" applyFont="1" applyAlignment="1">
      <alignment horizontal="center" vertical="center" wrapText="1"/>
    </xf>
    <xf numFmtId="2" fontId="18" fillId="0" borderId="39" xfId="12" applyNumberFormat="1" applyFont="1" applyBorder="1" applyAlignment="1">
      <alignment horizontal="center" vertical="center" wrapText="1"/>
    </xf>
    <xf numFmtId="2" fontId="18" fillId="0" borderId="42" xfId="12" applyNumberFormat="1" applyFont="1" applyBorder="1" applyAlignment="1">
      <alignment horizontal="center" vertical="center" wrapText="1"/>
    </xf>
    <xf numFmtId="2" fontId="18" fillId="0" borderId="20" xfId="12" applyNumberFormat="1" applyFont="1" applyBorder="1" applyAlignment="1">
      <alignment horizontal="center" vertical="center" wrapText="1"/>
    </xf>
    <xf numFmtId="2" fontId="18" fillId="0" borderId="40" xfId="12" applyNumberFormat="1" applyFont="1" applyBorder="1" applyAlignment="1">
      <alignment horizontal="center" vertical="center" wrapText="1"/>
    </xf>
    <xf numFmtId="176" fontId="9" fillId="7" borderId="10" xfId="0" applyNumberFormat="1" applyFont="1" applyFill="1" applyBorder="1" applyAlignment="1">
      <alignment horizontal="center" vertical="center" wrapText="1"/>
    </xf>
    <xf numFmtId="176" fontId="9" fillId="0" borderId="0" xfId="0" applyNumberFormat="1" applyFont="1" applyAlignment="1">
      <alignment horizontal="left" vertical="top" wrapText="1"/>
    </xf>
    <xf numFmtId="176" fontId="9" fillId="0" borderId="13" xfId="0" applyNumberFormat="1" applyFont="1" applyBorder="1" applyAlignment="1">
      <alignment horizontal="left" vertical="top" wrapText="1"/>
    </xf>
    <xf numFmtId="176" fontId="18" fillId="0" borderId="103" xfId="12" applyNumberFormat="1" applyFont="1" applyBorder="1" applyAlignment="1">
      <alignment horizontal="center" vertical="center"/>
    </xf>
    <xf numFmtId="176" fontId="18" fillId="0" borderId="69" xfId="12" applyNumberFormat="1" applyFont="1" applyBorder="1" applyAlignment="1">
      <alignment horizontal="center" vertical="center"/>
    </xf>
    <xf numFmtId="0" fontId="9" fillId="0" borderId="13" xfId="0" applyFont="1" applyBorder="1" applyAlignment="1">
      <alignment horizontal="left" vertical="center"/>
    </xf>
    <xf numFmtId="0" fontId="9" fillId="0" borderId="13" xfId="0" applyFont="1" applyBorder="1" applyAlignment="1">
      <alignment horizontal="justify" vertical="center"/>
    </xf>
    <xf numFmtId="176" fontId="18" fillId="0" borderId="15" xfId="12" applyNumberFormat="1" applyFont="1" applyBorder="1" applyAlignment="1">
      <alignment horizontal="center" vertical="center" wrapText="1"/>
    </xf>
    <xf numFmtId="176" fontId="18" fillId="0" borderId="46" xfId="12" applyNumberFormat="1" applyFont="1" applyBorder="1" applyAlignment="1">
      <alignment horizontal="center" vertical="center" wrapText="1"/>
    </xf>
    <xf numFmtId="176" fontId="18" fillId="0" borderId="38" xfId="12" applyNumberFormat="1" applyFont="1" applyBorder="1" applyAlignment="1">
      <alignment horizontal="center" vertical="center" wrapText="1"/>
    </xf>
    <xf numFmtId="176" fontId="18" fillId="0" borderId="7" xfId="12" applyNumberFormat="1" applyFont="1" applyBorder="1" applyAlignment="1">
      <alignment horizontal="center" vertical="center" wrapText="1"/>
    </xf>
    <xf numFmtId="176" fontId="18" fillId="0" borderId="33" xfId="12" applyNumberFormat="1" applyFont="1" applyBorder="1" applyAlignment="1">
      <alignment horizontal="center" vertical="center" wrapText="1"/>
    </xf>
    <xf numFmtId="0" fontId="9" fillId="0" borderId="0" xfId="25" applyFont="1" applyAlignment="1">
      <alignment horizontal="justify" vertical="top" wrapText="1"/>
    </xf>
    <xf numFmtId="0" fontId="9" fillId="0" borderId="13" xfId="25" applyFont="1" applyBorder="1" applyAlignment="1">
      <alignment horizontal="justify" vertical="top" wrapText="1"/>
    </xf>
    <xf numFmtId="0" fontId="9" fillId="0" borderId="0" xfId="25" applyFont="1" applyAlignment="1">
      <alignment horizontal="justify" vertical="center" wrapText="1"/>
    </xf>
    <xf numFmtId="0" fontId="9" fillId="0" borderId="13" xfId="25" applyFont="1" applyBorder="1" applyAlignment="1">
      <alignment horizontal="justify" vertical="center" wrapText="1"/>
    </xf>
    <xf numFmtId="176" fontId="9" fillId="0" borderId="96" xfId="0" applyNumberFormat="1" applyFont="1" applyBorder="1" applyAlignment="1">
      <alignment horizontal="center" vertical="center" wrapText="1"/>
    </xf>
    <xf numFmtId="176" fontId="9" fillId="0" borderId="70" xfId="0" applyNumberFormat="1" applyFont="1" applyBorder="1" applyAlignment="1">
      <alignment horizontal="center" vertical="center" wrapText="1"/>
    </xf>
    <xf numFmtId="176" fontId="8" fillId="0" borderId="22" xfId="0" applyNumberFormat="1" applyFont="1" applyBorder="1" applyAlignment="1">
      <alignment horizontal="center" vertical="center"/>
    </xf>
    <xf numFmtId="176" fontId="8" fillId="0" borderId="23" xfId="0" applyNumberFormat="1" applyFont="1" applyBorder="1" applyAlignment="1">
      <alignment horizontal="center" vertical="center"/>
    </xf>
    <xf numFmtId="176" fontId="9" fillId="0" borderId="22" xfId="0" applyNumberFormat="1" applyFont="1" applyBorder="1" applyAlignment="1">
      <alignment horizontal="center" vertical="center"/>
    </xf>
    <xf numFmtId="176" fontId="9" fillId="0" borderId="23" xfId="0" applyNumberFormat="1" applyFont="1" applyBorder="1" applyAlignment="1">
      <alignment horizontal="center" vertical="center"/>
    </xf>
    <xf numFmtId="176" fontId="9" fillId="0" borderId="23" xfId="0" applyNumberFormat="1" applyFont="1" applyBorder="1" applyAlignment="1">
      <alignment horizontal="center" vertical="center" wrapText="1"/>
    </xf>
    <xf numFmtId="0" fontId="8" fillId="2" borderId="21" xfId="25" applyFont="1" applyFill="1" applyBorder="1" applyAlignment="1">
      <alignment horizontal="center" vertical="center" wrapText="1"/>
    </xf>
    <xf numFmtId="0" fontId="8" fillId="2" borderId="28" xfId="25" applyFont="1" applyFill="1" applyBorder="1" applyAlignment="1">
      <alignment horizontal="center" vertical="center" wrapText="1"/>
    </xf>
    <xf numFmtId="10" fontId="10" fillId="0" borderId="33" xfId="14" applyNumberFormat="1" applyFont="1" applyFill="1" applyBorder="1" applyAlignment="1" applyProtection="1">
      <alignment horizontal="center" vertical="center"/>
    </xf>
    <xf numFmtId="166" fontId="8" fillId="12" borderId="24" xfId="6" applyNumberFormat="1" applyFont="1" applyFill="1" applyBorder="1" applyAlignment="1" applyProtection="1">
      <alignment horizontal="center" vertical="center"/>
    </xf>
    <xf numFmtId="44" fontId="8" fillId="12" borderId="18" xfId="6" applyNumberFormat="1" applyFont="1" applyFill="1" applyBorder="1" applyAlignment="1" applyProtection="1">
      <alignment horizontal="center" vertical="center"/>
    </xf>
    <xf numFmtId="166" fontId="8" fillId="12" borderId="85" xfId="6" applyNumberFormat="1" applyFont="1" applyFill="1" applyBorder="1" applyAlignment="1" applyProtection="1">
      <alignment horizontal="center" vertical="center"/>
    </xf>
    <xf numFmtId="44" fontId="9" fillId="9" borderId="131" xfId="0" applyNumberFormat="1" applyFont="1" applyFill="1" applyBorder="1" applyAlignment="1" applyProtection="1">
      <alignment horizontal="center" vertical="center"/>
      <protection locked="0"/>
    </xf>
    <xf numFmtId="44" fontId="9" fillId="9" borderId="132" xfId="0" applyNumberFormat="1" applyFont="1" applyFill="1" applyBorder="1" applyAlignment="1" applyProtection="1">
      <alignment horizontal="center" vertical="center"/>
      <protection locked="0"/>
    </xf>
    <xf numFmtId="176" fontId="20" fillId="9" borderId="25" xfId="0" applyNumberFormat="1" applyFont="1" applyFill="1" applyBorder="1" applyAlignment="1" applyProtection="1">
      <alignment horizontal="center" vertical="center"/>
      <protection locked="0"/>
    </xf>
    <xf numFmtId="176" fontId="20" fillId="9" borderId="26" xfId="0" applyNumberFormat="1" applyFont="1" applyFill="1" applyBorder="1" applyAlignment="1" applyProtection="1">
      <alignment horizontal="center" vertical="center"/>
      <protection locked="0"/>
    </xf>
    <xf numFmtId="176" fontId="20" fillId="9" borderId="27" xfId="0" applyNumberFormat="1" applyFont="1" applyFill="1" applyBorder="1" applyAlignment="1" applyProtection="1">
      <alignment horizontal="center" vertical="center"/>
      <protection locked="0"/>
    </xf>
    <xf numFmtId="176" fontId="20" fillId="9" borderId="12" xfId="0" applyNumberFormat="1" applyFont="1" applyFill="1" applyBorder="1" applyAlignment="1" applyProtection="1">
      <alignment horizontal="center" vertical="center"/>
      <protection locked="0"/>
    </xf>
    <xf numFmtId="176" fontId="20" fillId="9" borderId="0" xfId="0" applyNumberFormat="1" applyFont="1" applyFill="1" applyAlignment="1" applyProtection="1">
      <alignment horizontal="center" vertical="center"/>
      <protection locked="0"/>
    </xf>
    <xf numFmtId="176" fontId="20" fillId="9" borderId="13" xfId="0" applyNumberFormat="1" applyFont="1" applyFill="1" applyBorder="1" applyAlignment="1" applyProtection="1">
      <alignment horizontal="center" vertical="center"/>
      <protection locked="0"/>
    </xf>
    <xf numFmtId="176" fontId="29" fillId="9" borderId="12" xfId="0" applyNumberFormat="1" applyFont="1" applyFill="1" applyBorder="1" applyAlignment="1" applyProtection="1">
      <alignment horizontal="center" vertical="center"/>
      <protection locked="0"/>
    </xf>
    <xf numFmtId="176" fontId="29" fillId="9" borderId="0" xfId="0" applyNumberFormat="1" applyFont="1" applyFill="1" applyAlignment="1" applyProtection="1">
      <alignment horizontal="center" vertical="center"/>
      <protection locked="0"/>
    </xf>
    <xf numFmtId="176" fontId="29" fillId="9" borderId="13" xfId="0" applyNumberFormat="1" applyFont="1" applyFill="1" applyBorder="1" applyAlignment="1" applyProtection="1">
      <alignment horizontal="center" vertical="center"/>
      <protection locked="0"/>
    </xf>
    <xf numFmtId="0" fontId="60" fillId="0" borderId="0" xfId="33" applyFont="1" applyAlignment="1">
      <alignment horizontal="justify" vertical="center" wrapText="1"/>
    </xf>
    <xf numFmtId="4" fontId="41" fillId="7" borderId="0" xfId="0" applyNumberFormat="1" applyFont="1" applyFill="1" applyAlignment="1" applyProtection="1">
      <alignment horizontal="center" vertical="center"/>
      <protection locked="0"/>
    </xf>
    <xf numFmtId="4" fontId="42" fillId="7" borderId="0" xfId="0" applyNumberFormat="1" applyFont="1" applyFill="1" applyAlignment="1" applyProtection="1">
      <alignment horizontal="center" vertical="center"/>
      <protection locked="0"/>
    </xf>
    <xf numFmtId="172" fontId="8" fillId="17" borderId="14" xfId="30" applyNumberFormat="1" applyFont="1" applyFill="1" applyBorder="1" applyAlignment="1" applyProtection="1">
      <alignment horizontal="center" vertical="center"/>
      <protection locked="0"/>
    </xf>
    <xf numFmtId="181" fontId="76" fillId="9" borderId="0" xfId="0" applyNumberFormat="1" applyFont="1" applyFill="1" applyAlignment="1" applyProtection="1">
      <alignment horizontal="center" vertical="center"/>
      <protection locked="0"/>
    </xf>
    <xf numFmtId="176" fontId="9" fillId="0" borderId="0" xfId="0" applyNumberFormat="1" applyFont="1" applyAlignment="1" applyProtection="1">
      <alignment horizontal="center" vertical="center"/>
      <protection locked="0"/>
    </xf>
    <xf numFmtId="4" fontId="6" fillId="0" borderId="0" xfId="0" quotePrefix="1" applyNumberFormat="1" applyFont="1" applyAlignment="1" applyProtection="1">
      <alignment horizontal="center" vertical="center"/>
      <protection locked="0"/>
    </xf>
    <xf numFmtId="0" fontId="9" fillId="0" borderId="0" xfId="0" applyFont="1" applyAlignment="1" applyProtection="1">
      <alignment horizontal="center" vertical="center"/>
      <protection locked="0"/>
    </xf>
    <xf numFmtId="0" fontId="32" fillId="0" borderId="0" xfId="0" applyFont="1" applyProtection="1"/>
    <xf numFmtId="176" fontId="30" fillId="3" borderId="0" xfId="0" applyNumberFormat="1" applyFont="1" applyFill="1" applyAlignment="1" applyProtection="1">
      <alignment horizontal="center" vertical="center"/>
    </xf>
    <xf numFmtId="2" fontId="32" fillId="0" borderId="0" xfId="0" applyNumberFormat="1" applyFont="1" applyProtection="1"/>
    <xf numFmtId="0" fontId="10" fillId="0" borderId="0" xfId="0" applyFont="1" applyProtection="1"/>
    <xf numFmtId="176" fontId="42" fillId="3" borderId="0" xfId="0" applyNumberFormat="1" applyFont="1" applyFill="1" applyAlignment="1" applyProtection="1">
      <alignment horizontal="center" vertical="center"/>
    </xf>
    <xf numFmtId="176" fontId="20" fillId="3" borderId="0" xfId="0" applyNumberFormat="1" applyFont="1" applyFill="1" applyAlignment="1" applyProtection="1">
      <alignment horizontal="center" vertical="center"/>
    </xf>
    <xf numFmtId="0" fontId="68" fillId="0" borderId="0" xfId="0" applyFont="1" applyProtection="1"/>
    <xf numFmtId="176" fontId="33" fillId="3" borderId="0" xfId="0" applyNumberFormat="1" applyFont="1" applyFill="1" applyAlignment="1" applyProtection="1">
      <alignment horizontal="center" vertical="center"/>
    </xf>
    <xf numFmtId="176" fontId="10" fillId="3" borderId="0" xfId="0" applyNumberFormat="1" applyFont="1" applyFill="1" applyAlignment="1" applyProtection="1">
      <alignment horizontal="center" vertical="center"/>
    </xf>
    <xf numFmtId="0" fontId="17" fillId="0" borderId="0" xfId="0" applyFont="1" applyAlignment="1" applyProtection="1">
      <alignment horizontal="center" vertical="center" wrapText="1"/>
    </xf>
    <xf numFmtId="0" fontId="17" fillId="0" borderId="0" xfId="0" applyFont="1" applyAlignment="1" applyProtection="1">
      <alignment horizontal="center" vertical="center" wrapText="1"/>
    </xf>
    <xf numFmtId="0" fontId="17" fillId="5" borderId="0" xfId="0" applyFont="1" applyFill="1" applyAlignment="1" applyProtection="1">
      <alignment horizontal="justify" vertical="center" wrapText="1"/>
    </xf>
    <xf numFmtId="0" fontId="17" fillId="5" borderId="76" xfId="0" applyFont="1" applyFill="1" applyBorder="1" applyAlignment="1" applyProtection="1">
      <alignment horizontal="justify" vertical="center" wrapText="1"/>
    </xf>
    <xf numFmtId="168" fontId="21" fillId="5" borderId="122" xfId="0" applyNumberFormat="1" applyFont="1" applyFill="1" applyBorder="1" applyAlignment="1" applyProtection="1">
      <alignment horizontal="center" vertical="center" wrapText="1"/>
    </xf>
    <xf numFmtId="168" fontId="21" fillId="5" borderId="80" xfId="0" applyNumberFormat="1" applyFont="1" applyFill="1" applyBorder="1" applyAlignment="1" applyProtection="1">
      <alignment horizontal="center" vertical="center" wrapText="1"/>
    </xf>
    <xf numFmtId="168" fontId="21" fillId="5" borderId="73" xfId="0" applyNumberFormat="1" applyFont="1" applyFill="1" applyBorder="1" applyAlignment="1" applyProtection="1">
      <alignment horizontal="center" vertical="center" wrapText="1"/>
    </xf>
    <xf numFmtId="168" fontId="21" fillId="5" borderId="74" xfId="0" applyNumberFormat="1" applyFont="1" applyFill="1" applyBorder="1" applyAlignment="1" applyProtection="1">
      <alignment horizontal="center" vertical="center" wrapText="1"/>
    </xf>
    <xf numFmtId="168" fontId="21" fillId="5" borderId="123" xfId="0" applyNumberFormat="1" applyFont="1" applyFill="1" applyBorder="1" applyAlignment="1" applyProtection="1">
      <alignment horizontal="center" vertical="center" wrapText="1"/>
    </xf>
    <xf numFmtId="0" fontId="17" fillId="5" borderId="77" xfId="0" applyFont="1" applyFill="1" applyBorder="1" applyAlignment="1" applyProtection="1">
      <alignment horizontal="justify" vertical="center" wrapText="1"/>
    </xf>
    <xf numFmtId="0" fontId="17" fillId="5" borderId="78" xfId="0" applyFont="1" applyFill="1" applyBorder="1" applyAlignment="1" applyProtection="1">
      <alignment horizontal="justify" vertical="center" wrapText="1"/>
    </xf>
    <xf numFmtId="168" fontId="21" fillId="5" borderId="56" xfId="0" applyNumberFormat="1" applyFont="1" applyFill="1" applyBorder="1" applyAlignment="1" applyProtection="1">
      <alignment horizontal="center" vertical="center" wrapText="1"/>
    </xf>
    <xf numFmtId="168" fontId="21" fillId="5" borderId="11" xfId="0" applyNumberFormat="1" applyFont="1" applyFill="1" applyBorder="1" applyAlignment="1" applyProtection="1">
      <alignment horizontal="center" vertical="center" wrapText="1"/>
    </xf>
    <xf numFmtId="171" fontId="21" fillId="5" borderId="11" xfId="0" applyNumberFormat="1" applyFont="1" applyFill="1" applyBorder="1" applyAlignment="1" applyProtection="1">
      <alignment horizontal="center" vertical="center" wrapText="1"/>
    </xf>
    <xf numFmtId="171" fontId="21" fillId="5" borderId="57" xfId="0" applyNumberFormat="1" applyFont="1" applyFill="1" applyBorder="1" applyAlignment="1" applyProtection="1">
      <alignment horizontal="center" vertical="center" wrapText="1"/>
    </xf>
    <xf numFmtId="49" fontId="17" fillId="0" borderId="81" xfId="0" applyNumberFormat="1" applyFont="1" applyBorder="1" applyAlignment="1" applyProtection="1">
      <alignment horizontal="center" vertical="center" wrapText="1"/>
    </xf>
    <xf numFmtId="2" fontId="17" fillId="0" borderId="124" xfId="0" applyNumberFormat="1" applyFont="1" applyBorder="1" applyAlignment="1" applyProtection="1">
      <alignment horizontal="justify" vertical="center" wrapText="1"/>
    </xf>
    <xf numFmtId="4" fontId="21" fillId="0" borderId="124" xfId="0" applyNumberFormat="1" applyFont="1" applyBorder="1" applyAlignment="1" applyProtection="1">
      <alignment horizontal="center" vertical="center" wrapText="1"/>
    </xf>
    <xf numFmtId="4" fontId="21" fillId="0" borderId="74" xfId="0" applyNumberFormat="1" applyFont="1" applyBorder="1" applyAlignment="1" applyProtection="1">
      <alignment horizontal="center" vertical="center" wrapText="1"/>
    </xf>
    <xf numFmtId="4" fontId="21" fillId="0" borderId="80" xfId="0" applyNumberFormat="1" applyFont="1" applyBorder="1" applyAlignment="1" applyProtection="1">
      <alignment horizontal="center" vertical="center" wrapText="1"/>
    </xf>
    <xf numFmtId="4" fontId="21" fillId="0" borderId="73" xfId="0" applyNumberFormat="1" applyFont="1" applyBorder="1" applyAlignment="1" applyProtection="1">
      <alignment horizontal="center" vertical="center" wrapText="1"/>
    </xf>
    <xf numFmtId="4" fontId="32" fillId="0" borderId="0" xfId="0" applyNumberFormat="1" applyFont="1" applyProtection="1"/>
    <xf numFmtId="49" fontId="17" fillId="0" borderId="102" xfId="0" applyNumberFormat="1" applyFont="1" applyBorder="1" applyAlignment="1" applyProtection="1">
      <alignment horizontal="center" vertical="center" wrapText="1"/>
    </xf>
    <xf numFmtId="2" fontId="17" fillId="0" borderId="46" xfId="0" applyNumberFormat="1" applyFont="1" applyBorder="1" applyAlignment="1" applyProtection="1">
      <alignment horizontal="justify" vertical="center" wrapText="1"/>
    </xf>
    <xf numFmtId="4" fontId="21" fillId="0" borderId="3" xfId="0" applyNumberFormat="1" applyFont="1" applyBorder="1" applyAlignment="1" applyProtection="1">
      <alignment horizontal="center" vertical="center" wrapText="1"/>
    </xf>
    <xf numFmtId="4" fontId="21" fillId="0" borderId="4" xfId="0" applyNumberFormat="1" applyFont="1" applyBorder="1" applyAlignment="1" applyProtection="1">
      <alignment horizontal="center" vertical="center" wrapText="1"/>
    </xf>
    <xf numFmtId="49" fontId="17" fillId="0" borderId="82" xfId="0" applyNumberFormat="1" applyFont="1" applyBorder="1" applyAlignment="1" applyProtection="1">
      <alignment horizontal="center" vertical="center" wrapText="1"/>
    </xf>
    <xf numFmtId="2" fontId="17" fillId="0" borderId="3" xfId="0" applyNumberFormat="1" applyFont="1" applyBorder="1" applyAlignment="1" applyProtection="1">
      <alignment horizontal="justify" vertical="center" wrapText="1"/>
    </xf>
    <xf numFmtId="10" fontId="21" fillId="0" borderId="4" xfId="0" applyNumberFormat="1" applyFont="1" applyBorder="1" applyAlignment="1" applyProtection="1">
      <alignment horizontal="center" vertical="center" wrapText="1"/>
    </xf>
    <xf numFmtId="10" fontId="67" fillId="0" borderId="48" xfId="0" applyNumberFormat="1" applyFont="1" applyBorder="1" applyAlignment="1" applyProtection="1">
      <alignment horizontal="center" vertical="center" wrapText="1"/>
    </xf>
    <xf numFmtId="10" fontId="67" fillId="0" borderId="67" xfId="0" applyNumberFormat="1" applyFont="1" applyBorder="1" applyAlignment="1" applyProtection="1">
      <alignment horizontal="center" vertical="center" wrapText="1"/>
    </xf>
    <xf numFmtId="10" fontId="67" fillId="0" borderId="5" xfId="0" applyNumberFormat="1" applyFont="1" applyBorder="1" applyAlignment="1" applyProtection="1">
      <alignment horizontal="center" vertical="center" wrapText="1"/>
    </xf>
    <xf numFmtId="2" fontId="17" fillId="8" borderId="56" xfId="0" applyNumberFormat="1" applyFont="1" applyFill="1" applyBorder="1" applyAlignment="1" applyProtection="1">
      <alignment horizontal="center" vertical="center" wrapText="1"/>
    </xf>
    <xf numFmtId="2" fontId="17" fillId="8" borderId="11" xfId="0" applyNumberFormat="1" applyFont="1" applyFill="1" applyBorder="1" applyAlignment="1" applyProtection="1">
      <alignment horizontal="justify" vertical="center" wrapText="1"/>
    </xf>
    <xf numFmtId="4" fontId="21" fillId="8" borderId="11" xfId="0" applyNumberFormat="1" applyFont="1" applyFill="1" applyBorder="1" applyAlignment="1" applyProtection="1">
      <alignment horizontal="center" vertical="center" wrapText="1"/>
    </xf>
    <xf numFmtId="4" fontId="21" fillId="8" borderId="48" xfId="0" applyNumberFormat="1" applyFont="1" applyFill="1" applyBorder="1" applyAlignment="1" applyProtection="1">
      <alignment horizontal="center" vertical="center" wrapText="1"/>
    </xf>
    <xf numFmtId="4" fontId="21" fillId="8" borderId="67" xfId="0" applyNumberFormat="1" applyFont="1" applyFill="1" applyBorder="1" applyAlignment="1" applyProtection="1">
      <alignment horizontal="center" vertical="center" wrapText="1"/>
    </xf>
    <xf numFmtId="4" fontId="21" fillId="8" borderId="5" xfId="0" applyNumberFormat="1" applyFont="1" applyFill="1" applyBorder="1" applyAlignment="1" applyProtection="1">
      <alignment horizontal="center" vertical="center" wrapText="1"/>
    </xf>
    <xf numFmtId="2" fontId="32" fillId="0" borderId="0" xfId="0" applyNumberFormat="1" applyFont="1" applyAlignment="1" applyProtection="1">
      <alignment horizontal="center"/>
    </xf>
    <xf numFmtId="0" fontId="32" fillId="0" borderId="0" xfId="0" applyFont="1" applyAlignment="1" applyProtection="1">
      <alignment horizontal="center"/>
    </xf>
    <xf numFmtId="2" fontId="17" fillId="8" borderId="102" xfId="0" applyNumberFormat="1" applyFont="1" applyFill="1" applyBorder="1" applyAlignment="1" applyProtection="1">
      <alignment horizontal="center" vertical="center" wrapText="1"/>
    </xf>
    <xf numFmtId="2" fontId="17" fillId="8" borderId="46" xfId="0" applyNumberFormat="1" applyFont="1" applyFill="1" applyBorder="1" applyAlignment="1" applyProtection="1">
      <alignment horizontal="justify" vertical="center" wrapText="1"/>
    </xf>
    <xf numFmtId="4" fontId="21" fillId="8" borderId="3" xfId="0" applyNumberFormat="1" applyFont="1" applyFill="1" applyBorder="1" applyAlignment="1" applyProtection="1">
      <alignment horizontal="center" vertical="center" wrapText="1"/>
    </xf>
    <xf numFmtId="4" fontId="21" fillId="8" borderId="4" xfId="0" applyNumberFormat="1" applyFont="1" applyFill="1" applyBorder="1" applyAlignment="1" applyProtection="1">
      <alignment horizontal="center" vertical="center" wrapText="1"/>
    </xf>
    <xf numFmtId="2" fontId="17" fillId="8" borderId="82" xfId="0" applyNumberFormat="1" applyFont="1" applyFill="1" applyBorder="1" applyAlignment="1" applyProtection="1">
      <alignment horizontal="center" vertical="center" wrapText="1"/>
    </xf>
    <xf numFmtId="2" fontId="17" fillId="8" borderId="3" xfId="0" applyNumberFormat="1" applyFont="1" applyFill="1" applyBorder="1" applyAlignment="1" applyProtection="1">
      <alignment horizontal="justify" vertical="center" wrapText="1"/>
    </xf>
    <xf numFmtId="10" fontId="21" fillId="8" borderId="4" xfId="0" applyNumberFormat="1" applyFont="1" applyFill="1" applyBorder="1" applyAlignment="1" applyProtection="1">
      <alignment horizontal="center" vertical="center" wrapText="1"/>
    </xf>
    <xf numFmtId="10" fontId="67" fillId="8" borderId="48" xfId="0" applyNumberFormat="1" applyFont="1" applyFill="1" applyBorder="1" applyAlignment="1" applyProtection="1">
      <alignment horizontal="center" vertical="center" wrapText="1"/>
    </xf>
    <xf numFmtId="10" fontId="67" fillId="8" borderId="67" xfId="0" applyNumberFormat="1" applyFont="1" applyFill="1" applyBorder="1" applyAlignment="1" applyProtection="1">
      <alignment horizontal="center" vertical="center" wrapText="1"/>
    </xf>
    <xf numFmtId="10" fontId="67" fillId="8" borderId="5" xfId="0" applyNumberFormat="1" applyFont="1" applyFill="1" applyBorder="1" applyAlignment="1" applyProtection="1">
      <alignment horizontal="center" vertical="center" wrapText="1"/>
    </xf>
    <xf numFmtId="2" fontId="17" fillId="0" borderId="56" xfId="0" applyNumberFormat="1" applyFont="1" applyBorder="1" applyAlignment="1" applyProtection="1">
      <alignment horizontal="center" vertical="center" wrapText="1"/>
    </xf>
    <xf numFmtId="2" fontId="17" fillId="0" borderId="11" xfId="0" applyNumberFormat="1" applyFont="1" applyBorder="1" applyAlignment="1" applyProtection="1">
      <alignment horizontal="justify" vertical="center" wrapText="1"/>
    </xf>
    <xf numFmtId="4" fontId="21" fillId="0" borderId="11" xfId="0" applyNumberFormat="1" applyFont="1" applyBorder="1" applyAlignment="1" applyProtection="1">
      <alignment horizontal="center" vertical="center" wrapText="1"/>
    </xf>
    <xf numFmtId="4" fontId="21" fillId="0" borderId="48" xfId="0" applyNumberFormat="1" applyFont="1" applyBorder="1" applyAlignment="1" applyProtection="1">
      <alignment horizontal="center" vertical="center" wrapText="1"/>
    </xf>
    <xf numFmtId="4" fontId="21" fillId="0" borderId="67" xfId="0" applyNumberFormat="1" applyFont="1" applyBorder="1" applyAlignment="1" applyProtection="1">
      <alignment horizontal="center" vertical="center" wrapText="1"/>
    </xf>
    <xf numFmtId="4" fontId="21" fillId="0" borderId="5" xfId="0" applyNumberFormat="1" applyFont="1" applyBorder="1" applyAlignment="1" applyProtection="1">
      <alignment horizontal="center" vertical="center" wrapText="1"/>
    </xf>
    <xf numFmtId="2" fontId="17" fillId="0" borderId="102" xfId="0" applyNumberFormat="1" applyFont="1" applyBorder="1" applyAlignment="1" applyProtection="1">
      <alignment horizontal="center" vertical="center" wrapText="1"/>
    </xf>
    <xf numFmtId="2" fontId="17" fillId="0" borderId="82" xfId="0" applyNumberFormat="1" applyFont="1" applyBorder="1" applyAlignment="1" applyProtection="1">
      <alignment horizontal="center" vertical="center" wrapText="1"/>
    </xf>
    <xf numFmtId="175" fontId="17" fillId="0" borderId="56" xfId="0" applyNumberFormat="1" applyFont="1" applyBorder="1" applyAlignment="1" applyProtection="1">
      <alignment horizontal="center" vertical="center" wrapText="1"/>
    </xf>
    <xf numFmtId="175" fontId="17" fillId="0" borderId="11" xfId="0" applyNumberFormat="1" applyFont="1" applyBorder="1" applyAlignment="1" applyProtection="1">
      <alignment horizontal="justify" vertical="center" wrapText="1"/>
    </xf>
    <xf numFmtId="175" fontId="17" fillId="0" borderId="102" xfId="0" applyNumberFormat="1" applyFont="1" applyBorder="1" applyAlignment="1" applyProtection="1">
      <alignment horizontal="center" vertical="center" wrapText="1"/>
    </xf>
    <xf numFmtId="175" fontId="17" fillId="0" borderId="46" xfId="0" applyNumberFormat="1" applyFont="1" applyBorder="1" applyAlignment="1" applyProtection="1">
      <alignment horizontal="justify" vertical="center" wrapText="1"/>
    </xf>
    <xf numFmtId="175" fontId="17" fillId="0" borderId="82" xfId="0" applyNumberFormat="1" applyFont="1" applyBorder="1" applyAlignment="1" applyProtection="1">
      <alignment horizontal="center" vertical="center" wrapText="1"/>
    </xf>
    <xf numFmtId="175" fontId="17" fillId="0" borderId="3" xfId="0" applyNumberFormat="1" applyFont="1" applyBorder="1" applyAlignment="1" applyProtection="1">
      <alignment horizontal="justify" vertical="center" wrapText="1"/>
    </xf>
    <xf numFmtId="175" fontId="17" fillId="8" borderId="56" xfId="0" applyNumberFormat="1" applyFont="1" applyFill="1" applyBorder="1" applyAlignment="1" applyProtection="1">
      <alignment horizontal="center" vertical="center" wrapText="1"/>
    </xf>
    <xf numFmtId="175" fontId="17" fillId="8" borderId="11" xfId="0" applyNumberFormat="1" applyFont="1" applyFill="1" applyBorder="1" applyAlignment="1" applyProtection="1">
      <alignment horizontal="justify" vertical="center" wrapText="1"/>
    </xf>
    <xf numFmtId="175" fontId="17" fillId="8" borderId="102" xfId="0" applyNumberFormat="1" applyFont="1" applyFill="1" applyBorder="1" applyAlignment="1" applyProtection="1">
      <alignment horizontal="center" vertical="center" wrapText="1"/>
    </xf>
    <xf numFmtId="175" fontId="17" fillId="8" borderId="46" xfId="0" applyNumberFormat="1" applyFont="1" applyFill="1" applyBorder="1" applyAlignment="1" applyProtection="1">
      <alignment horizontal="justify" vertical="center" wrapText="1"/>
    </xf>
    <xf numFmtId="175" fontId="17" fillId="8" borderId="82" xfId="0" applyNumberFormat="1" applyFont="1" applyFill="1" applyBorder="1" applyAlignment="1" applyProtection="1">
      <alignment horizontal="center" vertical="center" wrapText="1"/>
    </xf>
    <xf numFmtId="175" fontId="17" fillId="8" borderId="3" xfId="0" applyNumberFormat="1" applyFont="1" applyFill="1" applyBorder="1" applyAlignment="1" applyProtection="1">
      <alignment horizontal="justify" vertical="center" wrapText="1"/>
    </xf>
    <xf numFmtId="2" fontId="17" fillId="0" borderId="121" xfId="0" applyNumberFormat="1" applyFont="1" applyBorder="1" applyAlignment="1" applyProtection="1">
      <alignment horizontal="center" vertical="center" wrapText="1"/>
    </xf>
    <xf numFmtId="2" fontId="17" fillId="0" borderId="120" xfId="0" applyNumberFormat="1" applyFont="1" applyBorder="1" applyAlignment="1" applyProtection="1">
      <alignment horizontal="justify" vertical="center" wrapText="1"/>
    </xf>
    <xf numFmtId="10" fontId="21" fillId="0" borderId="61" xfId="0" applyNumberFormat="1" applyFont="1" applyBorder="1" applyAlignment="1" applyProtection="1">
      <alignment horizontal="center" vertical="center" wrapText="1"/>
    </xf>
    <xf numFmtId="10" fontId="67" fillId="0" borderId="83" xfId="0" applyNumberFormat="1" applyFont="1" applyBorder="1" applyAlignment="1" applyProtection="1">
      <alignment horizontal="center" vertical="center" wrapText="1"/>
    </xf>
    <xf numFmtId="10" fontId="67" fillId="0" borderId="84" xfId="0" applyNumberFormat="1" applyFont="1" applyBorder="1" applyAlignment="1" applyProtection="1">
      <alignment horizontal="center" vertical="center" wrapText="1"/>
    </xf>
    <xf numFmtId="10" fontId="67" fillId="0" borderId="119" xfId="0" applyNumberFormat="1" applyFont="1" applyBorder="1" applyAlignment="1" applyProtection="1">
      <alignment horizontal="center" vertical="center" wrapText="1"/>
    </xf>
    <xf numFmtId="0" fontId="17" fillId="0" borderId="51" xfId="0" applyFont="1" applyBorder="1" applyAlignment="1" applyProtection="1">
      <alignment vertical="center"/>
    </xf>
    <xf numFmtId="40" fontId="10" fillId="0" borderId="0" xfId="0" applyNumberFormat="1" applyFont="1" applyAlignment="1" applyProtection="1">
      <alignment horizontal="center"/>
    </xf>
    <xf numFmtId="182" fontId="10" fillId="0" borderId="0" xfId="0" applyNumberFormat="1" applyFont="1" applyAlignment="1" applyProtection="1">
      <alignment horizontal="center"/>
    </xf>
    <xf numFmtId="176" fontId="17" fillId="0" borderId="0" xfId="0" applyNumberFormat="1" applyFont="1" applyAlignment="1" applyProtection="1">
      <alignment horizontal="center" vertical="center" wrapText="1"/>
    </xf>
    <xf numFmtId="176" fontId="17" fillId="0" borderId="76" xfId="0" applyNumberFormat="1" applyFont="1" applyBorder="1" applyAlignment="1" applyProtection="1">
      <alignment horizontal="center" vertical="center" wrapText="1"/>
    </xf>
    <xf numFmtId="44" fontId="17" fillId="0" borderId="74" xfId="0" applyNumberFormat="1" applyFont="1" applyBorder="1" applyAlignment="1" applyProtection="1">
      <alignment horizontal="center" vertical="center"/>
    </xf>
    <xf numFmtId="44" fontId="17" fillId="0" borderId="80" xfId="0" applyNumberFormat="1" applyFont="1" applyBorder="1" applyAlignment="1" applyProtection="1">
      <alignment horizontal="center" vertical="center"/>
    </xf>
    <xf numFmtId="44" fontId="17" fillId="0" borderId="73" xfId="0" applyNumberFormat="1" applyFont="1" applyBorder="1" applyAlignment="1" applyProtection="1">
      <alignment horizontal="center" vertical="center"/>
    </xf>
    <xf numFmtId="44" fontId="17" fillId="3" borderId="74" xfId="0" applyNumberFormat="1" applyFont="1" applyFill="1" applyBorder="1" applyAlignment="1" applyProtection="1">
      <alignment horizontal="center" vertical="center"/>
    </xf>
    <xf numFmtId="44" fontId="17" fillId="3" borderId="80" xfId="0" applyNumberFormat="1" applyFont="1" applyFill="1" applyBorder="1" applyAlignment="1" applyProtection="1">
      <alignment horizontal="center" vertical="center"/>
    </xf>
    <xf numFmtId="44" fontId="17" fillId="3" borderId="73" xfId="0" applyNumberFormat="1" applyFont="1" applyFill="1" applyBorder="1" applyAlignment="1" applyProtection="1">
      <alignment horizontal="center" vertical="center"/>
    </xf>
    <xf numFmtId="0" fontId="17" fillId="0" borderId="0" xfId="0" applyFont="1" applyAlignment="1" applyProtection="1">
      <alignment vertical="center"/>
    </xf>
    <xf numFmtId="176" fontId="17" fillId="0" borderId="0" xfId="0" applyNumberFormat="1" applyFont="1" applyAlignment="1" applyProtection="1">
      <alignment horizontal="center" vertical="center"/>
    </xf>
    <xf numFmtId="176" fontId="17" fillId="0" borderId="76" xfId="0" applyNumberFormat="1" applyFont="1" applyBorder="1" applyAlignment="1" applyProtection="1">
      <alignment horizontal="center" vertical="center"/>
    </xf>
    <xf numFmtId="176" fontId="10" fillId="0" borderId="59" xfId="0" applyNumberFormat="1" applyFont="1" applyBorder="1" applyAlignment="1" applyProtection="1">
      <alignment horizontal="center" vertical="center"/>
    </xf>
    <xf numFmtId="44" fontId="17" fillId="0" borderId="123" xfId="0" applyNumberFormat="1" applyFont="1" applyBorder="1" applyAlignment="1" applyProtection="1">
      <alignment horizontal="center" vertical="center"/>
    </xf>
    <xf numFmtId="176" fontId="10" fillId="0" borderId="60" xfId="0" applyNumberFormat="1" applyFont="1" applyBorder="1" applyAlignment="1" applyProtection="1">
      <alignment horizontal="center" vertical="center"/>
    </xf>
    <xf numFmtId="4" fontId="10" fillId="0" borderId="4" xfId="0" applyNumberFormat="1" applyFont="1" applyBorder="1" applyAlignment="1" applyProtection="1">
      <alignment horizontal="center" vertical="center"/>
    </xf>
    <xf numFmtId="4" fontId="10" fillId="0" borderId="48" xfId="0" applyNumberFormat="1" applyFont="1" applyBorder="1" applyAlignment="1" applyProtection="1">
      <alignment horizontal="center" vertical="center"/>
    </xf>
    <xf numFmtId="4" fontId="10" fillId="0" borderId="5" xfId="0" applyNumberFormat="1" applyFont="1" applyBorder="1" applyAlignment="1" applyProtection="1">
      <alignment horizontal="center" vertical="center"/>
    </xf>
    <xf numFmtId="4" fontId="10" fillId="0" borderId="54" xfId="0" applyNumberFormat="1" applyFont="1" applyBorder="1" applyAlignment="1" applyProtection="1">
      <alignment horizontal="center" vertical="center"/>
    </xf>
    <xf numFmtId="44" fontId="17" fillId="0" borderId="48" xfId="0" applyNumberFormat="1" applyFont="1" applyBorder="1" applyAlignment="1" applyProtection="1">
      <alignment horizontal="center" vertical="center"/>
    </xf>
    <xf numFmtId="44" fontId="17" fillId="0" borderId="67" xfId="0" applyNumberFormat="1" applyFont="1" applyBorder="1" applyAlignment="1" applyProtection="1">
      <alignment horizontal="center" vertical="center"/>
    </xf>
    <xf numFmtId="44" fontId="17" fillId="0" borderId="5" xfId="0" applyNumberFormat="1" applyFont="1" applyBorder="1" applyAlignment="1" applyProtection="1">
      <alignment horizontal="center" vertical="center"/>
    </xf>
    <xf numFmtId="44" fontId="17" fillId="0" borderId="125" xfId="0" applyNumberFormat="1" applyFont="1" applyBorder="1" applyAlignment="1" applyProtection="1">
      <alignment horizontal="center" vertical="center"/>
    </xf>
    <xf numFmtId="176" fontId="10" fillId="0" borderId="58" xfId="0" applyNumberFormat="1" applyFont="1" applyBorder="1" applyAlignment="1" applyProtection="1">
      <alignment horizontal="center" vertical="center"/>
    </xf>
    <xf numFmtId="4" fontId="10" fillId="0" borderId="61" xfId="0" applyNumberFormat="1" applyFont="1" applyBorder="1" applyAlignment="1" applyProtection="1">
      <alignment horizontal="center" vertical="center"/>
    </xf>
    <xf numFmtId="4" fontId="10" fillId="0" borderId="55" xfId="0" applyNumberFormat="1" applyFont="1" applyBorder="1" applyAlignment="1" applyProtection="1">
      <alignment horizontal="center" vertical="center"/>
    </xf>
    <xf numFmtId="4" fontId="17" fillId="0" borderId="0" xfId="0" applyNumberFormat="1" applyFont="1" applyAlignment="1" applyProtection="1">
      <alignment horizontal="center" vertical="center"/>
    </xf>
    <xf numFmtId="0" fontId="17" fillId="0" borderId="0" xfId="0" applyFont="1" applyAlignment="1" applyProtection="1">
      <alignment horizontal="center" vertical="center"/>
    </xf>
    <xf numFmtId="170" fontId="17" fillId="0" borderId="0" xfId="0" applyNumberFormat="1" applyFont="1" applyAlignment="1" applyProtection="1">
      <alignment horizontal="center" vertical="center"/>
    </xf>
    <xf numFmtId="44" fontId="32" fillId="0" borderId="0" xfId="4" applyFont="1" applyAlignment="1" applyProtection="1">
      <alignment horizontal="center"/>
    </xf>
    <xf numFmtId="164" fontId="32" fillId="0" borderId="0" xfId="0" applyNumberFormat="1" applyFont="1" applyAlignment="1" applyProtection="1">
      <alignment horizontal="center"/>
    </xf>
    <xf numFmtId="168" fontId="21" fillId="5" borderId="59" xfId="0" applyNumberFormat="1" applyFont="1" applyFill="1" applyBorder="1" applyAlignment="1" applyProtection="1">
      <alignment horizontal="center" vertical="center" wrapText="1"/>
    </xf>
    <xf numFmtId="168" fontId="21" fillId="5" borderId="126" xfId="0" applyNumberFormat="1" applyFont="1" applyFill="1" applyBorder="1" applyAlignment="1" applyProtection="1">
      <alignment horizontal="center" vertical="center" wrapText="1"/>
    </xf>
    <xf numFmtId="168" fontId="21" fillId="5" borderId="127" xfId="0" applyNumberFormat="1" applyFont="1" applyFill="1" applyBorder="1" applyAlignment="1" applyProtection="1">
      <alignment horizontal="center" vertical="center" wrapText="1"/>
    </xf>
    <xf numFmtId="0" fontId="17" fillId="0" borderId="0" xfId="0" applyFont="1" applyAlignment="1" applyProtection="1">
      <alignment horizontal="center" vertical="center"/>
    </xf>
    <xf numFmtId="168" fontId="32" fillId="0" borderId="0" xfId="0" applyNumberFormat="1" applyFont="1" applyAlignment="1" applyProtection="1">
      <alignment vertical="center"/>
    </xf>
    <xf numFmtId="171" fontId="32" fillId="0" borderId="0" xfId="0" applyNumberFormat="1" applyFont="1" applyAlignment="1" applyProtection="1">
      <alignment horizontal="center" vertical="center"/>
    </xf>
    <xf numFmtId="168" fontId="32" fillId="0" borderId="0" xfId="0" applyNumberFormat="1" applyFont="1" applyAlignment="1" applyProtection="1">
      <alignment horizontal="center" vertical="center"/>
    </xf>
    <xf numFmtId="0" fontId="32" fillId="0" borderId="0" xfId="0" applyFont="1" applyAlignment="1" applyProtection="1">
      <alignment horizontal="center" vertical="center"/>
    </xf>
    <xf numFmtId="0" fontId="74" fillId="9" borderId="0" xfId="0" applyFont="1" applyFill="1" applyAlignment="1" applyProtection="1">
      <alignment horizontal="center" vertical="center"/>
      <protection locked="0"/>
    </xf>
    <xf numFmtId="176" fontId="47" fillId="0" borderId="0" xfId="0" applyNumberFormat="1" applyFont="1" applyAlignment="1" applyProtection="1">
      <alignment vertical="center"/>
    </xf>
    <xf numFmtId="176" fontId="46" fillId="3" borderId="12" xfId="0" applyNumberFormat="1" applyFont="1" applyFill="1" applyBorder="1" applyAlignment="1" applyProtection="1">
      <alignment vertical="center"/>
    </xf>
    <xf numFmtId="176" fontId="46" fillId="3" borderId="0" xfId="0" applyNumberFormat="1" applyFont="1" applyFill="1" applyAlignment="1" applyProtection="1">
      <alignment vertical="center"/>
    </xf>
    <xf numFmtId="176" fontId="46" fillId="3" borderId="13" xfId="0" applyNumberFormat="1" applyFont="1" applyFill="1" applyBorder="1" applyAlignment="1" applyProtection="1">
      <alignment vertical="center"/>
    </xf>
    <xf numFmtId="176" fontId="20" fillId="3" borderId="12" xfId="0" applyNumberFormat="1" applyFont="1" applyFill="1" applyBorder="1" applyAlignment="1" applyProtection="1">
      <alignment horizontal="center" vertical="center"/>
    </xf>
    <xf numFmtId="176" fontId="20" fillId="3" borderId="13" xfId="0" applyNumberFormat="1" applyFont="1" applyFill="1" applyBorder="1" applyAlignment="1" applyProtection="1">
      <alignment horizontal="center" vertical="center"/>
    </xf>
    <xf numFmtId="176" fontId="46" fillId="3" borderId="29" xfId="0" applyNumberFormat="1" applyFont="1" applyFill="1" applyBorder="1" applyAlignment="1" applyProtection="1">
      <alignment horizontal="center" vertical="center"/>
    </xf>
    <xf numFmtId="176" fontId="46" fillId="3" borderId="20" xfId="0" applyNumberFormat="1" applyFont="1" applyFill="1" applyBorder="1" applyAlignment="1" applyProtection="1">
      <alignment horizontal="justify" vertical="center"/>
    </xf>
    <xf numFmtId="176" fontId="46" fillId="3" borderId="20" xfId="0" applyNumberFormat="1" applyFont="1" applyFill="1" applyBorder="1" applyAlignment="1" applyProtection="1">
      <alignment horizontal="center" vertical="center"/>
    </xf>
    <xf numFmtId="4" fontId="46" fillId="3" borderId="20" xfId="0" applyNumberFormat="1" applyFont="1" applyFill="1" applyBorder="1" applyAlignment="1" applyProtection="1">
      <alignment horizontal="center" vertical="center"/>
    </xf>
    <xf numFmtId="167" fontId="46" fillId="3" borderId="20" xfId="0" applyNumberFormat="1" applyFont="1" applyFill="1" applyBorder="1" applyAlignment="1" applyProtection="1">
      <alignment vertical="center"/>
    </xf>
    <xf numFmtId="2" fontId="46" fillId="3" borderId="20" xfId="0" applyNumberFormat="1" applyFont="1" applyFill="1" applyBorder="1" applyAlignment="1" applyProtection="1">
      <alignment horizontal="center" vertical="center"/>
    </xf>
    <xf numFmtId="2" fontId="46" fillId="3" borderId="20" xfId="17" applyNumberFormat="1" applyFont="1" applyFill="1" applyBorder="1" applyAlignment="1" applyProtection="1">
      <alignment horizontal="center" vertical="center"/>
    </xf>
    <xf numFmtId="172" fontId="47" fillId="3" borderId="30" xfId="17" applyNumberFormat="1" applyFont="1" applyFill="1" applyBorder="1" applyAlignment="1" applyProtection="1">
      <alignment horizontal="center" vertical="center"/>
    </xf>
    <xf numFmtId="169" fontId="18" fillId="3" borderId="21" xfId="0" applyNumberFormat="1" applyFont="1" applyFill="1" applyBorder="1" applyAlignment="1" applyProtection="1">
      <alignment vertical="center"/>
    </xf>
    <xf numFmtId="169" fontId="18" fillId="3" borderId="10" xfId="0" applyNumberFormat="1" applyFont="1" applyFill="1" applyBorder="1" applyAlignment="1" applyProtection="1">
      <alignment vertical="center"/>
    </xf>
    <xf numFmtId="169" fontId="18" fillId="3" borderId="28" xfId="0" applyNumberFormat="1" applyFont="1" applyFill="1" applyBorder="1" applyAlignment="1" applyProtection="1">
      <alignment vertical="center"/>
    </xf>
    <xf numFmtId="176" fontId="46" fillId="0" borderId="12" xfId="0" applyNumberFormat="1" applyFont="1" applyBorder="1" applyAlignment="1" applyProtection="1">
      <alignment horizontal="center" vertical="center"/>
    </xf>
    <xf numFmtId="176" fontId="45" fillId="0" borderId="99" xfId="0" applyNumberFormat="1" applyFont="1" applyBorder="1" applyAlignment="1" applyProtection="1">
      <alignment horizontal="justify" vertical="center"/>
    </xf>
    <xf numFmtId="176" fontId="46" fillId="0" borderId="110" xfId="0" applyNumberFormat="1" applyFont="1" applyBorder="1" applyAlignment="1" applyProtection="1">
      <alignment horizontal="center" vertical="center"/>
    </xf>
    <xf numFmtId="4" fontId="46" fillId="0" borderId="110" xfId="0" applyNumberFormat="1" applyFont="1" applyBorder="1" applyAlignment="1" applyProtection="1">
      <alignment horizontal="center" vertical="center"/>
    </xf>
    <xf numFmtId="176" fontId="46" fillId="0" borderId="110" xfId="0" applyNumberFormat="1" applyFont="1" applyBorder="1" applyAlignment="1" applyProtection="1">
      <alignment vertical="center"/>
    </xf>
    <xf numFmtId="4" fontId="18" fillId="0" borderId="25" xfId="0" applyNumberFormat="1" applyFont="1" applyBorder="1" applyAlignment="1" applyProtection="1">
      <alignment horizontal="justify" vertical="center"/>
    </xf>
    <xf numFmtId="4" fontId="18" fillId="0" borderId="26" xfId="0" applyNumberFormat="1" applyFont="1" applyBorder="1" applyAlignment="1" applyProtection="1">
      <alignment horizontal="justify" vertical="center"/>
    </xf>
    <xf numFmtId="4" fontId="18" fillId="0" borderId="27" xfId="0" applyNumberFormat="1" applyFont="1" applyBorder="1" applyAlignment="1" applyProtection="1">
      <alignment horizontal="justify" vertical="center"/>
    </xf>
    <xf numFmtId="176" fontId="45" fillId="0" borderId="101" xfId="0" applyNumberFormat="1" applyFont="1" applyBorder="1" applyAlignment="1" applyProtection="1">
      <alignment horizontal="justify" vertical="center"/>
    </xf>
    <xf numFmtId="176" fontId="46" fillId="0" borderId="112" xfId="0" applyNumberFormat="1" applyFont="1" applyBorder="1" applyAlignment="1" applyProtection="1">
      <alignment horizontal="center" vertical="center"/>
    </xf>
    <xf numFmtId="4" fontId="46" fillId="0" borderId="112" xfId="0" applyNumberFormat="1" applyFont="1" applyBorder="1" applyAlignment="1" applyProtection="1">
      <alignment horizontal="center" vertical="center"/>
    </xf>
    <xf numFmtId="176" fontId="46" fillId="0" borderId="112" xfId="0" applyNumberFormat="1" applyFont="1" applyBorder="1" applyAlignment="1" applyProtection="1">
      <alignment vertical="center"/>
    </xf>
    <xf numFmtId="4" fontId="18" fillId="0" borderId="29" xfId="0" applyNumberFormat="1" applyFont="1" applyBorder="1" applyAlignment="1" applyProtection="1">
      <alignment horizontal="justify" vertical="center"/>
    </xf>
    <xf numFmtId="4" fontId="18" fillId="0" borderId="20" xfId="0" applyNumberFormat="1" applyFont="1" applyBorder="1" applyAlignment="1" applyProtection="1">
      <alignment horizontal="justify" vertical="center"/>
    </xf>
    <xf numFmtId="4" fontId="18" fillId="0" borderId="30" xfId="0" applyNumberFormat="1" applyFont="1" applyBorder="1" applyAlignment="1" applyProtection="1">
      <alignment horizontal="justify" vertical="center"/>
    </xf>
    <xf numFmtId="169" fontId="45" fillId="8" borderId="8" xfId="0" applyNumberFormat="1" applyFont="1" applyFill="1" applyBorder="1" applyAlignment="1" applyProtection="1">
      <alignment horizontal="center" vertical="center"/>
    </xf>
    <xf numFmtId="176" fontId="45" fillId="8" borderId="6" xfId="0" applyNumberFormat="1" applyFont="1" applyFill="1" applyBorder="1" applyAlignment="1" applyProtection="1">
      <alignment horizontal="justify" vertical="center"/>
    </xf>
    <xf numFmtId="176" fontId="45" fillId="8" borderId="6" xfId="0" applyNumberFormat="1" applyFont="1" applyFill="1" applyBorder="1" applyAlignment="1" applyProtection="1">
      <alignment horizontal="center" vertical="center"/>
    </xf>
    <xf numFmtId="4" fontId="45" fillId="8" borderId="6" xfId="0" applyNumberFormat="1" applyFont="1" applyFill="1" applyBorder="1" applyAlignment="1" applyProtection="1">
      <alignment horizontal="center" vertical="center"/>
    </xf>
    <xf numFmtId="167" fontId="45" fillId="8" borderId="63" xfId="0" applyNumberFormat="1" applyFont="1" applyFill="1" applyBorder="1" applyAlignment="1" applyProtection="1">
      <alignment horizontal="center" vertical="center"/>
    </xf>
    <xf numFmtId="4" fontId="45" fillId="8" borderId="8" xfId="0" applyNumberFormat="1" applyFont="1" applyFill="1" applyBorder="1" applyAlignment="1" applyProtection="1">
      <alignment horizontal="center" vertical="center"/>
    </xf>
    <xf numFmtId="4" fontId="45" fillId="8" borderId="6" xfId="0" applyNumberFormat="1" applyFont="1" applyFill="1" applyBorder="1" applyAlignment="1" applyProtection="1">
      <alignment horizontal="center" vertical="center"/>
    </xf>
    <xf numFmtId="4" fontId="45" fillId="8" borderId="15" xfId="0" applyNumberFormat="1" applyFont="1" applyFill="1" applyBorder="1" applyAlignment="1" applyProtection="1">
      <alignment horizontal="center" vertical="center"/>
    </xf>
    <xf numFmtId="4" fontId="45" fillId="8" borderId="69" xfId="0" applyNumberFormat="1" applyFont="1" applyFill="1" applyBorder="1" applyAlignment="1" applyProtection="1">
      <alignment horizontal="center" vertical="center"/>
    </xf>
    <xf numFmtId="4" fontId="45" fillId="8" borderId="63" xfId="0" applyNumberFormat="1" applyFont="1" applyFill="1" applyBorder="1" applyAlignment="1" applyProtection="1">
      <alignment horizontal="center" vertical="center"/>
    </xf>
    <xf numFmtId="167" fontId="45" fillId="8" borderId="6" xfId="0" applyNumberFormat="1" applyFont="1" applyFill="1" applyBorder="1" applyAlignment="1" applyProtection="1">
      <alignment horizontal="center" vertical="center"/>
    </xf>
    <xf numFmtId="10" fontId="48" fillId="8" borderId="15" xfId="0" applyNumberFormat="1" applyFont="1" applyFill="1" applyBorder="1" applyAlignment="1" applyProtection="1">
      <alignment horizontal="center" vertical="center"/>
    </xf>
    <xf numFmtId="0" fontId="49" fillId="0" borderId="0" xfId="0" applyFont="1" applyAlignment="1" applyProtection="1">
      <alignment vertical="center"/>
    </xf>
    <xf numFmtId="176" fontId="45" fillId="8" borderId="47" xfId="0" applyNumberFormat="1" applyFont="1" applyFill="1" applyBorder="1" applyAlignment="1" applyProtection="1">
      <alignment horizontal="center" vertical="center"/>
    </xf>
    <xf numFmtId="176" fontId="45" fillId="8" borderId="7" xfId="0" applyNumberFormat="1" applyFont="1" applyFill="1" applyBorder="1" applyAlignment="1" applyProtection="1">
      <alignment horizontal="justify" vertical="center"/>
    </xf>
    <xf numFmtId="176" fontId="45" fillId="8" borderId="7" xfId="0" applyNumberFormat="1" applyFont="1" applyFill="1" applyBorder="1" applyAlignment="1" applyProtection="1">
      <alignment horizontal="center" vertical="center"/>
    </xf>
    <xf numFmtId="4" fontId="45" fillId="8" borderId="7" xfId="0" applyNumberFormat="1" applyFont="1" applyFill="1" applyBorder="1" applyAlignment="1" applyProtection="1">
      <alignment horizontal="center" vertical="center"/>
    </xf>
    <xf numFmtId="167" fontId="45" fillId="8" borderId="64" xfId="0" applyNumberFormat="1" applyFont="1" applyFill="1" applyBorder="1" applyAlignment="1" applyProtection="1">
      <alignment horizontal="center" vertical="center"/>
    </xf>
    <xf numFmtId="4" fontId="45" fillId="8" borderId="47" xfId="0" applyNumberFormat="1" applyFont="1" applyFill="1" applyBorder="1" applyAlignment="1" applyProtection="1">
      <alignment horizontal="center" vertical="center"/>
    </xf>
    <xf numFmtId="4" fontId="45" fillId="8" borderId="7" xfId="0" applyNumberFormat="1" applyFont="1" applyFill="1" applyBorder="1" applyAlignment="1" applyProtection="1">
      <alignment horizontal="center" vertical="center"/>
    </xf>
    <xf numFmtId="4" fontId="45" fillId="8" borderId="33" xfId="0" applyNumberFormat="1" applyFont="1" applyFill="1" applyBorder="1" applyAlignment="1" applyProtection="1">
      <alignment horizontal="center" vertical="center"/>
    </xf>
    <xf numFmtId="4" fontId="18" fillId="8" borderId="70" xfId="0" applyNumberFormat="1" applyFont="1" applyFill="1" applyBorder="1" applyAlignment="1" applyProtection="1">
      <alignment horizontal="center" vertical="center"/>
    </xf>
    <xf numFmtId="4" fontId="18" fillId="8" borderId="7" xfId="0" applyNumberFormat="1" applyFont="1" applyFill="1" applyBorder="1" applyAlignment="1" applyProtection="1">
      <alignment horizontal="center" vertical="center"/>
    </xf>
    <xf numFmtId="4" fontId="18" fillId="8" borderId="64" xfId="0" applyNumberFormat="1" applyFont="1" applyFill="1" applyBorder="1" applyAlignment="1" applyProtection="1">
      <alignment horizontal="center" vertical="center"/>
    </xf>
    <xf numFmtId="167" fontId="45" fillId="8" borderId="7" xfId="0" applyNumberFormat="1" applyFont="1" applyFill="1" applyBorder="1" applyAlignment="1" applyProtection="1">
      <alignment horizontal="center" vertical="center"/>
    </xf>
    <xf numFmtId="10" fontId="48" fillId="8" borderId="33" xfId="0" applyNumberFormat="1" applyFont="1" applyFill="1" applyBorder="1" applyAlignment="1" applyProtection="1">
      <alignment horizontal="center" vertical="center"/>
    </xf>
    <xf numFmtId="176" fontId="45" fillId="3" borderId="0" xfId="0" applyNumberFormat="1" applyFont="1" applyFill="1" applyAlignment="1" applyProtection="1">
      <alignment vertical="center"/>
    </xf>
    <xf numFmtId="176" fontId="45" fillId="3" borderId="0" xfId="0" applyNumberFormat="1" applyFont="1" applyFill="1" applyAlignment="1" applyProtection="1">
      <alignment horizontal="center" vertical="center"/>
    </xf>
    <xf numFmtId="169" fontId="45" fillId="8" borderId="6" xfId="0" applyNumberFormat="1" applyFont="1" applyFill="1" applyBorder="1" applyAlignment="1" applyProtection="1">
      <alignment horizontal="justify" vertical="center" wrapText="1"/>
    </xf>
    <xf numFmtId="176" fontId="45" fillId="8" borderId="63" xfId="0" applyNumberFormat="1" applyFont="1" applyFill="1" applyBorder="1" applyAlignment="1" applyProtection="1">
      <alignment horizontal="center" vertical="center"/>
    </xf>
    <xf numFmtId="167" fontId="45" fillId="8" borderId="8" xfId="0" applyNumberFormat="1" applyFont="1" applyFill="1" applyBorder="1" applyAlignment="1" applyProtection="1">
      <alignment horizontal="center" vertical="center"/>
    </xf>
    <xf numFmtId="167" fontId="45" fillId="8" borderId="87" xfId="0" applyNumberFormat="1" applyFont="1" applyFill="1" applyBorder="1" applyAlignment="1" applyProtection="1">
      <alignment horizontal="center" vertical="center"/>
    </xf>
    <xf numFmtId="167" fontId="45" fillId="8" borderId="69" xfId="0" applyNumberFormat="1" applyFont="1" applyFill="1" applyBorder="1" applyAlignment="1" applyProtection="1">
      <alignment horizontal="center" vertical="center"/>
    </xf>
    <xf numFmtId="169" fontId="45" fillId="8" borderId="9" xfId="0" applyNumberFormat="1" applyFont="1" applyFill="1" applyBorder="1" applyAlignment="1" applyProtection="1">
      <alignment horizontal="center" vertical="center"/>
    </xf>
    <xf numFmtId="169" fontId="45" fillId="8" borderId="4" xfId="0" applyNumberFormat="1" applyFont="1" applyFill="1" applyBorder="1" applyAlignment="1" applyProtection="1">
      <alignment horizontal="justify" vertical="center" wrapText="1"/>
    </xf>
    <xf numFmtId="176" fontId="45" fillId="8" borderId="4" xfId="0" applyNumberFormat="1" applyFont="1" applyFill="1" applyBorder="1" applyAlignment="1" applyProtection="1">
      <alignment horizontal="center" vertical="center"/>
    </xf>
    <xf numFmtId="176" fontId="45" fillId="8" borderId="48" xfId="0" applyNumberFormat="1" applyFont="1" applyFill="1" applyBorder="1" applyAlignment="1" applyProtection="1">
      <alignment horizontal="center" vertical="center"/>
    </xf>
    <xf numFmtId="167" fontId="45" fillId="8" borderId="5" xfId="0" applyNumberFormat="1" applyFont="1" applyFill="1" applyBorder="1" applyAlignment="1" applyProtection="1">
      <alignment horizontal="center" vertical="center"/>
    </xf>
    <xf numFmtId="10" fontId="48" fillId="8" borderId="31" xfId="0" applyNumberFormat="1" applyFont="1" applyFill="1" applyBorder="1" applyAlignment="1" applyProtection="1">
      <alignment horizontal="center" vertical="center"/>
    </xf>
    <xf numFmtId="0" fontId="29" fillId="7" borderId="9" xfId="0" applyFont="1" applyFill="1" applyBorder="1" applyAlignment="1" applyProtection="1">
      <alignment horizontal="center" vertical="center" wrapText="1"/>
    </xf>
    <xf numFmtId="0" fontId="29" fillId="0" borderId="4" xfId="0" applyFont="1" applyBorder="1" applyAlignment="1" applyProtection="1">
      <alignment horizontal="justify" vertical="center" wrapText="1"/>
    </xf>
    <xf numFmtId="168" fontId="29" fillId="7" borderId="4" xfId="0" applyNumberFormat="1" applyFont="1" applyFill="1" applyBorder="1" applyAlignment="1" applyProtection="1">
      <alignment horizontal="center" vertical="center" wrapText="1"/>
    </xf>
    <xf numFmtId="4" fontId="29" fillId="0" borderId="4" xfId="0" applyNumberFormat="1" applyFont="1" applyBorder="1" applyAlignment="1" applyProtection="1">
      <alignment horizontal="center" vertical="center"/>
    </xf>
    <xf numFmtId="4" fontId="29" fillId="7" borderId="48" xfId="0" applyNumberFormat="1" applyFont="1" applyFill="1" applyBorder="1" applyAlignment="1" applyProtection="1">
      <alignment horizontal="center" vertical="center" wrapText="1"/>
    </xf>
    <xf numFmtId="4" fontId="29" fillId="8" borderId="9" xfId="0" applyNumberFormat="1" applyFont="1" applyFill="1" applyBorder="1" applyAlignment="1" applyProtection="1">
      <alignment horizontal="center" vertical="center" wrapText="1"/>
    </xf>
    <xf numFmtId="4" fontId="29" fillId="8" borderId="4" xfId="0" applyNumberFormat="1" applyFont="1" applyFill="1" applyBorder="1" applyAlignment="1" applyProtection="1">
      <alignment horizontal="center" vertical="center" wrapText="1"/>
    </xf>
    <xf numFmtId="4" fontId="29" fillId="8" borderId="31" xfId="0" applyNumberFormat="1" applyFont="1" applyFill="1" applyBorder="1" applyAlignment="1" applyProtection="1">
      <alignment horizontal="center" vertical="center" wrapText="1"/>
    </xf>
    <xf numFmtId="40" fontId="29" fillId="8" borderId="50" xfId="0" applyNumberFormat="1" applyFont="1" applyFill="1" applyBorder="1" applyAlignment="1" applyProtection="1">
      <alignment horizontal="center" vertical="center" wrapText="1"/>
    </xf>
    <xf numFmtId="40" fontId="29" fillId="7" borderId="5" xfId="0" applyNumberFormat="1" applyFont="1" applyFill="1" applyBorder="1" applyAlignment="1" applyProtection="1">
      <alignment horizontal="center" vertical="center" wrapText="1"/>
    </xf>
    <xf numFmtId="10" fontId="10" fillId="7" borderId="31" xfId="0" applyNumberFormat="1" applyFont="1" applyFill="1" applyBorder="1" applyAlignment="1" applyProtection="1">
      <alignment horizontal="center" vertical="center" wrapText="1"/>
    </xf>
    <xf numFmtId="0" fontId="49" fillId="16" borderId="0" xfId="0" applyFont="1" applyFill="1" applyAlignment="1" applyProtection="1">
      <alignment vertical="center"/>
    </xf>
    <xf numFmtId="0" fontId="49" fillId="15" borderId="0" xfId="0" applyFont="1" applyFill="1" applyAlignment="1" applyProtection="1">
      <alignment vertical="center"/>
    </xf>
    <xf numFmtId="0" fontId="29" fillId="7" borderId="52" xfId="0" applyFont="1" applyFill="1" applyBorder="1" applyAlignment="1" applyProtection="1">
      <alignment horizontal="center" vertical="center" wrapText="1"/>
    </xf>
    <xf numFmtId="168" fontId="29" fillId="7" borderId="11" xfId="0" applyNumberFormat="1" applyFont="1" applyFill="1" applyBorder="1" applyAlignment="1" applyProtection="1">
      <alignment horizontal="center" vertical="center" wrapText="1"/>
    </xf>
    <xf numFmtId="4" fontId="29" fillId="8" borderId="52" xfId="0" applyNumberFormat="1" applyFont="1" applyFill="1" applyBorder="1" applyAlignment="1" applyProtection="1">
      <alignment horizontal="center" vertical="center" wrapText="1"/>
    </xf>
    <xf numFmtId="4" fontId="29" fillId="8" borderId="11" xfId="0" applyNumberFormat="1" applyFont="1" applyFill="1" applyBorder="1" applyAlignment="1" applyProtection="1">
      <alignment horizontal="center" vertical="center" wrapText="1"/>
    </xf>
    <xf numFmtId="4" fontId="29" fillId="8" borderId="32" xfId="0" applyNumberFormat="1" applyFont="1" applyFill="1" applyBorder="1" applyAlignment="1" applyProtection="1">
      <alignment horizontal="center" vertical="center" wrapText="1"/>
    </xf>
    <xf numFmtId="0" fontId="29" fillId="7" borderId="47" xfId="0" applyFont="1" applyFill="1" applyBorder="1" applyAlignment="1" applyProtection="1">
      <alignment horizontal="center" vertical="center" wrapText="1"/>
    </xf>
    <xf numFmtId="0" fontId="29" fillId="0" borderId="7" xfId="0" applyFont="1" applyBorder="1" applyAlignment="1" applyProtection="1">
      <alignment horizontal="justify" vertical="center" wrapText="1"/>
    </xf>
    <xf numFmtId="0" fontId="29" fillId="7" borderId="7" xfId="0" applyFont="1" applyFill="1" applyBorder="1" applyAlignment="1" applyProtection="1">
      <alignment horizontal="center" vertical="center"/>
    </xf>
    <xf numFmtId="4" fontId="29" fillId="0" borderId="7" xfId="0" applyNumberFormat="1" applyFont="1" applyBorder="1" applyAlignment="1" applyProtection="1">
      <alignment horizontal="center" vertical="center"/>
    </xf>
    <xf numFmtId="4" fontId="29" fillId="7" borderId="64" xfId="0" applyNumberFormat="1" applyFont="1" applyFill="1" applyBorder="1" applyAlignment="1" applyProtection="1">
      <alignment horizontal="center" vertical="center" wrapText="1"/>
    </xf>
    <xf numFmtId="4" fontId="29" fillId="8" borderId="47" xfId="0" applyNumberFormat="1" applyFont="1" applyFill="1" applyBorder="1" applyAlignment="1" applyProtection="1">
      <alignment horizontal="center" vertical="center" wrapText="1"/>
    </xf>
    <xf numFmtId="4" fontId="29" fillId="8" borderId="7" xfId="0" applyNumberFormat="1" applyFont="1" applyFill="1" applyBorder="1" applyAlignment="1" applyProtection="1">
      <alignment horizontal="center" vertical="center" wrapText="1"/>
    </xf>
    <xf numFmtId="4" fontId="29" fillId="8" borderId="33" xfId="0" applyNumberFormat="1" applyFont="1" applyFill="1" applyBorder="1" applyAlignment="1" applyProtection="1">
      <alignment horizontal="center" vertical="center" wrapText="1"/>
    </xf>
    <xf numFmtId="40" fontId="29" fillId="8" borderId="95" xfId="0" applyNumberFormat="1" applyFont="1" applyFill="1" applyBorder="1" applyAlignment="1" applyProtection="1">
      <alignment horizontal="center" vertical="center" wrapText="1"/>
    </xf>
    <xf numFmtId="10" fontId="10" fillId="7" borderId="33" xfId="0" applyNumberFormat="1" applyFont="1" applyFill="1" applyBorder="1" applyAlignment="1" applyProtection="1">
      <alignment horizontal="center" vertical="center" wrapText="1"/>
    </xf>
    <xf numFmtId="0" fontId="52" fillId="0" borderId="0" xfId="0" applyFont="1" applyAlignment="1" applyProtection="1">
      <alignment vertical="center" wrapText="1"/>
    </xf>
    <xf numFmtId="49" fontId="45" fillId="8" borderId="8" xfId="0" applyNumberFormat="1" applyFont="1" applyFill="1" applyBorder="1" applyAlignment="1" applyProtection="1">
      <alignment horizontal="center" vertical="center"/>
    </xf>
    <xf numFmtId="167" fontId="45" fillId="8" borderId="8" xfId="0" applyNumberFormat="1" applyFont="1" applyFill="1" applyBorder="1" applyAlignment="1" applyProtection="1">
      <alignment horizontal="center" vertical="center"/>
    </xf>
    <xf numFmtId="49" fontId="45" fillId="8" borderId="9" xfId="0" applyNumberFormat="1" applyFont="1" applyFill="1" applyBorder="1" applyAlignment="1" applyProtection="1">
      <alignment horizontal="center" vertical="center"/>
    </xf>
    <xf numFmtId="167" fontId="45" fillId="8" borderId="9" xfId="0" applyNumberFormat="1" applyFont="1" applyFill="1" applyBorder="1" applyAlignment="1" applyProtection="1">
      <alignment horizontal="center" vertical="center"/>
    </xf>
    <xf numFmtId="49" fontId="18" fillId="0" borderId="9" xfId="0" applyNumberFormat="1" applyFont="1" applyBorder="1" applyAlignment="1" applyProtection="1">
      <alignment horizontal="center" vertical="center"/>
    </xf>
    <xf numFmtId="0" fontId="18" fillId="0" borderId="48" xfId="0" applyFont="1" applyBorder="1" applyAlignment="1" applyProtection="1">
      <alignment vertical="center" wrapText="1"/>
    </xf>
    <xf numFmtId="0" fontId="18" fillId="0" borderId="67" xfId="0" applyFont="1" applyBorder="1" applyAlignment="1" applyProtection="1">
      <alignment vertical="center" wrapText="1"/>
    </xf>
    <xf numFmtId="0" fontId="18" fillId="0" borderId="50" xfId="0" applyFont="1" applyBorder="1" applyAlignment="1" applyProtection="1">
      <alignment vertical="center" wrapText="1"/>
    </xf>
    <xf numFmtId="0" fontId="29" fillId="0" borderId="9" xfId="0" applyFont="1" applyBorder="1" applyAlignment="1" applyProtection="1">
      <alignment horizontal="center" vertical="center" wrapText="1"/>
    </xf>
    <xf numFmtId="0" fontId="29" fillId="0" borderId="4" xfId="0" applyFont="1" applyBorder="1" applyAlignment="1" applyProtection="1">
      <alignment horizontal="center" vertical="center"/>
    </xf>
    <xf numFmtId="4" fontId="29" fillId="0" borderId="48" xfId="0" applyNumberFormat="1" applyFont="1" applyBorder="1" applyAlignment="1" applyProtection="1">
      <alignment horizontal="center" vertical="center" wrapText="1"/>
    </xf>
    <xf numFmtId="4" fontId="29" fillId="8" borderId="48" xfId="0" applyNumberFormat="1" applyFont="1" applyFill="1" applyBorder="1" applyAlignment="1" applyProtection="1">
      <alignment horizontal="center" vertical="center" wrapText="1"/>
    </xf>
    <xf numFmtId="40" fontId="29" fillId="0" borderId="9" xfId="0" applyNumberFormat="1" applyFont="1" applyBorder="1" applyAlignment="1" applyProtection="1">
      <alignment horizontal="center" vertical="center" wrapText="1"/>
    </xf>
    <xf numFmtId="10" fontId="10" fillId="0" borderId="31" xfId="0" applyNumberFormat="1" applyFont="1" applyBorder="1" applyAlignment="1" applyProtection="1">
      <alignment horizontal="center" vertical="center" wrapText="1"/>
    </xf>
    <xf numFmtId="0" fontId="29" fillId="0" borderId="4" xfId="0" applyFont="1" applyBorder="1" applyAlignment="1" applyProtection="1">
      <alignment horizontal="justify" vertical="center"/>
    </xf>
    <xf numFmtId="168" fontId="29" fillId="0" borderId="4" xfId="0" applyNumberFormat="1" applyFont="1" applyBorder="1" applyAlignment="1" applyProtection="1">
      <alignment horizontal="center" vertical="center" wrapText="1"/>
    </xf>
    <xf numFmtId="168" fontId="29" fillId="0" borderId="11" xfId="0" applyNumberFormat="1" applyFont="1" applyBorder="1" applyAlignment="1" applyProtection="1">
      <alignment horizontal="center" vertical="center" wrapText="1"/>
    </xf>
    <xf numFmtId="4" fontId="29" fillId="8" borderId="49" xfId="0" applyNumberFormat="1" applyFont="1" applyFill="1" applyBorder="1" applyAlignment="1" applyProtection="1">
      <alignment horizontal="center" vertical="center" wrapText="1"/>
    </xf>
    <xf numFmtId="40" fontId="29" fillId="0" borderId="47" xfId="0" applyNumberFormat="1" applyFont="1" applyBorder="1" applyAlignment="1" applyProtection="1">
      <alignment horizontal="center" vertical="center" wrapText="1"/>
    </xf>
    <xf numFmtId="4" fontId="18" fillId="3" borderId="26" xfId="0" applyNumberFormat="1" applyFont="1" applyFill="1" applyBorder="1" applyAlignment="1" applyProtection="1">
      <alignment vertical="center" wrapText="1"/>
    </xf>
    <xf numFmtId="4" fontId="18" fillId="3" borderId="0" xfId="0" applyNumberFormat="1" applyFont="1" applyFill="1" applyAlignment="1" applyProtection="1">
      <alignment vertical="center" wrapText="1"/>
    </xf>
    <xf numFmtId="49" fontId="18" fillId="8" borderId="8" xfId="0" applyNumberFormat="1" applyFont="1" applyFill="1" applyBorder="1" applyAlignment="1" applyProtection="1">
      <alignment horizontal="center" vertical="center"/>
    </xf>
    <xf numFmtId="49" fontId="18" fillId="8" borderId="6" xfId="0" applyNumberFormat="1" applyFont="1" applyFill="1" applyBorder="1" applyAlignment="1" applyProtection="1">
      <alignment horizontal="justify" vertical="center" wrapText="1"/>
    </xf>
    <xf numFmtId="176" fontId="18" fillId="8" borderId="6" xfId="0" applyNumberFormat="1" applyFont="1" applyFill="1" applyBorder="1" applyAlignment="1" applyProtection="1">
      <alignment horizontal="center" vertical="center"/>
    </xf>
    <xf numFmtId="176" fontId="18" fillId="8" borderId="63" xfId="0" applyNumberFormat="1" applyFont="1" applyFill="1" applyBorder="1" applyAlignment="1" applyProtection="1">
      <alignment horizontal="center" vertical="center"/>
    </xf>
    <xf numFmtId="4" fontId="18" fillId="8" borderId="8" xfId="0" applyNumberFormat="1" applyFont="1" applyFill="1" applyBorder="1" applyAlignment="1" applyProtection="1">
      <alignment horizontal="center" vertical="center"/>
    </xf>
    <xf numFmtId="4" fontId="18" fillId="8" borderId="6" xfId="0" applyNumberFormat="1" applyFont="1" applyFill="1" applyBorder="1" applyAlignment="1" applyProtection="1">
      <alignment horizontal="center" vertical="center"/>
    </xf>
    <xf numFmtId="4" fontId="18" fillId="8" borderId="63" xfId="0" applyNumberFormat="1" applyFont="1" applyFill="1" applyBorder="1" applyAlignment="1" applyProtection="1">
      <alignment horizontal="center" vertical="center"/>
    </xf>
    <xf numFmtId="167" fontId="18" fillId="8" borderId="8" xfId="0" applyNumberFormat="1" applyFont="1" applyFill="1" applyBorder="1" applyAlignment="1" applyProtection="1">
      <alignment horizontal="center" vertical="center"/>
    </xf>
    <xf numFmtId="167" fontId="18" fillId="8" borderId="6" xfId="0" applyNumberFormat="1" applyFont="1" applyFill="1" applyBorder="1" applyAlignment="1" applyProtection="1">
      <alignment horizontal="center" vertical="center"/>
    </xf>
    <xf numFmtId="167" fontId="18" fillId="8" borderId="15" xfId="0" applyNumberFormat="1" applyFont="1" applyFill="1" applyBorder="1" applyAlignment="1" applyProtection="1">
      <alignment horizontal="center" vertical="center"/>
    </xf>
    <xf numFmtId="167" fontId="18" fillId="8" borderId="8" xfId="0" applyNumberFormat="1" applyFont="1" applyFill="1" applyBorder="1" applyAlignment="1" applyProtection="1">
      <alignment horizontal="center" vertical="center"/>
    </xf>
    <xf numFmtId="10" fontId="17" fillId="8" borderId="15" xfId="0" applyNumberFormat="1" applyFont="1" applyFill="1" applyBorder="1" applyAlignment="1" applyProtection="1">
      <alignment horizontal="center" vertical="center"/>
    </xf>
    <xf numFmtId="49" fontId="18" fillId="8" borderId="9" xfId="0" applyNumberFormat="1" applyFont="1" applyFill="1" applyBorder="1" applyAlignment="1" applyProtection="1">
      <alignment horizontal="center" vertical="center"/>
    </xf>
    <xf numFmtId="49" fontId="18" fillId="8" borderId="4" xfId="0" applyNumberFormat="1" applyFont="1" applyFill="1" applyBorder="1" applyAlignment="1" applyProtection="1">
      <alignment horizontal="justify" vertical="center" wrapText="1"/>
    </xf>
    <xf numFmtId="176" fontId="18" fillId="8" borderId="4" xfId="0" applyNumberFormat="1" applyFont="1" applyFill="1" applyBorder="1" applyAlignment="1" applyProtection="1">
      <alignment horizontal="center" vertical="center"/>
    </xf>
    <xf numFmtId="176" fontId="18" fillId="8" borderId="48" xfId="0" applyNumberFormat="1" applyFont="1" applyFill="1" applyBorder="1" applyAlignment="1" applyProtection="1">
      <alignment horizontal="center" vertical="center"/>
    </xf>
    <xf numFmtId="167" fontId="18" fillId="8" borderId="9" xfId="0" applyNumberFormat="1" applyFont="1" applyFill="1" applyBorder="1" applyAlignment="1" applyProtection="1">
      <alignment horizontal="center" vertical="center"/>
    </xf>
    <xf numFmtId="10" fontId="17" fillId="8" borderId="31" xfId="0" applyNumberFormat="1" applyFont="1" applyFill="1" applyBorder="1" applyAlignment="1" applyProtection="1">
      <alignment horizontal="center" vertical="center"/>
    </xf>
    <xf numFmtId="1" fontId="29" fillId="0" borderId="9" xfId="0" applyNumberFormat="1" applyFont="1" applyBorder="1" applyAlignment="1" applyProtection="1">
      <alignment horizontal="center" vertical="center"/>
    </xf>
    <xf numFmtId="0" fontId="49" fillId="10" borderId="0" xfId="0" applyFont="1" applyFill="1" applyAlignment="1" applyProtection="1">
      <alignment vertical="center"/>
    </xf>
    <xf numFmtId="0" fontId="29" fillId="0" borderId="48" xfId="0" applyFont="1" applyBorder="1" applyAlignment="1" applyProtection="1">
      <alignment horizontal="justify" vertical="center"/>
    </xf>
    <xf numFmtId="1" fontId="29" fillId="7" borderId="9" xfId="0" applyNumberFormat="1" applyFont="1" applyFill="1" applyBorder="1" applyAlignment="1" applyProtection="1">
      <alignment horizontal="center" vertical="center"/>
    </xf>
    <xf numFmtId="0" fontId="29" fillId="7" borderId="4" xfId="0" applyFont="1" applyFill="1" applyBorder="1" applyAlignment="1" applyProtection="1">
      <alignment horizontal="center" vertical="center"/>
    </xf>
    <xf numFmtId="0" fontId="49" fillId="7" borderId="0" xfId="0" applyFont="1" applyFill="1" applyAlignment="1" applyProtection="1">
      <alignment vertical="center"/>
    </xf>
    <xf numFmtId="2" fontId="29" fillId="0" borderId="9" xfId="0" applyNumberFormat="1" applyFont="1" applyBorder="1" applyAlignment="1" applyProtection="1">
      <alignment horizontal="center" vertical="center"/>
    </xf>
    <xf numFmtId="0" fontId="29" fillId="0" borderId="4" xfId="0" applyFont="1" applyBorder="1" applyAlignment="1" applyProtection="1">
      <alignment horizontal="left" vertical="center" wrapText="1"/>
    </xf>
    <xf numFmtId="0" fontId="29" fillId="0" borderId="4" xfId="0" applyFont="1" applyBorder="1" applyAlignment="1" applyProtection="1">
      <alignment horizontal="center" vertical="center" wrapText="1"/>
    </xf>
    <xf numFmtId="0" fontId="29" fillId="0" borderId="47" xfId="0" applyFont="1" applyBorder="1" applyAlignment="1" applyProtection="1">
      <alignment horizontal="center" vertical="center"/>
    </xf>
    <xf numFmtId="0" fontId="29" fillId="0" borderId="7" xfId="0" applyFont="1" applyBorder="1" applyAlignment="1" applyProtection="1">
      <alignment horizontal="justify" vertical="center"/>
    </xf>
    <xf numFmtId="168" fontId="29" fillId="0" borderId="7" xfId="0" applyNumberFormat="1" applyFont="1" applyBorder="1" applyAlignment="1" applyProtection="1">
      <alignment horizontal="center" vertical="center" wrapText="1"/>
    </xf>
    <xf numFmtId="4" fontId="29" fillId="0" borderId="64" xfId="0" applyNumberFormat="1" applyFont="1" applyBorder="1" applyAlignment="1" applyProtection="1">
      <alignment horizontal="center" vertical="center" wrapText="1"/>
    </xf>
    <xf numFmtId="4" fontId="29" fillId="8" borderId="47" xfId="0" applyNumberFormat="1" applyFont="1" applyFill="1" applyBorder="1" applyAlignment="1" applyProtection="1">
      <alignment horizontal="center" vertical="center"/>
    </xf>
    <xf numFmtId="4" fontId="29" fillId="8" borderId="7" xfId="0" applyNumberFormat="1" applyFont="1" applyFill="1" applyBorder="1" applyAlignment="1" applyProtection="1">
      <alignment horizontal="center" vertical="center"/>
    </xf>
    <xf numFmtId="4" fontId="29" fillId="8" borderId="64" xfId="0" applyNumberFormat="1" applyFont="1" applyFill="1" applyBorder="1" applyAlignment="1" applyProtection="1">
      <alignment horizontal="center" vertical="center" wrapText="1"/>
    </xf>
    <xf numFmtId="10" fontId="10" fillId="0" borderId="33" xfId="0" applyNumberFormat="1" applyFont="1" applyBorder="1" applyAlignment="1" applyProtection="1">
      <alignment horizontal="center" vertical="center" wrapText="1"/>
    </xf>
    <xf numFmtId="0" fontId="18" fillId="3" borderId="0" xfId="0" applyFont="1" applyFill="1" applyAlignment="1" applyProtection="1">
      <alignment vertical="center"/>
    </xf>
    <xf numFmtId="169" fontId="18" fillId="8" borderId="6" xfId="0" applyNumberFormat="1" applyFont="1" applyFill="1" applyBorder="1" applyAlignment="1" applyProtection="1">
      <alignment horizontal="justify" vertical="center" wrapText="1"/>
    </xf>
    <xf numFmtId="4" fontId="18" fillId="8" borderId="15" xfId="0" applyNumberFormat="1" applyFont="1" applyFill="1" applyBorder="1" applyAlignment="1" applyProtection="1">
      <alignment horizontal="center" vertical="center"/>
    </xf>
    <xf numFmtId="167" fontId="18" fillId="8" borderId="87" xfId="0" applyNumberFormat="1" applyFont="1" applyFill="1" applyBorder="1" applyAlignment="1" applyProtection="1">
      <alignment horizontal="center" vertical="center"/>
    </xf>
    <xf numFmtId="167" fontId="18" fillId="8" borderId="69" xfId="0" applyNumberFormat="1" applyFont="1" applyFill="1" applyBorder="1" applyAlignment="1" applyProtection="1">
      <alignment horizontal="center" vertical="center"/>
    </xf>
    <xf numFmtId="169" fontId="18" fillId="8" borderId="4" xfId="0" applyNumberFormat="1" applyFont="1" applyFill="1" applyBorder="1" applyAlignment="1" applyProtection="1">
      <alignment horizontal="justify" vertical="center" wrapText="1"/>
    </xf>
    <xf numFmtId="167" fontId="18" fillId="8" borderId="5" xfId="0" applyNumberFormat="1" applyFont="1" applyFill="1" applyBorder="1" applyAlignment="1" applyProtection="1">
      <alignment horizontal="center" vertical="center"/>
    </xf>
    <xf numFmtId="0" fontId="29" fillId="7" borderId="9" xfId="0" applyFont="1" applyFill="1" applyBorder="1" applyAlignment="1" applyProtection="1">
      <alignment horizontal="center" vertical="center"/>
    </xf>
    <xf numFmtId="4" fontId="29" fillId="7" borderId="48" xfId="0" applyNumberFormat="1" applyFont="1" applyFill="1" applyBorder="1" applyAlignment="1" applyProtection="1">
      <alignment horizontal="center" vertical="center"/>
    </xf>
    <xf numFmtId="4" fontId="29" fillId="8" borderId="9" xfId="0" applyNumberFormat="1" applyFont="1" applyFill="1" applyBorder="1" applyAlignment="1" applyProtection="1">
      <alignment horizontal="center" vertical="center"/>
    </xf>
    <xf numFmtId="4" fontId="29" fillId="8" borderId="4" xfId="0" applyNumberFormat="1" applyFont="1" applyFill="1" applyBorder="1" applyAlignment="1" applyProtection="1">
      <alignment horizontal="center" vertical="center"/>
    </xf>
    <xf numFmtId="40" fontId="29" fillId="0" borderId="5" xfId="0" applyNumberFormat="1" applyFont="1" applyBorder="1" applyAlignment="1" applyProtection="1">
      <alignment horizontal="center" vertical="center" wrapText="1"/>
    </xf>
    <xf numFmtId="4" fontId="29" fillId="8" borderId="52" xfId="0" applyNumberFormat="1" applyFont="1" applyFill="1" applyBorder="1" applyAlignment="1" applyProtection="1">
      <alignment horizontal="center" vertical="center"/>
    </xf>
    <xf numFmtId="4" fontId="29" fillId="8" borderId="11" xfId="0" applyNumberFormat="1" applyFont="1" applyFill="1" applyBorder="1" applyAlignment="1" applyProtection="1">
      <alignment horizontal="center" vertical="center"/>
    </xf>
    <xf numFmtId="0" fontId="29" fillId="0" borderId="11" xfId="0" applyFont="1" applyBorder="1" applyAlignment="1" applyProtection="1">
      <alignment horizontal="justify" vertical="center"/>
    </xf>
    <xf numFmtId="0" fontId="29" fillId="7" borderId="11" xfId="0" applyFont="1" applyFill="1" applyBorder="1" applyAlignment="1" applyProtection="1">
      <alignment horizontal="center" vertical="center"/>
    </xf>
    <xf numFmtId="0" fontId="29" fillId="7" borderId="47" xfId="0" applyFont="1" applyFill="1" applyBorder="1" applyAlignment="1" applyProtection="1">
      <alignment horizontal="center" vertical="center"/>
    </xf>
    <xf numFmtId="4" fontId="29" fillId="7" borderId="64" xfId="0" applyNumberFormat="1" applyFont="1" applyFill="1" applyBorder="1" applyAlignment="1" applyProtection="1">
      <alignment horizontal="center" vertical="center"/>
    </xf>
    <xf numFmtId="4" fontId="29" fillId="0" borderId="70" xfId="0" applyNumberFormat="1" applyFont="1" applyBorder="1" applyAlignment="1" applyProtection="1">
      <alignment horizontal="center" vertical="center"/>
    </xf>
    <xf numFmtId="3" fontId="18" fillId="8" borderId="8" xfId="0" applyNumberFormat="1" applyFont="1" applyFill="1" applyBorder="1" applyAlignment="1" applyProtection="1">
      <alignment horizontal="center" vertical="center"/>
    </xf>
    <xf numFmtId="3" fontId="18" fillId="8" borderId="9" xfId="0" applyNumberFormat="1" applyFont="1" applyFill="1" applyBorder="1" applyAlignment="1" applyProtection="1">
      <alignment horizontal="center" vertical="center"/>
    </xf>
    <xf numFmtId="0" fontId="29" fillId="0" borderId="9" xfId="0" applyFont="1" applyBorder="1" applyAlignment="1" applyProtection="1">
      <alignment horizontal="center" vertical="center"/>
    </xf>
    <xf numFmtId="49" fontId="29" fillId="0" borderId="4" xfId="0" applyNumberFormat="1" applyFont="1" applyBorder="1" applyAlignment="1" applyProtection="1">
      <alignment horizontal="justify" vertical="center" wrapText="1"/>
    </xf>
    <xf numFmtId="4" fontId="29" fillId="0" borderId="48" xfId="0" applyNumberFormat="1" applyFont="1" applyBorder="1" applyAlignment="1" applyProtection="1">
      <alignment horizontal="center" vertical="center"/>
    </xf>
    <xf numFmtId="49" fontId="29" fillId="0" borderId="11" xfId="0" applyNumberFormat="1" applyFont="1" applyBorder="1" applyAlignment="1" applyProtection="1">
      <alignment horizontal="justify" vertical="center" wrapText="1"/>
    </xf>
    <xf numFmtId="49" fontId="29" fillId="0" borderId="7" xfId="0" applyNumberFormat="1" applyFont="1" applyBorder="1" applyAlignment="1" applyProtection="1">
      <alignment horizontal="justify" vertical="center" wrapText="1"/>
    </xf>
    <xf numFmtId="4" fontId="29" fillId="0" borderId="64" xfId="0" applyNumberFormat="1" applyFont="1" applyBorder="1" applyAlignment="1" applyProtection="1">
      <alignment horizontal="center" vertical="center"/>
    </xf>
    <xf numFmtId="177" fontId="18" fillId="8" borderId="8" xfId="0" applyNumberFormat="1" applyFont="1" applyFill="1" applyBorder="1" applyAlignment="1" applyProtection="1">
      <alignment horizontal="center" vertical="center"/>
    </xf>
    <xf numFmtId="177" fontId="18" fillId="8" borderId="9" xfId="0" applyNumberFormat="1" applyFont="1" applyFill="1" applyBorder="1" applyAlignment="1" applyProtection="1">
      <alignment horizontal="center" vertical="center"/>
    </xf>
    <xf numFmtId="0" fontId="18" fillId="0" borderId="9" xfId="0" applyFont="1" applyBorder="1" applyAlignment="1" applyProtection="1">
      <alignment horizontal="center" vertical="center"/>
    </xf>
    <xf numFmtId="168" fontId="29" fillId="3" borderId="4" xfId="0" applyNumberFormat="1" applyFont="1" applyFill="1" applyBorder="1" applyAlignment="1" applyProtection="1">
      <alignment horizontal="center" vertical="center" wrapText="1"/>
    </xf>
    <xf numFmtId="4" fontId="29" fillId="3" borderId="48" xfId="0" applyNumberFormat="1" applyFont="1" applyFill="1" applyBorder="1" applyAlignment="1" applyProtection="1">
      <alignment horizontal="center" vertical="center"/>
    </xf>
    <xf numFmtId="40" fontId="29" fillId="0" borderId="70" xfId="0" applyNumberFormat="1" applyFont="1" applyBorder="1" applyAlignment="1" applyProtection="1">
      <alignment horizontal="center" vertical="center" wrapText="1"/>
    </xf>
    <xf numFmtId="49" fontId="18" fillId="8" borderId="22" xfId="0" applyNumberFormat="1" applyFont="1" applyFill="1" applyBorder="1" applyAlignment="1" applyProtection="1">
      <alignment horizontal="center" vertical="center"/>
    </xf>
    <xf numFmtId="169" fontId="18" fillId="8" borderId="23" xfId="0" applyNumberFormat="1" applyFont="1" applyFill="1" applyBorder="1" applyAlignment="1" applyProtection="1">
      <alignment horizontal="justify" vertical="center" wrapText="1"/>
    </xf>
    <xf numFmtId="176" fontId="18" fillId="8" borderId="45" xfId="0" applyNumberFormat="1" applyFont="1" applyFill="1" applyBorder="1" applyAlignment="1" applyProtection="1">
      <alignment horizontal="center" vertical="center"/>
    </xf>
    <xf numFmtId="176" fontId="18" fillId="8" borderId="26" xfId="0" applyNumberFormat="1" applyFont="1" applyFill="1" applyBorder="1" applyAlignment="1" applyProtection="1">
      <alignment horizontal="center" vertical="center"/>
    </xf>
    <xf numFmtId="176" fontId="18" fillId="8" borderId="27" xfId="0" applyNumberFormat="1" applyFont="1" applyFill="1" applyBorder="1" applyAlignment="1" applyProtection="1">
      <alignment horizontal="center" vertical="center"/>
    </xf>
    <xf numFmtId="167" fontId="18" fillId="8" borderId="37" xfId="0" applyNumberFormat="1" applyFont="1" applyFill="1" applyBorder="1" applyAlignment="1" applyProtection="1">
      <alignment horizontal="center" vertical="center"/>
    </xf>
    <xf numFmtId="10" fontId="17" fillId="8" borderId="24" xfId="0" applyNumberFormat="1" applyFont="1" applyFill="1" applyBorder="1" applyAlignment="1" applyProtection="1">
      <alignment horizontal="center" vertical="center"/>
    </xf>
    <xf numFmtId="49" fontId="18" fillId="8" borderId="53" xfId="0" applyNumberFormat="1" applyFont="1" applyFill="1" applyBorder="1" applyAlignment="1" applyProtection="1">
      <alignment horizontal="center" vertical="center"/>
    </xf>
    <xf numFmtId="169" fontId="18" fillId="8" borderId="3" xfId="0" applyNumberFormat="1" applyFont="1" applyFill="1" applyBorder="1" applyAlignment="1" applyProtection="1">
      <alignment horizontal="justify" vertical="center" wrapText="1"/>
    </xf>
    <xf numFmtId="176" fontId="18" fillId="8" borderId="65" xfId="0" applyNumberFormat="1" applyFont="1" applyFill="1" applyBorder="1" applyAlignment="1" applyProtection="1">
      <alignment horizontal="center" vertical="center"/>
    </xf>
    <xf numFmtId="176" fontId="18" fillId="8" borderId="72" xfId="0" applyNumberFormat="1" applyFont="1" applyFill="1" applyBorder="1" applyAlignment="1" applyProtection="1">
      <alignment horizontal="center" vertical="center"/>
    </xf>
    <xf numFmtId="176" fontId="18" fillId="8" borderId="97" xfId="0" applyNumberFormat="1" applyFont="1" applyFill="1" applyBorder="1" applyAlignment="1" applyProtection="1">
      <alignment horizontal="center" vertical="center"/>
    </xf>
    <xf numFmtId="167" fontId="18" fillId="8" borderId="117" xfId="0" applyNumberFormat="1" applyFont="1" applyFill="1" applyBorder="1" applyAlignment="1" applyProtection="1">
      <alignment horizontal="center" vertical="center"/>
    </xf>
    <xf numFmtId="10" fontId="17" fillId="8" borderId="109" xfId="0" applyNumberFormat="1" applyFont="1" applyFill="1" applyBorder="1" applyAlignment="1" applyProtection="1">
      <alignment horizontal="center" vertical="center"/>
    </xf>
    <xf numFmtId="4" fontId="29" fillId="7" borderId="4" xfId="0" applyNumberFormat="1" applyFont="1" applyFill="1" applyBorder="1" applyAlignment="1" applyProtection="1">
      <alignment horizontal="center" vertical="center"/>
    </xf>
    <xf numFmtId="4" fontId="9" fillId="0" borderId="4" xfId="0" applyNumberFormat="1" applyFont="1" applyBorder="1" applyAlignment="1" applyProtection="1">
      <alignment horizontal="center" vertical="center"/>
    </xf>
    <xf numFmtId="4" fontId="29" fillId="3" borderId="4" xfId="0" applyNumberFormat="1" applyFont="1" applyFill="1" applyBorder="1" applyAlignment="1" applyProtection="1">
      <alignment horizontal="center" vertical="center"/>
    </xf>
    <xf numFmtId="0" fontId="52" fillId="0" borderId="20" xfId="0" applyFont="1" applyBorder="1" applyAlignment="1" applyProtection="1">
      <alignment vertical="center" wrapText="1"/>
    </xf>
    <xf numFmtId="176" fontId="45" fillId="6" borderId="21" xfId="0" applyNumberFormat="1" applyFont="1" applyFill="1" applyBorder="1" applyAlignment="1" applyProtection="1">
      <alignment horizontal="justify" vertical="center" wrapText="1"/>
    </xf>
    <xf numFmtId="176" fontId="45" fillId="6" borderId="10" xfId="0" applyNumberFormat="1" applyFont="1" applyFill="1" applyBorder="1" applyAlignment="1" applyProtection="1">
      <alignment horizontal="justify" vertical="center" wrapText="1"/>
    </xf>
    <xf numFmtId="176" fontId="45" fillId="6" borderId="28" xfId="0" applyNumberFormat="1" applyFont="1" applyFill="1" applyBorder="1" applyAlignment="1" applyProtection="1">
      <alignment horizontal="justify" vertical="center" wrapText="1"/>
    </xf>
    <xf numFmtId="167" fontId="45" fillId="6" borderId="14" xfId="0" applyNumberFormat="1" applyFont="1" applyFill="1" applyBorder="1" applyAlignment="1" applyProtection="1">
      <alignment horizontal="center" vertical="center"/>
    </xf>
    <xf numFmtId="172" fontId="48" fillId="6" borderId="14" xfId="0" applyNumberFormat="1" applyFont="1" applyFill="1" applyBorder="1" applyAlignment="1" applyProtection="1">
      <alignment horizontal="center" vertical="center"/>
    </xf>
    <xf numFmtId="176" fontId="18" fillId="11" borderId="21" xfId="0" applyNumberFormat="1" applyFont="1" applyFill="1" applyBorder="1" applyAlignment="1" applyProtection="1">
      <alignment horizontal="justify" vertical="center" wrapText="1"/>
    </xf>
    <xf numFmtId="0" fontId="0" fillId="0" borderId="10" xfId="0" applyBorder="1" applyAlignment="1" applyProtection="1">
      <alignment horizontal="justify" vertical="center" wrapText="1"/>
    </xf>
    <xf numFmtId="0" fontId="0" fillId="0" borderId="28" xfId="0" applyBorder="1" applyAlignment="1" applyProtection="1">
      <alignment horizontal="justify" vertical="center" wrapText="1"/>
    </xf>
    <xf numFmtId="167" fontId="45" fillId="11" borderId="14" xfId="0" applyNumberFormat="1" applyFont="1" applyFill="1" applyBorder="1" applyAlignment="1" applyProtection="1">
      <alignment horizontal="center" vertical="center"/>
    </xf>
    <xf numFmtId="10" fontId="48" fillId="11" borderId="14" xfId="0" applyNumberFormat="1" applyFont="1" applyFill="1" applyBorder="1" applyAlignment="1" applyProtection="1">
      <alignment horizontal="center" vertical="center"/>
    </xf>
    <xf numFmtId="0" fontId="52" fillId="0" borderId="26" xfId="0" applyFont="1" applyBorder="1" applyAlignment="1" applyProtection="1">
      <alignment vertical="center"/>
    </xf>
    <xf numFmtId="176" fontId="45" fillId="0" borderId="8" xfId="0" applyNumberFormat="1" applyFont="1" applyBorder="1" applyAlignment="1" applyProtection="1">
      <alignment horizontal="left" vertical="center"/>
    </xf>
    <xf numFmtId="176" fontId="45" fillId="0" borderId="6" xfId="0" applyNumberFormat="1" applyFont="1" applyBorder="1" applyAlignment="1" applyProtection="1">
      <alignment horizontal="left" vertical="center"/>
    </xf>
    <xf numFmtId="176" fontId="45" fillId="0" borderId="63" xfId="0" applyNumberFormat="1" applyFont="1" applyBorder="1" applyAlignment="1" applyProtection="1">
      <alignment horizontal="left" vertical="center"/>
    </xf>
    <xf numFmtId="4" fontId="45" fillId="0" borderId="8" xfId="0" applyNumberFormat="1" applyFont="1" applyBorder="1" applyAlignment="1" applyProtection="1">
      <alignment horizontal="center" vertical="center"/>
    </xf>
    <xf numFmtId="4" fontId="45" fillId="0" borderId="6" xfId="0" applyNumberFormat="1" applyFont="1" applyBorder="1" applyAlignment="1" applyProtection="1">
      <alignment horizontal="center" vertical="center"/>
    </xf>
    <xf numFmtId="4" fontId="45" fillId="0" borderId="63" xfId="0" applyNumberFormat="1" applyFont="1" applyBorder="1" applyAlignment="1" applyProtection="1">
      <alignment horizontal="center" vertical="center"/>
    </xf>
    <xf numFmtId="167" fontId="45" fillId="0" borderId="6" xfId="0" applyNumberFormat="1" applyFont="1" applyBorder="1" applyAlignment="1" applyProtection="1">
      <alignment horizontal="center" vertical="center"/>
    </xf>
    <xf numFmtId="10" fontId="48" fillId="0" borderId="15" xfId="0" applyNumberFormat="1" applyFont="1" applyBorder="1" applyAlignment="1" applyProtection="1">
      <alignment horizontal="center" vertical="center"/>
    </xf>
    <xf numFmtId="176" fontId="45" fillId="0" borderId="47" xfId="0" applyNumberFormat="1" applyFont="1" applyBorder="1" applyAlignment="1" applyProtection="1">
      <alignment horizontal="left" vertical="center"/>
    </xf>
    <xf numFmtId="176" fontId="45" fillId="0" borderId="7" xfId="0" applyNumberFormat="1" applyFont="1" applyBorder="1" applyAlignment="1" applyProtection="1">
      <alignment horizontal="left" vertical="center"/>
    </xf>
    <xf numFmtId="176" fontId="45" fillId="0" borderId="64" xfId="0" applyNumberFormat="1" applyFont="1" applyBorder="1" applyAlignment="1" applyProtection="1">
      <alignment horizontal="left" vertical="center"/>
    </xf>
    <xf numFmtId="4" fontId="45" fillId="0" borderId="47" xfId="0" applyNumberFormat="1" applyFont="1" applyBorder="1" applyAlignment="1" applyProtection="1">
      <alignment horizontal="center" vertical="center"/>
    </xf>
    <xf numFmtId="4" fontId="45" fillId="0" borderId="7" xfId="0" applyNumberFormat="1" applyFont="1" applyBorder="1" applyAlignment="1" applyProtection="1">
      <alignment horizontal="center" vertical="center"/>
    </xf>
    <xf numFmtId="4" fontId="45" fillId="0" borderId="64" xfId="0" applyNumberFormat="1" applyFont="1" applyBorder="1" applyAlignment="1" applyProtection="1">
      <alignment horizontal="center" vertical="center"/>
    </xf>
    <xf numFmtId="167" fontId="45" fillId="0" borderId="7" xfId="0" applyNumberFormat="1" applyFont="1" applyBorder="1" applyAlignment="1" applyProtection="1">
      <alignment horizontal="center" vertical="center"/>
    </xf>
    <xf numFmtId="10" fontId="48" fillId="0" borderId="33" xfId="0" applyNumberFormat="1" applyFont="1" applyBorder="1" applyAlignment="1" applyProtection="1">
      <alignment horizontal="center" vertical="center"/>
    </xf>
    <xf numFmtId="169" fontId="45" fillId="6" borderId="8" xfId="0" applyNumberFormat="1" applyFont="1" applyFill="1" applyBorder="1" applyAlignment="1" applyProtection="1">
      <alignment horizontal="center" vertical="center"/>
    </xf>
    <xf numFmtId="169" fontId="45" fillId="6" borderId="25" xfId="0" applyNumberFormat="1" applyFont="1" applyFill="1" applyBorder="1" applyAlignment="1" applyProtection="1">
      <alignment horizontal="left" vertical="center"/>
    </xf>
    <xf numFmtId="169" fontId="45" fillId="6" borderId="26" xfId="0" applyNumberFormat="1" applyFont="1" applyFill="1" applyBorder="1" applyAlignment="1" applyProtection="1">
      <alignment horizontal="left" vertical="center"/>
    </xf>
    <xf numFmtId="4" fontId="45" fillId="6" borderId="8" xfId="0" applyNumberFormat="1" applyFont="1" applyFill="1" applyBorder="1" applyAlignment="1" applyProtection="1">
      <alignment horizontal="center" vertical="center"/>
    </xf>
    <xf numFmtId="4" fontId="45" fillId="6" borderId="6" xfId="0" applyNumberFormat="1" applyFont="1" applyFill="1" applyBorder="1" applyAlignment="1" applyProtection="1">
      <alignment horizontal="center" vertical="center"/>
    </xf>
    <xf numFmtId="4" fontId="45" fillId="6" borderId="63" xfId="0" applyNumberFormat="1" applyFont="1" applyFill="1" applyBorder="1" applyAlignment="1" applyProtection="1">
      <alignment horizontal="center" vertical="center"/>
    </xf>
    <xf numFmtId="4" fontId="46" fillId="6" borderId="6" xfId="0" applyNumberFormat="1" applyFont="1" applyFill="1" applyBorder="1" applyAlignment="1" applyProtection="1">
      <alignment horizontal="center" vertical="center"/>
    </xf>
    <xf numFmtId="4" fontId="45" fillId="6" borderId="6" xfId="0" applyNumberFormat="1" applyFont="1" applyFill="1" applyBorder="1" applyAlignment="1" applyProtection="1">
      <alignment horizontal="center" vertical="center"/>
    </xf>
    <xf numFmtId="169" fontId="45" fillId="6" borderId="9" xfId="0" applyNumberFormat="1" applyFont="1" applyFill="1" applyBorder="1" applyAlignment="1" applyProtection="1">
      <alignment horizontal="center" vertical="center"/>
    </xf>
    <xf numFmtId="169" fontId="45" fillId="6" borderId="71" xfId="0" applyNumberFormat="1" applyFont="1" applyFill="1" applyBorder="1" applyAlignment="1" applyProtection="1">
      <alignment horizontal="left" vertical="center"/>
    </xf>
    <xf numFmtId="169" fontId="45" fillId="6" borderId="72" xfId="0" applyNumberFormat="1" applyFont="1" applyFill="1" applyBorder="1" applyAlignment="1" applyProtection="1">
      <alignment horizontal="left" vertical="center"/>
    </xf>
    <xf numFmtId="4" fontId="46" fillId="6" borderId="7" xfId="0" applyNumberFormat="1" applyFont="1" applyFill="1" applyBorder="1" applyAlignment="1" applyProtection="1">
      <alignment horizontal="center" vertical="center"/>
    </xf>
    <xf numFmtId="4" fontId="45" fillId="6" borderId="4" xfId="0" applyNumberFormat="1" applyFont="1" applyFill="1" applyBorder="1" applyAlignment="1" applyProtection="1">
      <alignment horizontal="center" vertical="center"/>
    </xf>
    <xf numFmtId="49" fontId="45" fillId="3" borderId="8" xfId="0" applyNumberFormat="1" applyFont="1" applyFill="1" applyBorder="1" applyAlignment="1" applyProtection="1">
      <alignment horizontal="center" vertical="center"/>
    </xf>
    <xf numFmtId="49" fontId="45" fillId="3" borderId="25" xfId="0" applyNumberFormat="1" applyFont="1" applyFill="1" applyBorder="1" applyAlignment="1" applyProtection="1">
      <alignment horizontal="left" vertical="center"/>
    </xf>
    <xf numFmtId="49" fontId="45" fillId="3" borderId="26" xfId="0" applyNumberFormat="1" applyFont="1" applyFill="1" applyBorder="1" applyAlignment="1" applyProtection="1">
      <alignment horizontal="left" vertical="center"/>
    </xf>
    <xf numFmtId="4" fontId="45" fillId="3" borderId="53" xfId="0" applyNumberFormat="1" applyFont="1" applyFill="1" applyBorder="1" applyAlignment="1" applyProtection="1">
      <alignment horizontal="center" vertical="center"/>
    </xf>
    <xf numFmtId="4" fontId="45" fillId="3" borderId="3" xfId="0" applyNumberFormat="1" applyFont="1" applyFill="1" applyBorder="1" applyAlignment="1" applyProtection="1">
      <alignment horizontal="center" vertical="center"/>
    </xf>
    <xf numFmtId="4" fontId="45" fillId="3" borderId="65" xfId="0" applyNumberFormat="1" applyFont="1" applyFill="1" applyBorder="1" applyAlignment="1" applyProtection="1">
      <alignment horizontal="center" vertical="center"/>
    </xf>
    <xf numFmtId="4" fontId="46" fillId="3" borderId="3" xfId="0" applyNumberFormat="1" applyFont="1" applyFill="1" applyBorder="1" applyAlignment="1" applyProtection="1">
      <alignment horizontal="center" vertical="center"/>
    </xf>
    <xf numFmtId="4" fontId="46" fillId="3" borderId="6" xfId="0" applyNumberFormat="1" applyFont="1" applyFill="1" applyBorder="1" applyAlignment="1" applyProtection="1">
      <alignment horizontal="center" vertical="center"/>
    </xf>
    <xf numFmtId="4" fontId="45" fillId="3" borderId="6" xfId="0" applyNumberFormat="1" applyFont="1" applyFill="1" applyBorder="1" applyAlignment="1" applyProtection="1">
      <alignment horizontal="center" vertical="center"/>
    </xf>
    <xf numFmtId="49" fontId="45" fillId="3" borderId="52" xfId="0" applyNumberFormat="1" applyFont="1" applyFill="1" applyBorder="1" applyAlignment="1" applyProtection="1">
      <alignment horizontal="center" vertical="center"/>
    </xf>
    <xf numFmtId="49" fontId="45" fillId="3" borderId="12" xfId="0" applyNumberFormat="1" applyFont="1" applyFill="1" applyBorder="1" applyAlignment="1" applyProtection="1">
      <alignment horizontal="left" vertical="center"/>
    </xf>
    <xf numFmtId="49" fontId="45" fillId="3" borderId="0" xfId="0" applyNumberFormat="1" applyFont="1" applyFill="1" applyAlignment="1" applyProtection="1">
      <alignment horizontal="left" vertical="center"/>
    </xf>
    <xf numFmtId="4" fontId="46" fillId="3" borderId="7" xfId="0" applyNumberFormat="1" applyFont="1" applyFill="1" applyBorder="1" applyAlignment="1" applyProtection="1">
      <alignment horizontal="center" vertical="center"/>
    </xf>
    <xf numFmtId="4" fontId="45" fillId="3" borderId="11" xfId="0" applyNumberFormat="1" applyFont="1" applyFill="1" applyBorder="1" applyAlignment="1" applyProtection="1">
      <alignment horizontal="center" vertical="center"/>
    </xf>
    <xf numFmtId="49" fontId="45" fillId="6" borderId="36" xfId="0" applyNumberFormat="1" applyFont="1" applyFill="1" applyBorder="1" applyAlignment="1" applyProtection="1">
      <alignment horizontal="center" vertical="center"/>
    </xf>
    <xf numFmtId="49" fontId="45" fillId="6" borderId="25" xfId="0" applyNumberFormat="1" applyFont="1" applyFill="1" applyBorder="1" applyAlignment="1" applyProtection="1">
      <alignment horizontal="left" vertical="center"/>
    </xf>
    <xf numFmtId="49" fontId="45" fillId="6" borderId="26" xfId="0" applyNumberFormat="1" applyFont="1" applyFill="1" applyBorder="1" applyAlignment="1" applyProtection="1">
      <alignment horizontal="left" vertical="center"/>
    </xf>
    <xf numFmtId="0" fontId="45" fillId="6" borderId="34" xfId="0" applyFont="1" applyFill="1" applyBorder="1" applyAlignment="1" applyProtection="1">
      <alignment horizontal="center" vertical="center"/>
    </xf>
    <xf numFmtId="49" fontId="45" fillId="6" borderId="29" xfId="0" applyNumberFormat="1" applyFont="1" applyFill="1" applyBorder="1" applyAlignment="1" applyProtection="1">
      <alignment horizontal="left" vertical="center"/>
    </xf>
    <xf numFmtId="49" fontId="45" fillId="6" borderId="20" xfId="0" applyNumberFormat="1" applyFont="1" applyFill="1" applyBorder="1" applyAlignment="1" applyProtection="1">
      <alignment horizontal="left" vertical="center"/>
    </xf>
    <xf numFmtId="4" fontId="45" fillId="6" borderId="7" xfId="0" applyNumberFormat="1" applyFont="1" applyFill="1" applyBorder="1" applyAlignment="1" applyProtection="1">
      <alignment horizontal="center" vertical="center"/>
    </xf>
    <xf numFmtId="49" fontId="45" fillId="0" borderId="36" xfId="0" applyNumberFormat="1" applyFont="1" applyBorder="1" applyAlignment="1" applyProtection="1">
      <alignment horizontal="center" vertical="center"/>
    </xf>
    <xf numFmtId="49" fontId="45" fillId="0" borderId="25" xfId="0" applyNumberFormat="1" applyFont="1" applyBorder="1" applyAlignment="1" applyProtection="1">
      <alignment horizontal="left" vertical="center"/>
    </xf>
    <xf numFmtId="49" fontId="45" fillId="0" borderId="26" xfId="0" applyNumberFormat="1" applyFont="1" applyBorder="1" applyAlignment="1" applyProtection="1">
      <alignment horizontal="left" vertical="center"/>
    </xf>
    <xf numFmtId="4" fontId="46" fillId="0" borderId="6" xfId="0" applyNumberFormat="1" applyFont="1" applyBorder="1" applyAlignment="1" applyProtection="1">
      <alignment horizontal="center" vertical="center"/>
    </xf>
    <xf numFmtId="4" fontId="45" fillId="0" borderId="6" xfId="0" applyNumberFormat="1" applyFont="1" applyBorder="1" applyAlignment="1" applyProtection="1">
      <alignment horizontal="center" vertical="center"/>
    </xf>
    <xf numFmtId="0" fontId="45" fillId="0" borderId="34" xfId="0" applyFont="1" applyBorder="1" applyAlignment="1" applyProtection="1">
      <alignment horizontal="center" vertical="center"/>
    </xf>
    <xf numFmtId="49" fontId="45" fillId="0" borderId="29" xfId="0" applyNumberFormat="1" applyFont="1" applyBorder="1" applyAlignment="1" applyProtection="1">
      <alignment horizontal="left" vertical="center"/>
    </xf>
    <xf numFmtId="49" fontId="45" fillId="0" borderId="20" xfId="0" applyNumberFormat="1" applyFont="1" applyBorder="1" applyAlignment="1" applyProtection="1">
      <alignment horizontal="left" vertical="center"/>
    </xf>
    <xf numFmtId="4" fontId="46" fillId="0" borderId="7" xfId="0" applyNumberFormat="1" applyFont="1" applyBorder="1" applyAlignment="1" applyProtection="1">
      <alignment horizontal="center" vertical="center"/>
    </xf>
    <xf numFmtId="4" fontId="45" fillId="0" borderId="7" xfId="0" applyNumberFormat="1" applyFont="1" applyBorder="1" applyAlignment="1" applyProtection="1">
      <alignment horizontal="center" vertical="center"/>
    </xf>
    <xf numFmtId="177" fontId="45" fillId="6" borderId="36" xfId="0" applyNumberFormat="1" applyFont="1" applyFill="1" applyBorder="1" applyAlignment="1" applyProtection="1">
      <alignment horizontal="center" vertical="center"/>
    </xf>
    <xf numFmtId="177" fontId="45" fillId="6" borderId="25" xfId="0" applyNumberFormat="1" applyFont="1" applyFill="1" applyBorder="1" applyAlignment="1" applyProtection="1">
      <alignment vertical="center"/>
    </xf>
    <xf numFmtId="177" fontId="45" fillId="6" borderId="26" xfId="0" applyNumberFormat="1" applyFont="1" applyFill="1" applyBorder="1" applyAlignment="1" applyProtection="1">
      <alignment vertical="center"/>
    </xf>
    <xf numFmtId="4" fontId="45" fillId="6" borderId="53" xfId="0" applyNumberFormat="1" applyFont="1" applyFill="1" applyBorder="1" applyAlignment="1" applyProtection="1">
      <alignment horizontal="center" vertical="center"/>
    </xf>
    <xf numFmtId="4" fontId="45" fillId="6" borderId="3" xfId="0" applyNumberFormat="1" applyFont="1" applyFill="1" applyBorder="1" applyAlignment="1" applyProtection="1">
      <alignment horizontal="center" vertical="center"/>
    </xf>
    <xf numFmtId="4" fontId="45" fillId="6" borderId="65" xfId="0" applyNumberFormat="1" applyFont="1" applyFill="1" applyBorder="1" applyAlignment="1" applyProtection="1">
      <alignment horizontal="center" vertical="center"/>
    </xf>
    <xf numFmtId="4" fontId="46" fillId="6" borderId="3" xfId="0" applyNumberFormat="1" applyFont="1" applyFill="1" applyBorder="1" applyAlignment="1" applyProtection="1">
      <alignment horizontal="center" vertical="center"/>
    </xf>
    <xf numFmtId="177" fontId="45" fillId="6" borderId="29" xfId="0" applyNumberFormat="1" applyFont="1" applyFill="1" applyBorder="1" applyAlignment="1" applyProtection="1">
      <alignment vertical="center"/>
    </xf>
    <xf numFmtId="177" fontId="45" fillId="6" borderId="20" xfId="0" applyNumberFormat="1" applyFont="1" applyFill="1" applyBorder="1" applyAlignment="1" applyProtection="1">
      <alignment vertical="center"/>
    </xf>
    <xf numFmtId="4" fontId="45" fillId="6" borderId="11" xfId="0" applyNumberFormat="1" applyFont="1" applyFill="1" applyBorder="1" applyAlignment="1" applyProtection="1">
      <alignment horizontal="center" vertical="center"/>
    </xf>
    <xf numFmtId="177" fontId="45" fillId="0" borderId="36" xfId="0" applyNumberFormat="1" applyFont="1" applyBorder="1" applyAlignment="1" applyProtection="1">
      <alignment horizontal="center" vertical="center"/>
    </xf>
    <xf numFmtId="177" fontId="45" fillId="0" borderId="25" xfId="0" applyNumberFormat="1" applyFont="1" applyBorder="1" applyAlignment="1" applyProtection="1">
      <alignment vertical="center"/>
    </xf>
    <xf numFmtId="177" fontId="45" fillId="0" borderId="26" xfId="0" applyNumberFormat="1" applyFont="1" applyBorder="1" applyAlignment="1" applyProtection="1">
      <alignment vertical="center"/>
    </xf>
    <xf numFmtId="177" fontId="45" fillId="0" borderId="29" xfId="0" applyNumberFormat="1" applyFont="1" applyBorder="1" applyAlignment="1" applyProtection="1">
      <alignment vertical="center"/>
    </xf>
    <xf numFmtId="177" fontId="45" fillId="0" borderId="20" xfId="0" applyNumberFormat="1" applyFont="1" applyBorder="1" applyAlignment="1" applyProtection="1">
      <alignment vertical="center"/>
    </xf>
    <xf numFmtId="49" fontId="45" fillId="6" borderId="25" xfId="0" applyNumberFormat="1" applyFont="1" applyFill="1" applyBorder="1" applyAlignment="1" applyProtection="1">
      <alignment vertical="center"/>
    </xf>
    <xf numFmtId="49" fontId="45" fillId="6" borderId="26" xfId="0" applyNumberFormat="1" applyFont="1" applyFill="1" applyBorder="1" applyAlignment="1" applyProtection="1">
      <alignment vertical="center"/>
    </xf>
    <xf numFmtId="49" fontId="45" fillId="6" borderId="29" xfId="0" applyNumberFormat="1" applyFont="1" applyFill="1" applyBorder="1" applyAlignment="1" applyProtection="1">
      <alignment vertical="center"/>
    </xf>
    <xf numFmtId="49" fontId="45" fillId="6" borderId="20" xfId="0" applyNumberFormat="1" applyFont="1" applyFill="1" applyBorder="1" applyAlignment="1" applyProtection="1">
      <alignment vertical="center"/>
    </xf>
    <xf numFmtId="4" fontId="46" fillId="6" borderId="11" xfId="0" applyNumberFormat="1" applyFont="1" applyFill="1" applyBorder="1" applyAlignment="1" applyProtection="1">
      <alignment horizontal="center" vertical="center"/>
    </xf>
    <xf numFmtId="0" fontId="52" fillId="0" borderId="0" xfId="0" applyFont="1" applyAlignment="1" applyProtection="1">
      <alignment horizontal="center" vertical="center"/>
    </xf>
    <xf numFmtId="0" fontId="50" fillId="0" borderId="0" xfId="0" applyFont="1" applyAlignment="1" applyProtection="1">
      <alignment horizontal="justify" vertical="center"/>
    </xf>
    <xf numFmtId="168" fontId="50" fillId="0" borderId="0" xfId="0" applyNumberFormat="1" applyFont="1" applyAlignment="1" applyProtection="1">
      <alignment vertical="center"/>
    </xf>
    <xf numFmtId="4" fontId="46" fillId="0" borderId="0" xfId="0" applyNumberFormat="1" applyFont="1" applyAlignment="1" applyProtection="1">
      <alignment vertical="center"/>
    </xf>
    <xf numFmtId="4" fontId="50" fillId="0" borderId="0" xfId="0" applyNumberFormat="1" applyFont="1" applyAlignment="1" applyProtection="1">
      <alignment horizontal="center" vertical="center"/>
    </xf>
    <xf numFmtId="168" fontId="50" fillId="0" borderId="63" xfId="0" applyNumberFormat="1" applyFont="1" applyBorder="1" applyAlignment="1" applyProtection="1">
      <alignment horizontal="center" vertical="center"/>
    </xf>
    <xf numFmtId="4" fontId="45" fillId="0" borderId="116" xfId="0" applyNumberFormat="1" applyFont="1" applyBorder="1" applyAlignment="1" applyProtection="1">
      <alignment horizontal="center" vertical="center"/>
    </xf>
    <xf numFmtId="10" fontId="48" fillId="0" borderId="87" xfId="0" applyNumberFormat="1" applyFont="1" applyBorder="1" applyAlignment="1" applyProtection="1">
      <alignment horizontal="center" vertical="center"/>
    </xf>
    <xf numFmtId="168" fontId="50" fillId="0" borderId="64" xfId="0" applyNumberFormat="1" applyFont="1" applyBorder="1" applyAlignment="1" applyProtection="1">
      <alignment horizontal="center" vertical="center"/>
    </xf>
    <xf numFmtId="4" fontId="45" fillId="0" borderId="98" xfId="0" applyNumberFormat="1" applyFont="1" applyBorder="1" applyAlignment="1" applyProtection="1">
      <alignment horizontal="center" vertical="center"/>
    </xf>
    <xf numFmtId="10" fontId="48" fillId="0" borderId="95" xfId="0" applyNumberFormat="1" applyFont="1" applyBorder="1" applyAlignment="1" applyProtection="1">
      <alignment horizontal="center" vertical="center"/>
    </xf>
    <xf numFmtId="4" fontId="52" fillId="0" borderId="0" xfId="0" applyNumberFormat="1" applyFont="1" applyAlignment="1" applyProtection="1">
      <alignment vertical="center"/>
    </xf>
    <xf numFmtId="4" fontId="52" fillId="0" borderId="0" xfId="0" applyNumberFormat="1" applyFont="1" applyAlignment="1" applyProtection="1">
      <alignment horizontal="center" vertical="center"/>
    </xf>
    <xf numFmtId="4" fontId="52" fillId="0" borderId="0" xfId="0" applyNumberFormat="1" applyFont="1" applyAlignment="1" applyProtection="1">
      <alignment horizontal="center" vertical="center"/>
    </xf>
    <xf numFmtId="4" fontId="52" fillId="0" borderId="0" xfId="0" applyNumberFormat="1" applyFont="1" applyAlignment="1" applyProtection="1">
      <alignment horizontal="left" vertical="center"/>
    </xf>
    <xf numFmtId="4" fontId="14" fillId="0" borderId="0" xfId="0" applyNumberFormat="1" applyFont="1" applyAlignment="1" applyProtection="1">
      <alignment horizontal="right" vertical="center"/>
    </xf>
    <xf numFmtId="44" fontId="52" fillId="0" borderId="0" xfId="4" applyFont="1" applyAlignment="1" applyProtection="1">
      <alignment horizontal="center" vertical="center"/>
    </xf>
    <xf numFmtId="4" fontId="14" fillId="0" borderId="0" xfId="0" quotePrefix="1" applyNumberFormat="1" applyFont="1" applyAlignment="1" applyProtection="1">
      <alignment vertical="center"/>
    </xf>
    <xf numFmtId="4" fontId="14" fillId="0" borderId="0" xfId="0" quotePrefix="1" applyNumberFormat="1" applyFont="1" applyAlignment="1" applyProtection="1">
      <alignment horizontal="right" vertical="center"/>
    </xf>
    <xf numFmtId="44" fontId="14" fillId="0" borderId="0" xfId="4" quotePrefix="1" applyFont="1" applyAlignment="1" applyProtection="1">
      <alignment horizontal="center" vertical="center"/>
    </xf>
    <xf numFmtId="168" fontId="50" fillId="0" borderId="0" xfId="0" applyNumberFormat="1" applyFont="1" applyAlignment="1" applyProtection="1">
      <alignment horizontal="center" vertical="center"/>
    </xf>
    <xf numFmtId="168" fontId="55" fillId="0" borderId="0" xfId="0" applyNumberFormat="1" applyFont="1" applyAlignment="1" applyProtection="1">
      <alignment horizontal="right" vertical="center"/>
    </xf>
    <xf numFmtId="168" fontId="55" fillId="0" borderId="0" xfId="0" applyNumberFormat="1" applyFont="1" applyAlignment="1" applyProtection="1">
      <alignment vertical="center"/>
    </xf>
    <xf numFmtId="168" fontId="55" fillId="0" borderId="0" xfId="0" applyNumberFormat="1" applyFont="1" applyAlignment="1" applyProtection="1">
      <alignment horizontal="center" vertical="center"/>
    </xf>
    <xf numFmtId="0" fontId="55" fillId="0" borderId="0" xfId="0" applyFont="1" applyAlignment="1" applyProtection="1">
      <alignment horizontal="center" vertical="center"/>
    </xf>
    <xf numFmtId="0" fontId="39" fillId="0" borderId="0" xfId="0" applyFont="1" applyAlignment="1" applyProtection="1">
      <alignment vertical="center"/>
    </xf>
    <xf numFmtId="168" fontId="56" fillId="0" borderId="0" xfId="0" applyNumberFormat="1" applyFont="1" applyAlignment="1" applyProtection="1">
      <alignment vertical="center"/>
    </xf>
    <xf numFmtId="4" fontId="56" fillId="0" borderId="0" xfId="0" applyNumberFormat="1" applyFont="1" applyAlignment="1" applyProtection="1">
      <alignment vertical="center"/>
    </xf>
    <xf numFmtId="4" fontId="56" fillId="0" borderId="0" xfId="0" applyNumberFormat="1" applyFont="1" applyAlignment="1" applyProtection="1">
      <alignment horizontal="center" vertical="center"/>
    </xf>
    <xf numFmtId="168" fontId="56" fillId="0" borderId="0" xfId="0" applyNumberFormat="1" applyFont="1" applyAlignment="1" applyProtection="1">
      <alignment horizontal="center" vertical="center"/>
    </xf>
    <xf numFmtId="172" fontId="56" fillId="0" borderId="0" xfId="0" applyNumberFormat="1" applyFont="1" applyAlignment="1" applyProtection="1">
      <alignment horizontal="center" vertical="center"/>
    </xf>
    <xf numFmtId="0" fontId="56" fillId="0" borderId="0" xfId="0" applyFont="1" applyAlignment="1" applyProtection="1">
      <alignment vertical="center"/>
    </xf>
    <xf numFmtId="4" fontId="50" fillId="0" borderId="0" xfId="0" applyNumberFormat="1" applyFont="1" applyAlignment="1" applyProtection="1">
      <alignment horizontal="justify" vertical="center"/>
    </xf>
    <xf numFmtId="4" fontId="46" fillId="0" borderId="0" xfId="0" applyNumberFormat="1" applyFont="1" applyAlignment="1" applyProtection="1">
      <alignment horizontal="center" vertical="center"/>
    </xf>
    <xf numFmtId="40" fontId="50" fillId="0" borderId="0" xfId="0" applyNumberFormat="1" applyFont="1" applyAlignment="1" applyProtection="1">
      <alignment horizontal="center" vertical="center"/>
    </xf>
    <xf numFmtId="0" fontId="49" fillId="0" borderId="0" xfId="0" applyFont="1" applyAlignment="1" applyProtection="1">
      <alignment horizontal="center" vertical="center"/>
    </xf>
    <xf numFmtId="49" fontId="50" fillId="0" borderId="0" xfId="0" applyNumberFormat="1" applyFont="1" applyAlignment="1" applyProtection="1">
      <alignment horizontal="center" vertical="center"/>
    </xf>
    <xf numFmtId="10" fontId="51" fillId="0" borderId="0" xfId="0" applyNumberFormat="1" applyFont="1" applyAlignment="1" applyProtection="1">
      <alignment vertical="center"/>
    </xf>
    <xf numFmtId="4" fontId="49" fillId="0" borderId="0" xfId="0" applyNumberFormat="1" applyFont="1" applyAlignment="1" applyProtection="1">
      <alignment vertical="center"/>
    </xf>
    <xf numFmtId="10" fontId="51" fillId="0" borderId="0" xfId="0" applyNumberFormat="1" applyFont="1" applyAlignment="1" applyProtection="1">
      <alignment horizontal="center" vertical="center"/>
    </xf>
  </cellXfs>
  <cellStyles count="38">
    <cellStyle name="Excel Built-in Normal" xfId="1" xr:uid="{00000000-0005-0000-0000-000000000000}"/>
    <cellStyle name="Excel Built-in Normal 1" xfId="2" xr:uid="{00000000-0005-0000-0000-000001000000}"/>
    <cellStyle name="Hiperlink 2" xfId="3" xr:uid="{00000000-0005-0000-0000-000002000000}"/>
    <cellStyle name="Moeda" xfId="4" builtinId="4"/>
    <cellStyle name="Moeda_Anexo 02 - Orçamento e Cronograma Reforma ETA - Final - Revisão 3" xfId="5" xr:uid="{00000000-0005-0000-0000-000004000000}"/>
    <cellStyle name="Moeda_INSUMOS SeMAE" xfId="6" xr:uid="{00000000-0005-0000-0000-000005000000}"/>
    <cellStyle name="Normal" xfId="0" builtinId="0"/>
    <cellStyle name="Normal 12" xfId="33" xr:uid="{00000000-0005-0000-0000-000007000000}"/>
    <cellStyle name="Normal 2" xfId="7" xr:uid="{00000000-0005-0000-0000-000008000000}"/>
    <cellStyle name="Normal 2 2" xfId="25" xr:uid="{00000000-0005-0000-0000-000009000000}"/>
    <cellStyle name="Normal 2 8" xfId="35" xr:uid="{00000000-0005-0000-0000-00000A000000}"/>
    <cellStyle name="Normal 3" xfId="8" xr:uid="{00000000-0005-0000-0000-00000B000000}"/>
    <cellStyle name="Normal 3 2 2 2" xfId="27" xr:uid="{00000000-0005-0000-0000-00000C000000}"/>
    <cellStyle name="Normal 3 2 2 2 2" xfId="31" xr:uid="{00000000-0005-0000-0000-00000D000000}"/>
    <cellStyle name="Normal 4" xfId="9" xr:uid="{00000000-0005-0000-0000-00000E000000}"/>
    <cellStyle name="Normal 5" xfId="10" xr:uid="{00000000-0005-0000-0000-00000F000000}"/>
    <cellStyle name="Normal 6" xfId="11" xr:uid="{00000000-0005-0000-0000-000010000000}"/>
    <cellStyle name="Normal 7" xfId="12" xr:uid="{00000000-0005-0000-0000-000011000000}"/>
    <cellStyle name="Normal 8 2" xfId="28" xr:uid="{00000000-0005-0000-0000-000012000000}"/>
    <cellStyle name="Normal 8 2 2" xfId="29" xr:uid="{00000000-0005-0000-0000-000013000000}"/>
    <cellStyle name="Normal 9" xfId="13" xr:uid="{00000000-0005-0000-0000-000014000000}"/>
    <cellStyle name="Normal 9 2" xfId="36" xr:uid="{44619466-B9EA-4AA7-80F8-DF51B52E0F18}"/>
    <cellStyle name="Normal_Bombinhas_SES_ABR_04" xfId="37" xr:uid="{F8A23D36-92BA-4961-B97A-8FCB33F51344}"/>
    <cellStyle name="Porcentagem" xfId="14" builtinId="5"/>
    <cellStyle name="Porcentagem 2" xfId="15" xr:uid="{00000000-0005-0000-0000-000017000000}"/>
    <cellStyle name="Porcentagem 2 2" xfId="26" xr:uid="{00000000-0005-0000-0000-000018000000}"/>
    <cellStyle name="Porcentagem 3" xfId="30" xr:uid="{00000000-0005-0000-0000-000019000000}"/>
    <cellStyle name="Porcentagem 5" xfId="32" xr:uid="{00000000-0005-0000-0000-00001A000000}"/>
    <cellStyle name="Porcentagem 9" xfId="16" xr:uid="{00000000-0005-0000-0000-00001B000000}"/>
    <cellStyle name="Separador de milhares 2" xfId="18" xr:uid="{00000000-0005-0000-0000-00001C000000}"/>
    <cellStyle name="Separador de milhares 3" xfId="19" xr:uid="{00000000-0005-0000-0000-00001D000000}"/>
    <cellStyle name="Separador de milhares 4" xfId="20" xr:uid="{00000000-0005-0000-0000-00001E000000}"/>
    <cellStyle name="Separador de milhares 5" xfId="21" xr:uid="{00000000-0005-0000-0000-00001F000000}"/>
    <cellStyle name="Separador de milhares 6" xfId="22" xr:uid="{00000000-0005-0000-0000-000020000000}"/>
    <cellStyle name="Título 1 1" xfId="23" xr:uid="{00000000-0005-0000-0000-000022000000}"/>
    <cellStyle name="Título 1 1 1" xfId="24" xr:uid="{00000000-0005-0000-0000-000023000000}"/>
    <cellStyle name="Vírgula" xfId="17" builtinId="3"/>
    <cellStyle name="Vírgula 2" xfId="34" xr:uid="{00000000-0005-0000-0000-00002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6E6E6"/>
      <rgbColor rgb="00E6E6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9"/>
      <color rgb="FFE1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51955</xdr:colOff>
      <xdr:row>0</xdr:row>
      <xdr:rowOff>43296</xdr:rowOff>
    </xdr:from>
    <xdr:to>
      <xdr:col>3</xdr:col>
      <xdr:colOff>74340</xdr:colOff>
      <xdr:row>1</xdr:row>
      <xdr:rowOff>173181</xdr:rowOff>
    </xdr:to>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955" y="43296"/>
          <a:ext cx="1336835" cy="49183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52919</xdr:colOff>
      <xdr:row>29</xdr:row>
      <xdr:rowOff>126998</xdr:rowOff>
    </xdr:from>
    <xdr:to>
      <xdr:col>2</xdr:col>
      <xdr:colOff>84668</xdr:colOff>
      <xdr:row>32</xdr:row>
      <xdr:rowOff>63499</xdr:rowOff>
    </xdr:to>
    <xdr:pic>
      <xdr:nvPicPr>
        <xdr:cNvPr id="5" name="Imagem 4">
          <a:extLst>
            <a:ext uri="{FF2B5EF4-FFF2-40B4-BE49-F238E27FC236}">
              <a16:creationId xmlns:a16="http://schemas.microsoft.com/office/drawing/2014/main" id="{16487FA1-8E96-471E-A9FB-839BFA77484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919" y="8432798"/>
          <a:ext cx="4489449" cy="422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21</xdr:col>
      <xdr:colOff>23813</xdr:colOff>
      <xdr:row>2</xdr:row>
      <xdr:rowOff>23812</xdr:rowOff>
    </xdr:from>
    <xdr:to>
      <xdr:col>33</xdr:col>
      <xdr:colOff>538050</xdr:colOff>
      <xdr:row>20</xdr:row>
      <xdr:rowOff>129299</xdr:rowOff>
    </xdr:to>
    <xdr:pic>
      <xdr:nvPicPr>
        <xdr:cNvPr id="5" name="Imagem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1" cstate="print"/>
        <a:srcRect l="18694" t="24900" r="32573" b="34811"/>
        <a:stretch/>
      </xdr:blipFill>
      <xdr:spPr>
        <a:xfrm>
          <a:off x="17793230" y="341312"/>
          <a:ext cx="7880237" cy="341807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91763</xdr:colOff>
      <xdr:row>0</xdr:row>
      <xdr:rowOff>156826</xdr:rowOff>
    </xdr:from>
    <xdr:to>
      <xdr:col>1</xdr:col>
      <xdr:colOff>457631</xdr:colOff>
      <xdr:row>2</xdr:row>
      <xdr:rowOff>99159</xdr:rowOff>
    </xdr:to>
    <xdr:pic>
      <xdr:nvPicPr>
        <xdr:cNvPr id="3" name="Imagem 2" descr="logo semae.jpg">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91763" y="156826"/>
          <a:ext cx="884451" cy="344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21</xdr:col>
      <xdr:colOff>23813</xdr:colOff>
      <xdr:row>2</xdr:row>
      <xdr:rowOff>23812</xdr:rowOff>
    </xdr:from>
    <xdr:to>
      <xdr:col>33</xdr:col>
      <xdr:colOff>538050</xdr:colOff>
      <xdr:row>20</xdr:row>
      <xdr:rowOff>129299</xdr:rowOff>
    </xdr:to>
    <xdr:pic>
      <xdr:nvPicPr>
        <xdr:cNvPr id="2" name="Imagem 1">
          <a:extLst>
            <a:ext uri="{FF2B5EF4-FFF2-40B4-BE49-F238E27FC236}">
              <a16:creationId xmlns:a16="http://schemas.microsoft.com/office/drawing/2014/main" id="{00000000-0008-0000-0A00-000002000000}"/>
            </a:ext>
          </a:extLst>
        </xdr:cNvPr>
        <xdr:cNvPicPr>
          <a:picLocks noChangeAspect="1"/>
        </xdr:cNvPicPr>
      </xdr:nvPicPr>
      <xdr:blipFill rotWithShape="1">
        <a:blip xmlns:r="http://schemas.openxmlformats.org/officeDocument/2006/relationships" r:embed="rId1" cstate="print"/>
        <a:srcRect l="18694" t="24900" r="32573" b="34811"/>
        <a:stretch/>
      </xdr:blipFill>
      <xdr:spPr>
        <a:xfrm>
          <a:off x="17711738" y="347662"/>
          <a:ext cx="7829437" cy="3458287"/>
        </a:xfrm>
        <a:prstGeom prst="rect">
          <a:avLst/>
        </a:prstGeom>
      </xdr:spPr>
    </xdr:pic>
    <xdr:clientData/>
  </xdr:twoCellAnchor>
  <xdr:twoCellAnchor editAs="oneCell">
    <xdr:from>
      <xdr:col>0</xdr:col>
      <xdr:colOff>74544</xdr:colOff>
      <xdr:row>0</xdr:row>
      <xdr:rowOff>91109</xdr:rowOff>
    </xdr:from>
    <xdr:to>
      <xdr:col>1</xdr:col>
      <xdr:colOff>250320</xdr:colOff>
      <xdr:row>2</xdr:row>
      <xdr:rowOff>118857</xdr:rowOff>
    </xdr:to>
    <xdr:pic>
      <xdr:nvPicPr>
        <xdr:cNvPr id="3" name="Imagem 2" descr="logo semae.jpg">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stretch>
          <a:fillRect/>
        </a:stretch>
      </xdr:blipFill>
      <xdr:spPr>
        <a:xfrm>
          <a:off x="74544" y="91109"/>
          <a:ext cx="880626" cy="351598"/>
        </a:xfrm>
        <a:prstGeom prst="rect">
          <a:avLst/>
        </a:prstGeom>
      </xdr:spPr>
    </xdr:pic>
    <xdr:clientData/>
  </xdr:twoCellAnchor>
  <xdr:twoCellAnchor editAs="oneCell">
    <xdr:from>
      <xdr:col>10</xdr:col>
      <xdr:colOff>560916</xdr:colOff>
      <xdr:row>13</xdr:row>
      <xdr:rowOff>74851</xdr:rowOff>
    </xdr:from>
    <xdr:to>
      <xdr:col>20</xdr:col>
      <xdr:colOff>433917</xdr:colOff>
      <xdr:row>43</xdr:row>
      <xdr:rowOff>102443</xdr:rowOff>
    </xdr:to>
    <xdr:pic>
      <xdr:nvPicPr>
        <xdr:cNvPr id="4" name="Imagem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543241" y="2094151"/>
          <a:ext cx="5969001" cy="7533292"/>
        </a:xfrm>
        <a:prstGeom prst="rect">
          <a:avLst/>
        </a:prstGeom>
      </xdr:spPr>
    </xdr:pic>
    <xdr:clientData/>
  </xdr:twoCellAnchor>
  <xdr:twoCellAnchor>
    <xdr:from>
      <xdr:col>17</xdr:col>
      <xdr:colOff>603250</xdr:colOff>
      <xdr:row>16</xdr:row>
      <xdr:rowOff>232833</xdr:rowOff>
    </xdr:from>
    <xdr:to>
      <xdr:col>20</xdr:col>
      <xdr:colOff>319339</xdr:colOff>
      <xdr:row>42</xdr:row>
      <xdr:rowOff>353850</xdr:rowOff>
    </xdr:to>
    <xdr:sp macro="" textlink="">
      <xdr:nvSpPr>
        <xdr:cNvPr id="5" name="Retângulo 4">
          <a:extLst>
            <a:ext uri="{FF2B5EF4-FFF2-40B4-BE49-F238E27FC236}">
              <a16:creationId xmlns:a16="http://schemas.microsoft.com/office/drawing/2014/main" id="{00000000-0008-0000-0A00-000005000000}"/>
            </a:ext>
          </a:extLst>
        </xdr:cNvPr>
        <xdr:cNvSpPr/>
      </xdr:nvSpPr>
      <xdr:spPr bwMode="auto">
        <a:xfrm>
          <a:off x="15852775" y="2918883"/>
          <a:ext cx="1544889" cy="6598017"/>
        </a:xfrm>
        <a:prstGeom prst="rect">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pt-B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scadelai\Desktop\Manuten&#231;&#227;o%20Eletromec&#226;nica\Arquivos%20Licita&#231;&#227;o\MANUTEN&#199;&#195;O%20ELETROMEC&#194;NICA%20-%20PLANILHA%20DO%20LICITAN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E\Relat&#243;rio%205\ORIGINAIS%20-%20N&#195;O%20MEXER\C&#193;LCULOS%20SANCAD\REDE13\Planilhas%20para%20Memorial\REDE14IN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scadelai\Desktop\Concorr&#234;ncia%202019-001%20-%20Reforma%20ETA%20-%20PAC-FIN%20-%20ELEVA&#199;&#195;O\Originais%20-%202019\REFORMA%20E%20AMPLIA&#199;&#195;O%20ETA%20-%20REV%203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scadelai\Desktop\Licita&#231;&#227;o%20Reforma%20ETA%20-%20PAC-FIN\Originais%20-%202019\REFORMA%20E%20AMPLIA&#199;&#195;O%20ETA%20-%20REV%203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ocuments%20and%20Settings\mscadelai\Desktop\Manuten&#231;&#227;o%20Civil\Originais\Anexos%20II,%20III,%20IV,%20V,%20VI%20e%20VII%20-%20SeMAE.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CONTRATOS\ATIVOS\Centroprojekt%20-%20Contrato%20036.15%20-%20Reforma%20e%20Ampliacao%20ETA%20-%20PAC-FIN\Fiscaliza&#231;&#227;o\Medi&#231;&#245;es\Medi&#231;&#227;o%2007\Caixa\01.%20Boletim%20de%20Medi&#231;&#227;o%20-%207&#170;%20Medi&#231;&#227;o.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mscadelai\Desktop\Licita&#231;&#227;o%20-%20Interceptores%20PAC-OGU\Arquivos%20Licita&#231;&#227;o\An&#225;lise%20Licita&#231;&#227;o\Constroeste\CONSTROESTE%20-%20REPROG.%20FILADELPHO%20-%20REV%201%20-%20SOMENTE%20ETAPA%202.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GOM-A/Manuten&#231;&#227;o/DIVIS&#195;O%20DE%20MANUTEN&#199;&#195;O%20CIVIL/Contratos%20em%20processo%20de%20elabora&#231;&#227;o/Manuten&#231;&#227;o%20Civil%20-%20Per&#237;odo%203/Planilhas%20Quantitativos%20e%20Levantamentos/Quantitativos_CONTINUA&#199;&#195;O.xlsm"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F:\GOM-A\Manuten&#231;&#227;o\DIVIS&#195;O%20DE%20MANUTEN&#199;&#195;O%20CIVIL\Contratos%20em%20processo%20de%20elabora&#231;&#227;o\ESTUDO%20-%20CONTRATO%20GERAL%20MANUTEN&#199;&#195;O%20CIVIL\Levantamento%20de%20Quantitativos.xlsm" TargetMode="External"/><Relationship Id="rId1" Type="http://schemas.openxmlformats.org/officeDocument/2006/relationships/externalLinkPath" Target="/GOM-A/Manuten&#231;&#227;o/DIVIS&#195;O%20DE%20MANUTEN&#199;&#195;O%20CIVIL/Contratos%20em%20processo%20de%20elabora&#231;&#227;o/ESTUDO%20-%20CONTRATO%20GERAL%20MANUTEN&#199;&#195;O%20CIVIL/Levantamento%20de%20Quantitativos.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rschiapati\Documents\Processos\Manuten&#231;&#227;o%20Civil%20Ano%202\Mem&#243;ria%20de%20C&#225;lculo%20GOM%20A.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F:\GOM-A\Manuten&#231;&#227;o\DIVIS&#195;O%20DE%20MANUTEN&#199;&#195;O%20CIVIL\Contratos%20em%20processo%20de%20elabora&#231;&#227;o\ESTUDO%20-%20CONTRATO%20GERAL%20MANUTEN&#199;&#195;O%20CIVIL\Cronograma%20de%20Execu&#231;&#227;o%20atualizado.xlsx" TargetMode="External"/><Relationship Id="rId1" Type="http://schemas.openxmlformats.org/officeDocument/2006/relationships/externalLinkPath" Target="/GOM-A/Manuten&#231;&#227;o/DIVIS&#195;O%20DE%20MANUTEN&#199;&#195;O%20CIVIL/Contratos%20em%20processo%20de%20elabora&#231;&#227;o/ESTUDO%20-%20CONTRATO%20GERAL%20MANUTEN&#199;&#195;O%20CIVIL/Cronograma%20de%20Execu&#231;&#227;o%20atualizado.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file:///F:\GOM-A\Manuten&#231;&#227;o\DIVIS&#195;O%20DE%20MANUTEN&#199;&#195;O%20CIVIL\Contratos%20em%20processo%20de%20elabora&#231;&#227;o\Contrato%202026%20-%20Manuten&#231;&#227;o%20Civil\Contrato%20de%20Civil%20-%20Periodo%2005%20_%20REV%20FINAL_Rev02.xlsx" TargetMode="External"/><Relationship Id="rId1" Type="http://schemas.openxmlformats.org/officeDocument/2006/relationships/externalLinkPath" Target="Contrato%20de%20Civil%20-%20Periodo%2005%20_%20REV%20FINAL_Rev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ENCHIMENTO"/>
      <sheetName val="AII"/>
      <sheetName val="AIII"/>
      <sheetName val="AIV"/>
      <sheetName val="AV"/>
      <sheetName val="AVI"/>
      <sheetName val="AVII"/>
      <sheetName val="AVIII"/>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adrao"/>
      <sheetName val="Resumo"/>
      <sheetName val="Dados"/>
      <sheetName val="Parametros"/>
    </sheetNames>
    <sheetDataSet>
      <sheetData sheetId="0"/>
      <sheetData sheetId="1"/>
      <sheetData sheetId="2"/>
      <sheetData sheetId="3">
        <row r="2">
          <cell r="K2">
            <v>150</v>
          </cell>
          <cell r="L2">
            <v>0.45</v>
          </cell>
        </row>
        <row r="3">
          <cell r="K3">
            <v>10150</v>
          </cell>
          <cell r="L3">
            <v>0.5</v>
          </cell>
          <cell r="M3">
            <v>0.5</v>
          </cell>
          <cell r="N3">
            <v>0.6</v>
          </cell>
          <cell r="O3">
            <v>0.65</v>
          </cell>
          <cell r="P3">
            <v>0.85</v>
          </cell>
        </row>
        <row r="4">
          <cell r="K4">
            <v>20150</v>
          </cell>
          <cell r="L4">
            <v>0.6</v>
          </cell>
          <cell r="M4">
            <v>0.6</v>
          </cell>
          <cell r="N4">
            <v>0.7</v>
          </cell>
          <cell r="O4">
            <v>0.75</v>
          </cell>
          <cell r="P4">
            <v>0.85</v>
          </cell>
        </row>
        <row r="5">
          <cell r="K5">
            <v>200</v>
          </cell>
          <cell r="L5">
            <v>0.55000000000000004</v>
          </cell>
          <cell r="M5">
            <v>0.55000000000000004</v>
          </cell>
          <cell r="N5">
            <v>0.65</v>
          </cell>
          <cell r="O5">
            <v>0.7</v>
          </cell>
          <cell r="P5">
            <v>0.9</v>
          </cell>
        </row>
        <row r="6">
          <cell r="K6">
            <v>10200</v>
          </cell>
          <cell r="L6">
            <v>0.55000000000000004</v>
          </cell>
          <cell r="M6">
            <v>0.55000000000000004</v>
          </cell>
          <cell r="N6">
            <v>0.65</v>
          </cell>
          <cell r="O6">
            <v>0.7</v>
          </cell>
          <cell r="P6">
            <v>0.9</v>
          </cell>
        </row>
        <row r="7">
          <cell r="K7">
            <v>20200</v>
          </cell>
          <cell r="L7">
            <v>0.65</v>
          </cell>
          <cell r="M7">
            <v>0.65</v>
          </cell>
          <cell r="N7">
            <v>0.75</v>
          </cell>
          <cell r="O7">
            <v>0.8</v>
          </cell>
          <cell r="P7">
            <v>0.9</v>
          </cell>
        </row>
        <row r="8">
          <cell r="K8">
            <v>250</v>
          </cell>
          <cell r="L8">
            <v>0.6</v>
          </cell>
          <cell r="M8">
            <v>0.6</v>
          </cell>
          <cell r="N8">
            <v>0.7</v>
          </cell>
          <cell r="O8">
            <v>0.75</v>
          </cell>
          <cell r="P8">
            <v>0.95</v>
          </cell>
        </row>
        <row r="9">
          <cell r="K9">
            <v>10250</v>
          </cell>
          <cell r="L9">
            <v>0.6</v>
          </cell>
          <cell r="M9">
            <v>0.6</v>
          </cell>
          <cell r="N9">
            <v>0.7</v>
          </cell>
          <cell r="O9">
            <v>0.75</v>
          </cell>
          <cell r="P9">
            <v>0.95</v>
          </cell>
        </row>
        <row r="10">
          <cell r="K10">
            <v>20250</v>
          </cell>
          <cell r="L10">
            <v>0.7</v>
          </cell>
          <cell r="M10">
            <v>0.7</v>
          </cell>
          <cell r="N10">
            <v>0.8</v>
          </cell>
          <cell r="O10">
            <v>0.85</v>
          </cell>
          <cell r="P10">
            <v>0.95</v>
          </cell>
        </row>
        <row r="11">
          <cell r="K11">
            <v>300</v>
          </cell>
          <cell r="L11">
            <v>0.65</v>
          </cell>
          <cell r="M11">
            <v>0.65</v>
          </cell>
          <cell r="N11">
            <v>0.75</v>
          </cell>
          <cell r="O11">
            <v>0.8</v>
          </cell>
          <cell r="P11">
            <v>1</v>
          </cell>
        </row>
        <row r="12">
          <cell r="K12">
            <v>10300</v>
          </cell>
          <cell r="L12">
            <v>0.65</v>
          </cell>
          <cell r="M12">
            <v>0.65</v>
          </cell>
          <cell r="N12">
            <v>0.75</v>
          </cell>
          <cell r="O12">
            <v>0.8</v>
          </cell>
          <cell r="P12">
            <v>1</v>
          </cell>
        </row>
        <row r="13">
          <cell r="K13">
            <v>20300</v>
          </cell>
          <cell r="L13">
            <v>0.75</v>
          </cell>
          <cell r="M13">
            <v>0.75</v>
          </cell>
          <cell r="N13">
            <v>0.85</v>
          </cell>
          <cell r="O13">
            <v>0.9</v>
          </cell>
          <cell r="P13">
            <v>1</v>
          </cell>
        </row>
        <row r="14">
          <cell r="K14">
            <v>350</v>
          </cell>
          <cell r="L14">
            <v>0.7</v>
          </cell>
          <cell r="M14">
            <v>0.7</v>
          </cell>
          <cell r="N14">
            <v>0.8</v>
          </cell>
          <cell r="O14">
            <v>0.85</v>
          </cell>
          <cell r="P14">
            <v>1.05</v>
          </cell>
        </row>
        <row r="15">
          <cell r="K15">
            <v>10350</v>
          </cell>
          <cell r="L15">
            <v>0.7</v>
          </cell>
          <cell r="M15">
            <v>0.7</v>
          </cell>
          <cell r="N15">
            <v>0.8</v>
          </cell>
          <cell r="O15">
            <v>0.85</v>
          </cell>
          <cell r="P15">
            <v>1.05</v>
          </cell>
        </row>
        <row r="16">
          <cell r="K16">
            <v>20350</v>
          </cell>
          <cell r="L16">
            <v>0.8</v>
          </cell>
          <cell r="M16">
            <v>0.8</v>
          </cell>
          <cell r="N16">
            <v>0.9</v>
          </cell>
          <cell r="O16">
            <v>0.95</v>
          </cell>
          <cell r="P16">
            <v>1.05</v>
          </cell>
        </row>
        <row r="17">
          <cell r="K17">
            <v>400</v>
          </cell>
          <cell r="L17">
            <v>0.75</v>
          </cell>
          <cell r="M17">
            <v>0.75</v>
          </cell>
          <cell r="N17">
            <v>0.85</v>
          </cell>
          <cell r="O17">
            <v>0.9</v>
          </cell>
          <cell r="P17">
            <v>1.1000000000000001</v>
          </cell>
        </row>
        <row r="18">
          <cell r="K18">
            <v>10400</v>
          </cell>
          <cell r="L18">
            <v>0.75</v>
          </cell>
          <cell r="M18">
            <v>0.75</v>
          </cell>
          <cell r="N18">
            <v>0.85</v>
          </cell>
          <cell r="O18">
            <v>0.9</v>
          </cell>
          <cell r="P18">
            <v>1.1000000000000001</v>
          </cell>
        </row>
        <row r="19">
          <cell r="K19">
            <v>20400</v>
          </cell>
          <cell r="L19">
            <v>0.85</v>
          </cell>
          <cell r="M19">
            <v>0.85</v>
          </cell>
          <cell r="N19">
            <v>0.95</v>
          </cell>
          <cell r="O19">
            <v>1</v>
          </cell>
          <cell r="P19">
            <v>1.1000000000000001</v>
          </cell>
        </row>
        <row r="20">
          <cell r="K20">
            <v>500</v>
          </cell>
          <cell r="L20">
            <v>0.85</v>
          </cell>
          <cell r="M20">
            <v>0.85</v>
          </cell>
          <cell r="N20">
            <v>0.95</v>
          </cell>
          <cell r="O20">
            <v>1</v>
          </cell>
          <cell r="P20">
            <v>1.2</v>
          </cell>
        </row>
        <row r="21">
          <cell r="K21">
            <v>10500</v>
          </cell>
          <cell r="L21">
            <v>0.85</v>
          </cell>
          <cell r="M21">
            <v>0.85</v>
          </cell>
          <cell r="N21">
            <v>0.95</v>
          </cell>
          <cell r="O21">
            <v>1</v>
          </cell>
          <cell r="P21">
            <v>1.2</v>
          </cell>
        </row>
        <row r="22">
          <cell r="K22">
            <v>20500</v>
          </cell>
          <cell r="L22">
            <v>0.95</v>
          </cell>
          <cell r="M22">
            <v>0.95</v>
          </cell>
          <cell r="N22">
            <v>1.05</v>
          </cell>
          <cell r="O22">
            <v>1.1000000000000001</v>
          </cell>
          <cell r="P22">
            <v>1.2</v>
          </cell>
        </row>
        <row r="23">
          <cell r="K23">
            <v>600</v>
          </cell>
          <cell r="L23">
            <v>0.95</v>
          </cell>
          <cell r="M23">
            <v>0.95</v>
          </cell>
          <cell r="N23">
            <v>1.05</v>
          </cell>
          <cell r="O23">
            <v>1.1000000000000001</v>
          </cell>
          <cell r="P23">
            <v>1.3</v>
          </cell>
        </row>
        <row r="24">
          <cell r="K24">
            <v>10600</v>
          </cell>
          <cell r="L24">
            <v>0.95</v>
          </cell>
          <cell r="M24">
            <v>0.95</v>
          </cell>
          <cell r="N24">
            <v>1.05</v>
          </cell>
          <cell r="O24">
            <v>1.1000000000000001</v>
          </cell>
          <cell r="P24">
            <v>1.3</v>
          </cell>
        </row>
        <row r="25">
          <cell r="K25">
            <v>20600</v>
          </cell>
          <cell r="L25">
            <v>1.05</v>
          </cell>
          <cell r="M25">
            <v>1.05</v>
          </cell>
          <cell r="N25">
            <v>1.1499999999999999</v>
          </cell>
          <cell r="O25">
            <v>1.2</v>
          </cell>
          <cell r="P25">
            <v>1.3</v>
          </cell>
        </row>
        <row r="26">
          <cell r="K26">
            <v>700</v>
          </cell>
          <cell r="L26">
            <v>1.3</v>
          </cell>
          <cell r="M26">
            <v>1.3</v>
          </cell>
          <cell r="N26">
            <v>1.4</v>
          </cell>
          <cell r="O26">
            <v>1.45</v>
          </cell>
          <cell r="P26">
            <v>1.65</v>
          </cell>
        </row>
        <row r="27">
          <cell r="K27">
            <v>10700</v>
          </cell>
          <cell r="L27">
            <v>1.3</v>
          </cell>
          <cell r="M27">
            <v>1.3</v>
          </cell>
          <cell r="N27">
            <v>1.4</v>
          </cell>
          <cell r="O27">
            <v>1.45</v>
          </cell>
          <cell r="P27">
            <v>1.65</v>
          </cell>
        </row>
        <row r="28">
          <cell r="K28">
            <v>20700</v>
          </cell>
          <cell r="L28">
            <v>1.4</v>
          </cell>
          <cell r="M28">
            <v>1.4</v>
          </cell>
          <cell r="N28">
            <v>1.5</v>
          </cell>
          <cell r="O28">
            <v>1.55</v>
          </cell>
          <cell r="P28">
            <v>1.65</v>
          </cell>
        </row>
        <row r="29">
          <cell r="K29">
            <v>800</v>
          </cell>
          <cell r="L29">
            <v>1.4</v>
          </cell>
          <cell r="M29">
            <v>1.4</v>
          </cell>
          <cell r="N29">
            <v>1.5</v>
          </cell>
          <cell r="O29">
            <v>1.55</v>
          </cell>
          <cell r="P29">
            <v>1.75</v>
          </cell>
        </row>
        <row r="30">
          <cell r="K30">
            <v>10800</v>
          </cell>
          <cell r="L30">
            <v>1.4</v>
          </cell>
          <cell r="M30">
            <v>1.4</v>
          </cell>
          <cell r="N30">
            <v>1.5</v>
          </cell>
          <cell r="O30">
            <v>1.55</v>
          </cell>
          <cell r="P30">
            <v>1.75</v>
          </cell>
        </row>
        <row r="31">
          <cell r="K31">
            <v>20800</v>
          </cell>
          <cell r="L31">
            <v>1.5</v>
          </cell>
          <cell r="M31">
            <v>1.5</v>
          </cell>
          <cell r="N31">
            <v>1.6</v>
          </cell>
          <cell r="O31">
            <v>1.65</v>
          </cell>
          <cell r="P31">
            <v>1.75</v>
          </cell>
        </row>
        <row r="32">
          <cell r="K32">
            <v>900</v>
          </cell>
          <cell r="N32">
            <v>1.6</v>
          </cell>
          <cell r="O32">
            <v>1.65</v>
          </cell>
          <cell r="P32">
            <v>1.85</v>
          </cell>
        </row>
        <row r="33">
          <cell r="K33">
            <v>10900</v>
          </cell>
          <cell r="N33">
            <v>1.6</v>
          </cell>
          <cell r="O33">
            <v>1.65</v>
          </cell>
          <cell r="P33">
            <v>1.85</v>
          </cell>
        </row>
        <row r="34">
          <cell r="K34">
            <v>20900</v>
          </cell>
          <cell r="N34">
            <v>1.7</v>
          </cell>
          <cell r="O34">
            <v>1.75</v>
          </cell>
          <cell r="P34">
            <v>1.85</v>
          </cell>
        </row>
        <row r="35">
          <cell r="K35">
            <v>1000</v>
          </cell>
          <cell r="P35">
            <v>1.95</v>
          </cell>
        </row>
        <row r="36">
          <cell r="K36">
            <v>11000</v>
          </cell>
          <cell r="P36">
            <v>1.95</v>
          </cell>
        </row>
        <row r="37">
          <cell r="K37">
            <v>21000</v>
          </cell>
          <cell r="N37">
            <v>1.85</v>
          </cell>
          <cell r="O37">
            <v>1.85</v>
          </cell>
          <cell r="P37">
            <v>1.95</v>
          </cell>
        </row>
        <row r="38">
          <cell r="K38">
            <v>1200</v>
          </cell>
        </row>
        <row r="39">
          <cell r="K39">
            <v>11200</v>
          </cell>
        </row>
        <row r="40">
          <cell r="K40">
            <v>21200</v>
          </cell>
          <cell r="O40">
            <v>2.0499999999999998</v>
          </cell>
          <cell r="P40">
            <v>2.15</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II"/>
      <sheetName val="II.1"/>
      <sheetName val="II.2"/>
      <sheetName val="II.3"/>
      <sheetName val="II.4"/>
      <sheetName val="II.5"/>
      <sheetName val="II.6"/>
      <sheetName val="II.7"/>
      <sheetName val="II.8"/>
      <sheetName val="II.9"/>
      <sheetName val="II.10"/>
      <sheetName val="II.11"/>
      <sheetName val="II.12"/>
      <sheetName val="II.13"/>
      <sheetName val="II.14"/>
      <sheetName val="II.15"/>
      <sheetName val="III"/>
      <sheetName val="IV"/>
      <sheetName val="V"/>
      <sheetName val="VI-1"/>
      <sheetName val="VI-2"/>
      <sheetName val="Anexo VII"/>
      <sheetName val="Anexo VIII"/>
      <sheetName val="Esgotamento"/>
      <sheetName val="MC - PAINÉIS"/>
      <sheetName val="Série Histórica IPCA"/>
      <sheetName val="Justificativas"/>
      <sheetName val="COTAÇÕES"/>
      <sheetName val="MC - ATUADORES"/>
      <sheetName val="MC - ITEM 2.3"/>
      <sheetName val="MC - ITEM 3.3"/>
      <sheetName val="MC - ITEM 4.3"/>
      <sheetName val="MC - ITEM 5.3"/>
      <sheetName val="MC - ITEM 6.3"/>
      <sheetName val="MC - ITEM 7.3"/>
      <sheetName val="MC - ITEM 10.3.1"/>
      <sheetName val="MC - ITEM 10.3.2-10.3.8"/>
      <sheetName val="MC - ITEM 13"/>
      <sheetName val="MC - ITEM 14"/>
      <sheetName val="MC - DESMONTAGEM"/>
      <sheetName val="MC - MB - AT"/>
      <sheetName val="MC - CABOS EQUIP"/>
      <sheetName val="MC - CABOS PAINÉIS"/>
      <sheetName val="MC - CABOS ATUADOR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sheetData sheetId="13"/>
      <sheetData sheetId="14"/>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II"/>
      <sheetName val="II.1"/>
      <sheetName val="II.2"/>
      <sheetName val="II.3"/>
      <sheetName val="II.4"/>
      <sheetName val="II.5"/>
      <sheetName val="II.6"/>
      <sheetName val="II.7"/>
      <sheetName val="II.8"/>
      <sheetName val="II.9"/>
      <sheetName val="II.10"/>
      <sheetName val="II.11"/>
      <sheetName val="II.12"/>
      <sheetName val="II.13"/>
      <sheetName val="II.14"/>
      <sheetName val="II.15"/>
      <sheetName val="III"/>
      <sheetName val="IV"/>
      <sheetName val="V"/>
      <sheetName val="VI-1"/>
      <sheetName val="VI-2"/>
      <sheetName val="Anexo VII"/>
      <sheetName val="Anexo VIII"/>
      <sheetName val="Esgotamento"/>
      <sheetName val="MC - PAINÉIS"/>
      <sheetName val="Série Histórica IPCA"/>
      <sheetName val="Justificativas"/>
      <sheetName val="COTAÇÕES"/>
      <sheetName val="MC - ATUADORES"/>
      <sheetName val="MC - ITEM 2.3"/>
      <sheetName val="MC - ITEM 3.3"/>
      <sheetName val="MC - ITEM 4.3"/>
      <sheetName val="MC - ITEM 5.3"/>
      <sheetName val="MC - ITEM 6.3"/>
      <sheetName val="MC - ITEM 7.3"/>
      <sheetName val="MC - ITEM 10.3.1"/>
      <sheetName val="MC - ITEM 10.3.2-10.3.8"/>
      <sheetName val="MC - ITEM 13"/>
      <sheetName val="MC - ITEM 14"/>
      <sheetName val="MC - DESMONTAGEM"/>
      <sheetName val="MC - MB - AT"/>
      <sheetName val="MC - CABOS EQUIP"/>
      <sheetName val="MC - CABOS PAINÉIS"/>
      <sheetName val="MC - CABOS ATUADORES"/>
      <sheetName val="PREENCHIMENTO"/>
      <sheetName val="Preços Mat. Elé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II"/>
      <sheetName val="Anexo III"/>
      <sheetName val="Anexo IV"/>
      <sheetName val="Anexo V insumos"/>
      <sheetName val="Anexo VI  BDI"/>
      <sheetName val="Anexo VII Leis sociais"/>
      <sheetName val="Anexo VIII"/>
    </sheetNames>
    <sheetDataSet>
      <sheetData sheetId="0">
        <row r="2">
          <cell r="O2">
            <v>0</v>
          </cell>
        </row>
        <row r="12">
          <cell r="A12" t="str">
            <v>ITEM</v>
          </cell>
          <cell r="B12" t="str">
            <v>SERVIÇO</v>
          </cell>
          <cell r="C12" t="str">
            <v>UNID.</v>
          </cell>
          <cell r="D12" t="str">
            <v>QUANT.</v>
          </cell>
          <cell r="E12" t="str">
            <v>PREÇO</v>
          </cell>
          <cell r="F12" t="str">
            <v>MAT</v>
          </cell>
          <cell r="G12">
            <v>0</v>
          </cell>
          <cell r="H12" t="str">
            <v>SERVIÇO</v>
          </cell>
          <cell r="I12">
            <v>0</v>
          </cell>
          <cell r="J12" t="str">
            <v>MO</v>
          </cell>
          <cell r="K12">
            <v>0</v>
          </cell>
          <cell r="L12" t="str">
            <v>PREÇO</v>
          </cell>
          <cell r="M12" t="str">
            <v>%</v>
          </cell>
        </row>
        <row r="13">
          <cell r="A13">
            <v>0</v>
          </cell>
          <cell r="B13">
            <v>0</v>
          </cell>
          <cell r="C13">
            <v>0</v>
          </cell>
          <cell r="D13">
            <v>0</v>
          </cell>
          <cell r="E13" t="str">
            <v>UNIT.(R$)</v>
          </cell>
          <cell r="F13" t="str">
            <v>R$</v>
          </cell>
          <cell r="G13">
            <v>0</v>
          </cell>
          <cell r="H13" t="str">
            <v>R$</v>
          </cell>
          <cell r="I13">
            <v>0</v>
          </cell>
          <cell r="J13" t="str">
            <v>R$</v>
          </cell>
          <cell r="K13">
            <v>0</v>
          </cell>
          <cell r="L13" t="str">
            <v>TOTAL(R$)</v>
          </cell>
          <cell r="M13">
            <v>0</v>
          </cell>
        </row>
        <row r="14">
          <cell r="A14">
            <v>0</v>
          </cell>
          <cell r="B14">
            <v>0</v>
          </cell>
          <cell r="C14">
            <v>0</v>
          </cell>
          <cell r="D14">
            <v>0</v>
          </cell>
          <cell r="E14">
            <v>0</v>
          </cell>
          <cell r="F14">
            <v>0</v>
          </cell>
          <cell r="G14">
            <v>0</v>
          </cell>
          <cell r="H14">
            <v>0</v>
          </cell>
          <cell r="I14">
            <v>0</v>
          </cell>
          <cell r="J14">
            <v>0</v>
          </cell>
          <cell r="K14">
            <v>0</v>
          </cell>
          <cell r="L14">
            <v>0</v>
          </cell>
          <cell r="M14">
            <v>0</v>
          </cell>
        </row>
        <row r="15">
          <cell r="A15" t="str">
            <v>1.0</v>
          </cell>
          <cell r="B15" t="str">
            <v>CANTEIRO DE OBRAS</v>
          </cell>
          <cell r="C15" t="str">
            <v>SUB-TOTAL</v>
          </cell>
          <cell r="D15">
            <v>0</v>
          </cell>
          <cell r="E15">
            <v>0</v>
          </cell>
          <cell r="F15">
            <v>2261.4299999999998</v>
          </cell>
          <cell r="G15">
            <v>2261.4299999999998</v>
          </cell>
          <cell r="H15">
            <v>204869.90000000002</v>
          </cell>
          <cell r="I15">
            <v>204869.90000000002</v>
          </cell>
          <cell r="J15">
            <v>295.56</v>
          </cell>
          <cell r="K15">
            <v>295.56</v>
          </cell>
          <cell r="L15">
            <v>207426.89</v>
          </cell>
          <cell r="M15">
            <v>2.4687000000000001E-2</v>
          </cell>
        </row>
        <row r="16">
          <cell r="A16">
            <v>0</v>
          </cell>
          <cell r="B16">
            <v>0</v>
          </cell>
          <cell r="C16">
            <v>0</v>
          </cell>
          <cell r="D16">
            <v>0</v>
          </cell>
          <cell r="E16">
            <v>0</v>
          </cell>
          <cell r="F16">
            <v>1.0902E-2</v>
          </cell>
          <cell r="G16" t="str">
            <v>sim</v>
          </cell>
          <cell r="H16">
            <v>0.98767300000000002</v>
          </cell>
          <cell r="I16" t="str">
            <v>sim</v>
          </cell>
          <cell r="J16">
            <v>1.4250000000000001E-3</v>
          </cell>
          <cell r="K16" t="str">
            <v>sim</v>
          </cell>
          <cell r="L16">
            <v>0</v>
          </cell>
          <cell r="M16">
            <v>0</v>
          </cell>
        </row>
        <row r="17">
          <cell r="A17" t="str">
            <v>1.1</v>
          </cell>
          <cell r="B17" t="str">
            <v>Instalação de Canteiro de Obras (DER/SP) (Item 5.1 do MD)</v>
          </cell>
          <cell r="C17" t="str">
            <v>vb</v>
          </cell>
          <cell r="D17">
            <v>1</v>
          </cell>
          <cell r="E17">
            <v>122921.94</v>
          </cell>
          <cell r="F17">
            <v>0</v>
          </cell>
          <cell r="G17">
            <v>0</v>
          </cell>
          <cell r="H17">
            <v>122921.94</v>
          </cell>
          <cell r="I17">
            <v>122921.94</v>
          </cell>
          <cell r="J17">
            <v>0</v>
          </cell>
          <cell r="K17">
            <v>0</v>
          </cell>
          <cell r="L17">
            <v>122921.94</v>
          </cell>
          <cell r="M17">
            <v>1.4630000000000001E-2</v>
          </cell>
        </row>
        <row r="18">
          <cell r="A18" t="str">
            <v>1.2</v>
          </cell>
          <cell r="B18" t="str">
            <v>Operação e Manutenção de Canteiro de Obras (DER/SP) (Item 5.1 do MD)</v>
          </cell>
          <cell r="C18" t="str">
            <v>vb</v>
          </cell>
          <cell r="D18">
            <v>1</v>
          </cell>
          <cell r="E18">
            <v>71704.460000000006</v>
          </cell>
          <cell r="F18">
            <v>0</v>
          </cell>
          <cell r="G18">
            <v>0</v>
          </cell>
          <cell r="H18">
            <v>71704.460000000006</v>
          </cell>
          <cell r="I18">
            <v>71704.460000000006</v>
          </cell>
          <cell r="J18">
            <v>0</v>
          </cell>
          <cell r="K18">
            <v>0</v>
          </cell>
          <cell r="L18">
            <v>71704.460000000006</v>
          </cell>
          <cell r="M18">
            <v>8.5339999999999999E-3</v>
          </cell>
        </row>
        <row r="19">
          <cell r="A19" t="str">
            <v>1.3</v>
          </cell>
          <cell r="B19" t="str">
            <v>Desmobilização de Canteiro de Obras (DER/SP) (Item 5.1 do MD)</v>
          </cell>
          <cell r="C19" t="str">
            <v>vb</v>
          </cell>
          <cell r="D19">
            <v>1</v>
          </cell>
          <cell r="E19">
            <v>10243.5</v>
          </cell>
          <cell r="F19">
            <v>0</v>
          </cell>
          <cell r="G19">
            <v>0</v>
          </cell>
          <cell r="H19">
            <v>10243.5</v>
          </cell>
          <cell r="I19">
            <v>10243.5</v>
          </cell>
          <cell r="J19">
            <v>0</v>
          </cell>
          <cell r="K19">
            <v>0</v>
          </cell>
          <cell r="L19">
            <v>10243.5</v>
          </cell>
          <cell r="M19">
            <v>1.219E-3</v>
          </cell>
        </row>
        <row r="20">
          <cell r="A20" t="str">
            <v>1.4</v>
          </cell>
          <cell r="B20" t="str">
            <v>Placa de identificação de obra, conforme padrão SeMAE (Item 5.1 do MD)</v>
          </cell>
          <cell r="C20" t="str">
            <v>m2</v>
          </cell>
          <cell r="D20">
            <v>9</v>
          </cell>
          <cell r="E20">
            <v>284.11</v>
          </cell>
          <cell r="F20">
            <v>251.27000000000004</v>
          </cell>
          <cell r="G20">
            <v>2261.4299999999998</v>
          </cell>
          <cell r="H20">
            <v>0</v>
          </cell>
          <cell r="I20">
            <v>0</v>
          </cell>
          <cell r="J20">
            <v>32.840000000000003</v>
          </cell>
          <cell r="K20">
            <v>295.56</v>
          </cell>
          <cell r="L20">
            <v>2556.9899999999998</v>
          </cell>
          <cell r="M20">
            <v>3.0400000000000002E-4</v>
          </cell>
        </row>
        <row r="21">
          <cell r="A21">
            <v>0</v>
          </cell>
          <cell r="B21">
            <v>0</v>
          </cell>
          <cell r="C21">
            <v>0</v>
          </cell>
          <cell r="D21">
            <v>0</v>
          </cell>
          <cell r="E21">
            <v>0</v>
          </cell>
          <cell r="F21">
            <v>0</v>
          </cell>
          <cell r="G21">
            <v>0</v>
          </cell>
          <cell r="H21">
            <v>0</v>
          </cell>
          <cell r="I21">
            <v>0</v>
          </cell>
          <cell r="J21">
            <v>0</v>
          </cell>
          <cell r="K21">
            <v>0</v>
          </cell>
          <cell r="L21">
            <v>0</v>
          </cell>
          <cell r="M21">
            <v>0</v>
          </cell>
        </row>
        <row r="22">
          <cell r="A22" t="str">
            <v>2.0</v>
          </cell>
          <cell r="B22" t="str">
            <v>SERVIÇOS INICIAIS</v>
          </cell>
          <cell r="C22" t="str">
            <v>SUB-TOTAL</v>
          </cell>
          <cell r="D22">
            <v>0</v>
          </cell>
          <cell r="E22">
            <v>0</v>
          </cell>
          <cell r="F22">
            <v>13525</v>
          </cell>
          <cell r="G22">
            <v>13525</v>
          </cell>
          <cell r="H22">
            <v>134717</v>
          </cell>
          <cell r="I22">
            <v>134717</v>
          </cell>
          <cell r="J22">
            <v>241867.5</v>
          </cell>
          <cell r="K22">
            <v>241867.5</v>
          </cell>
          <cell r="L22">
            <v>390109.5</v>
          </cell>
          <cell r="M22">
            <v>4.6428999999999998E-2</v>
          </cell>
        </row>
        <row r="23">
          <cell r="A23">
            <v>0</v>
          </cell>
          <cell r="B23">
            <v>0</v>
          </cell>
          <cell r="C23">
            <v>0</v>
          </cell>
          <cell r="D23">
            <v>0</v>
          </cell>
          <cell r="E23">
            <v>0</v>
          </cell>
          <cell r="F23">
            <v>3.4669999999999999E-2</v>
          </cell>
          <cell r="G23" t="str">
            <v>sim</v>
          </cell>
          <cell r="H23">
            <v>0.345331</v>
          </cell>
          <cell r="I23" t="str">
            <v>sim</v>
          </cell>
          <cell r="J23">
            <v>0.61999899999999997</v>
          </cell>
          <cell r="K23" t="str">
            <v>sim</v>
          </cell>
          <cell r="L23">
            <v>0</v>
          </cell>
          <cell r="M23">
            <v>0</v>
          </cell>
        </row>
        <row r="24">
          <cell r="A24" t="str">
            <v>2.1</v>
          </cell>
          <cell r="B24" t="str">
            <v>Limpeza mecanizada de terreno - remoção de terra vegetal (Item 5.2.1 do MD)</v>
          </cell>
          <cell r="C24" t="str">
            <v>m2</v>
          </cell>
          <cell r="D24">
            <v>5500</v>
          </cell>
          <cell r="E24">
            <v>1.05</v>
          </cell>
          <cell r="F24">
            <v>0</v>
          </cell>
          <cell r="G24">
            <v>0</v>
          </cell>
          <cell r="H24">
            <v>1</v>
          </cell>
          <cell r="I24">
            <v>5500</v>
          </cell>
          <cell r="J24">
            <v>0.05</v>
          </cell>
          <cell r="K24">
            <v>275</v>
          </cell>
          <cell r="L24">
            <v>5775</v>
          </cell>
          <cell r="M24">
            <v>6.87E-4</v>
          </cell>
        </row>
        <row r="25">
          <cell r="A25" t="str">
            <v>2.2</v>
          </cell>
          <cell r="B25" t="str">
            <v>Limpeza de áreas públicas ou áreas do SeMAE para retirada de entulhos ou materiais diversos</v>
          </cell>
          <cell r="C25" t="str">
            <v>un</v>
          </cell>
          <cell r="D25">
            <v>500</v>
          </cell>
          <cell r="E25">
            <v>238.04000000000002</v>
          </cell>
          <cell r="F25">
            <v>0</v>
          </cell>
          <cell r="G25">
            <v>0</v>
          </cell>
          <cell r="H25">
            <v>173.66000000000003</v>
          </cell>
          <cell r="I25">
            <v>86830</v>
          </cell>
          <cell r="J25">
            <v>64.38</v>
          </cell>
          <cell r="K25">
            <v>32190</v>
          </cell>
          <cell r="L25">
            <v>119020</v>
          </cell>
          <cell r="M25">
            <v>1.4165000000000001E-2</v>
          </cell>
        </row>
        <row r="26">
          <cell r="A26" t="str">
            <v>2.3</v>
          </cell>
          <cell r="B26" t="str">
            <v>Limpeza de boca de lobo (Item 5.2.2 do MD)</v>
          </cell>
          <cell r="C26" t="str">
            <v>un</v>
          </cell>
          <cell r="D26">
            <v>500</v>
          </cell>
          <cell r="E26">
            <v>46.44</v>
          </cell>
          <cell r="F26">
            <v>0</v>
          </cell>
          <cell r="G26">
            <v>0</v>
          </cell>
          <cell r="H26">
            <v>0</v>
          </cell>
          <cell r="I26">
            <v>0</v>
          </cell>
          <cell r="J26">
            <v>46.44</v>
          </cell>
          <cell r="K26">
            <v>23220</v>
          </cell>
          <cell r="L26">
            <v>23220</v>
          </cell>
          <cell r="M26">
            <v>2.764E-3</v>
          </cell>
        </row>
        <row r="27">
          <cell r="A27" t="str">
            <v>2.4</v>
          </cell>
          <cell r="B27" t="str">
            <v>Tapume chapa compensada resinada 10 mm (Item 5.2.3 do MD)</v>
          </cell>
          <cell r="C27" t="str">
            <v>m2</v>
          </cell>
          <cell r="D27">
            <v>500</v>
          </cell>
          <cell r="E27">
            <v>45.67</v>
          </cell>
          <cell r="F27">
            <v>19.399999999999999</v>
          </cell>
          <cell r="G27">
            <v>9700</v>
          </cell>
          <cell r="H27">
            <v>0</v>
          </cell>
          <cell r="I27">
            <v>0</v>
          </cell>
          <cell r="J27">
            <v>26.27</v>
          </cell>
          <cell r="K27">
            <v>13135</v>
          </cell>
          <cell r="L27">
            <v>22835</v>
          </cell>
          <cell r="M27">
            <v>2.7179999999999999E-3</v>
          </cell>
        </row>
        <row r="28">
          <cell r="A28" t="str">
            <v>2.5</v>
          </cell>
          <cell r="B28" t="str">
            <v>Escavação manual de valas em solo de 1ª categoria com profundidade até 2,0 m (Item 5.2.4 do MD)</v>
          </cell>
          <cell r="C28" t="str">
            <v>m3</v>
          </cell>
          <cell r="D28">
            <v>100</v>
          </cell>
          <cell r="E28">
            <v>53.379999999999995</v>
          </cell>
          <cell r="F28">
            <v>0</v>
          </cell>
          <cell r="G28">
            <v>0</v>
          </cell>
          <cell r="H28">
            <v>0</v>
          </cell>
          <cell r="I28">
            <v>0</v>
          </cell>
          <cell r="J28">
            <v>53.379999999999995</v>
          </cell>
          <cell r="K28">
            <v>5338</v>
          </cell>
          <cell r="L28">
            <v>5338</v>
          </cell>
          <cell r="M28">
            <v>6.3500000000000004E-4</v>
          </cell>
        </row>
        <row r="29">
          <cell r="A29" t="str">
            <v>2.6</v>
          </cell>
          <cell r="B29" t="str">
            <v>Escavação, carga e transporte de material de 1ª Categoria com trator sobre esteiras - DMT 50 a 200m  (Item 5.2.4 do MD)</v>
          </cell>
          <cell r="C29" t="str">
            <v>m3</v>
          </cell>
          <cell r="D29">
            <v>600</v>
          </cell>
          <cell r="E29">
            <v>4.7999999999999989</v>
          </cell>
          <cell r="F29">
            <v>0</v>
          </cell>
          <cell r="G29">
            <v>0</v>
          </cell>
          <cell r="H29">
            <v>4.629999999999999</v>
          </cell>
          <cell r="I29">
            <v>2778</v>
          </cell>
          <cell r="J29">
            <v>0.17</v>
          </cell>
          <cell r="K29">
            <v>102</v>
          </cell>
          <cell r="L29">
            <v>2880</v>
          </cell>
          <cell r="M29">
            <v>3.4299999999999999E-4</v>
          </cell>
        </row>
        <row r="30">
          <cell r="A30" t="str">
            <v>2.7</v>
          </cell>
          <cell r="B30" t="str">
            <v>Escavação mecanizada de valas em solo de 1ª categoria com profundidade acima de 2,0 m (Item 5.2.4 do MD)</v>
          </cell>
          <cell r="C30" t="str">
            <v>m3</v>
          </cell>
          <cell r="D30">
            <v>200</v>
          </cell>
          <cell r="E30">
            <v>6.49</v>
          </cell>
          <cell r="F30">
            <v>0</v>
          </cell>
          <cell r="G30">
            <v>0</v>
          </cell>
          <cell r="H30">
            <v>5.76</v>
          </cell>
          <cell r="I30">
            <v>1152</v>
          </cell>
          <cell r="J30">
            <v>0.73000000000000009</v>
          </cell>
          <cell r="K30">
            <v>146</v>
          </cell>
          <cell r="L30">
            <v>1298</v>
          </cell>
          <cell r="M30">
            <v>1.54E-4</v>
          </cell>
        </row>
        <row r="31">
          <cell r="A31" t="str">
            <v>2.8</v>
          </cell>
          <cell r="B31" t="str">
            <v>Escoramento contínuo de valas, misto, com perfil I de 8"</v>
          </cell>
          <cell r="C31" t="str">
            <v>m2</v>
          </cell>
          <cell r="D31">
            <v>100</v>
          </cell>
          <cell r="E31">
            <v>116.47</v>
          </cell>
          <cell r="F31">
            <v>38.25</v>
          </cell>
          <cell r="G31">
            <v>3825</v>
          </cell>
          <cell r="H31">
            <v>25.33</v>
          </cell>
          <cell r="I31">
            <v>2533</v>
          </cell>
          <cell r="J31">
            <v>52.89</v>
          </cell>
          <cell r="K31">
            <v>5289</v>
          </cell>
          <cell r="L31">
            <v>11647</v>
          </cell>
          <cell r="M31">
            <v>1.3860000000000001E-3</v>
          </cell>
        </row>
        <row r="32">
          <cell r="A32" t="str">
            <v>2.9</v>
          </cell>
          <cell r="B32" t="str">
            <v>Compactação mecânica com controle do GC &gt;= 95% do PN (Com motoniveladora e rolo compressor) (Item 5.2.5 do MD)</v>
          </cell>
          <cell r="C32" t="str">
            <v>m3</v>
          </cell>
          <cell r="D32">
            <v>600</v>
          </cell>
          <cell r="E32">
            <v>3.66</v>
          </cell>
          <cell r="F32">
            <v>0</v>
          </cell>
          <cell r="G32">
            <v>0</v>
          </cell>
          <cell r="H32">
            <v>3.1900000000000004</v>
          </cell>
          <cell r="I32">
            <v>1914</v>
          </cell>
          <cell r="J32">
            <v>0.47</v>
          </cell>
          <cell r="K32">
            <v>282</v>
          </cell>
          <cell r="L32">
            <v>2196</v>
          </cell>
          <cell r="M32">
            <v>2.61E-4</v>
          </cell>
        </row>
        <row r="33">
          <cell r="A33" t="str">
            <v>2.10</v>
          </cell>
          <cell r="B33" t="str">
            <v>Reaterro manual de valas apiloado (Item 5.2.5 do MD)</v>
          </cell>
          <cell r="C33" t="str">
            <v>m3</v>
          </cell>
          <cell r="D33">
            <v>100</v>
          </cell>
          <cell r="E33">
            <v>42.9</v>
          </cell>
          <cell r="F33">
            <v>0</v>
          </cell>
          <cell r="G33">
            <v>0</v>
          </cell>
          <cell r="H33">
            <v>0</v>
          </cell>
          <cell r="I33">
            <v>0</v>
          </cell>
          <cell r="J33">
            <v>42.9</v>
          </cell>
          <cell r="K33">
            <v>4290</v>
          </cell>
          <cell r="L33">
            <v>4290</v>
          </cell>
          <cell r="M33">
            <v>5.1099999999999995E-4</v>
          </cell>
        </row>
        <row r="34">
          <cell r="A34" t="str">
            <v>2.11</v>
          </cell>
          <cell r="B34" t="str">
            <v>Reaterro mecanizado de valas (Item 5.2.5 do MD)</v>
          </cell>
          <cell r="C34" t="str">
            <v>m3</v>
          </cell>
          <cell r="D34">
            <v>200</v>
          </cell>
          <cell r="E34">
            <v>19.580000000000002</v>
          </cell>
          <cell r="F34">
            <v>0</v>
          </cell>
          <cell r="G34">
            <v>0</v>
          </cell>
          <cell r="H34">
            <v>5.28</v>
          </cell>
          <cell r="I34">
            <v>1056</v>
          </cell>
          <cell r="J34">
            <v>14.3</v>
          </cell>
          <cell r="K34">
            <v>2860</v>
          </cell>
          <cell r="L34">
            <v>3916</v>
          </cell>
          <cell r="M34">
            <v>4.66E-4</v>
          </cell>
        </row>
        <row r="35">
          <cell r="A35" t="str">
            <v>2.12</v>
          </cell>
          <cell r="B35" t="str">
            <v xml:space="preserve">Demolição de calçadas e pisos cimentados (Item 5.2.6 do MD) </v>
          </cell>
          <cell r="C35" t="str">
            <v>m2</v>
          </cell>
          <cell r="D35">
            <v>100</v>
          </cell>
          <cell r="E35">
            <v>23.229999999999997</v>
          </cell>
          <cell r="F35">
            <v>0</v>
          </cell>
          <cell r="G35">
            <v>0</v>
          </cell>
          <cell r="H35">
            <v>0</v>
          </cell>
          <cell r="I35">
            <v>0</v>
          </cell>
          <cell r="J35">
            <v>23.229999999999997</v>
          </cell>
          <cell r="K35">
            <v>2323</v>
          </cell>
          <cell r="L35">
            <v>2323</v>
          </cell>
          <cell r="M35">
            <v>2.7599999999999999E-4</v>
          </cell>
        </row>
        <row r="36">
          <cell r="A36" t="str">
            <v>2.13</v>
          </cell>
          <cell r="B36" t="str">
            <v>Demolição de alvenaria em geral s/ reaproveitamento (Item 5.2.6 do MD)</v>
          </cell>
          <cell r="C36" t="str">
            <v>m2</v>
          </cell>
          <cell r="D36">
            <v>100</v>
          </cell>
          <cell r="E36">
            <v>68.87</v>
          </cell>
          <cell r="F36">
            <v>0</v>
          </cell>
          <cell r="G36">
            <v>0</v>
          </cell>
          <cell r="H36">
            <v>0</v>
          </cell>
          <cell r="I36">
            <v>0</v>
          </cell>
          <cell r="J36">
            <v>68.87</v>
          </cell>
          <cell r="K36">
            <v>6887</v>
          </cell>
          <cell r="L36">
            <v>6887</v>
          </cell>
          <cell r="M36">
            <v>8.1999999999999998E-4</v>
          </cell>
        </row>
        <row r="37">
          <cell r="A37" t="str">
            <v>2.14</v>
          </cell>
          <cell r="B37" t="str">
            <v>Demolição de concreto simples (Item 5.2.6do MD)</v>
          </cell>
          <cell r="C37" t="str">
            <v>m3</v>
          </cell>
          <cell r="D37">
            <v>100</v>
          </cell>
          <cell r="E37">
            <v>223.8</v>
          </cell>
          <cell r="F37">
            <v>0</v>
          </cell>
          <cell r="G37">
            <v>0</v>
          </cell>
          <cell r="H37">
            <v>0</v>
          </cell>
          <cell r="I37">
            <v>0</v>
          </cell>
          <cell r="J37">
            <v>223.8</v>
          </cell>
          <cell r="K37">
            <v>22380</v>
          </cell>
          <cell r="L37">
            <v>22380</v>
          </cell>
          <cell r="M37">
            <v>2.6640000000000001E-3</v>
          </cell>
        </row>
        <row r="38">
          <cell r="A38" t="str">
            <v>2.15</v>
          </cell>
          <cell r="B38" t="str">
            <v>Demolição de concreto armado com utilização de martelo rompedor  (Item 5.2.6 do MD)</v>
          </cell>
          <cell r="C38" t="str">
            <v>m3</v>
          </cell>
          <cell r="D38">
            <v>100</v>
          </cell>
          <cell r="E38">
            <v>295.59000000000003</v>
          </cell>
          <cell r="F38">
            <v>0</v>
          </cell>
          <cell r="G38">
            <v>0</v>
          </cell>
          <cell r="H38">
            <v>121.66000000000001</v>
          </cell>
          <cell r="I38">
            <v>12166</v>
          </cell>
          <cell r="J38">
            <v>173.93</v>
          </cell>
          <cell r="K38">
            <v>17393</v>
          </cell>
          <cell r="L38">
            <v>29559</v>
          </cell>
          <cell r="M38">
            <v>3.5179999999999999E-3</v>
          </cell>
        </row>
        <row r="39">
          <cell r="A39" t="str">
            <v>2.16</v>
          </cell>
          <cell r="B39" t="str">
            <v>Remoção de guias em concreto  (Item 5.2.6 do MD)</v>
          </cell>
          <cell r="C39" t="str">
            <v>m</v>
          </cell>
          <cell r="D39">
            <v>500</v>
          </cell>
          <cell r="E39">
            <v>8.64</v>
          </cell>
          <cell r="F39">
            <v>0</v>
          </cell>
          <cell r="G39">
            <v>0</v>
          </cell>
          <cell r="H39">
            <v>0</v>
          </cell>
          <cell r="I39">
            <v>0</v>
          </cell>
          <cell r="J39">
            <v>8.64</v>
          </cell>
          <cell r="K39">
            <v>4320</v>
          </cell>
          <cell r="L39">
            <v>4320</v>
          </cell>
          <cell r="M39">
            <v>5.1400000000000003E-4</v>
          </cell>
        </row>
        <row r="40">
          <cell r="A40" t="str">
            <v>2.17</v>
          </cell>
          <cell r="B40" t="str">
            <v>Remoção de sarjetas em concreto  (Item 5.2.6 do MD)</v>
          </cell>
          <cell r="C40" t="str">
            <v>m</v>
          </cell>
          <cell r="D40">
            <v>500</v>
          </cell>
          <cell r="E40">
            <v>15.479999999999999</v>
          </cell>
          <cell r="F40">
            <v>0</v>
          </cell>
          <cell r="G40">
            <v>0</v>
          </cell>
          <cell r="H40">
            <v>0</v>
          </cell>
          <cell r="I40">
            <v>0</v>
          </cell>
          <cell r="J40">
            <v>15.479999999999999</v>
          </cell>
          <cell r="K40">
            <v>7740</v>
          </cell>
          <cell r="L40">
            <v>7740</v>
          </cell>
          <cell r="M40">
            <v>9.2100000000000005E-4</v>
          </cell>
        </row>
        <row r="41">
          <cell r="A41" t="str">
            <v>2.18</v>
          </cell>
          <cell r="B41" t="str">
            <v>Remoção de pisos em mosaico português  (Item 5.2.6 do MD)</v>
          </cell>
          <cell r="C41" t="str">
            <v>m2</v>
          </cell>
          <cell r="D41">
            <v>600</v>
          </cell>
          <cell r="E41">
            <v>12.38</v>
          </cell>
          <cell r="F41">
            <v>0</v>
          </cell>
          <cell r="G41">
            <v>0</v>
          </cell>
          <cell r="H41">
            <v>0</v>
          </cell>
          <cell r="I41">
            <v>0</v>
          </cell>
          <cell r="J41">
            <v>12.38</v>
          </cell>
          <cell r="K41">
            <v>7428</v>
          </cell>
          <cell r="L41">
            <v>7428</v>
          </cell>
          <cell r="M41">
            <v>8.8400000000000002E-4</v>
          </cell>
        </row>
        <row r="42">
          <cell r="A42" t="str">
            <v>2.19</v>
          </cell>
          <cell r="B42" t="str">
            <v>Remoção de pisos em paralelepípedos  (Item 5.2.6 do MD)</v>
          </cell>
          <cell r="C42" t="str">
            <v>m2</v>
          </cell>
          <cell r="D42">
            <v>600</v>
          </cell>
          <cell r="E42">
            <v>18.579999999999998</v>
          </cell>
          <cell r="F42">
            <v>0</v>
          </cell>
          <cell r="G42">
            <v>0</v>
          </cell>
          <cell r="H42">
            <v>0</v>
          </cell>
          <cell r="I42">
            <v>0</v>
          </cell>
          <cell r="J42">
            <v>18.579999999999998</v>
          </cell>
          <cell r="K42">
            <v>11148</v>
          </cell>
          <cell r="L42">
            <v>11148</v>
          </cell>
          <cell r="M42">
            <v>1.3270000000000001E-3</v>
          </cell>
        </row>
        <row r="43">
          <cell r="A43" t="str">
            <v>2.20</v>
          </cell>
          <cell r="B43" t="str">
            <v>Remoção de pisos em lajotas sextavadas de concreto, inclusive base (Item 5.2.6 do MD)</v>
          </cell>
          <cell r="C43" t="str">
            <v>m2</v>
          </cell>
          <cell r="D43">
            <v>600</v>
          </cell>
          <cell r="E43">
            <v>22.39</v>
          </cell>
          <cell r="F43">
            <v>0</v>
          </cell>
          <cell r="G43">
            <v>0</v>
          </cell>
          <cell r="H43">
            <v>2.37</v>
          </cell>
          <cell r="I43">
            <v>1422</v>
          </cell>
          <cell r="J43">
            <v>20.02</v>
          </cell>
          <cell r="K43">
            <v>12012</v>
          </cell>
          <cell r="L43">
            <v>13434</v>
          </cell>
          <cell r="M43">
            <v>1.5989999999999999E-3</v>
          </cell>
        </row>
        <row r="44">
          <cell r="A44" t="str">
            <v>2.21</v>
          </cell>
          <cell r="B44" t="str">
            <v>Carga manual de materiais provenientes de demolições em geral  (Item 5.2.7 do MD)</v>
          </cell>
          <cell r="C44" t="str">
            <v>m3</v>
          </cell>
          <cell r="D44">
            <v>100</v>
          </cell>
          <cell r="E44">
            <v>10.84</v>
          </cell>
          <cell r="F44">
            <v>0</v>
          </cell>
          <cell r="G44">
            <v>0</v>
          </cell>
          <cell r="H44">
            <v>0</v>
          </cell>
          <cell r="I44">
            <v>0</v>
          </cell>
          <cell r="J44">
            <v>10.84</v>
          </cell>
          <cell r="K44">
            <v>1084</v>
          </cell>
          <cell r="L44">
            <v>1084</v>
          </cell>
          <cell r="M44">
            <v>1.2899999999999999E-4</v>
          </cell>
        </row>
        <row r="45">
          <cell r="A45" t="str">
            <v>2.22</v>
          </cell>
          <cell r="B45" t="str">
            <v>Carga manual e remoção de entulho com transporte até 1 km em caminhão basculante 8 m3 (Item 5.2.7 do MD)</v>
          </cell>
          <cell r="C45" t="str">
            <v>m3</v>
          </cell>
          <cell r="D45">
            <v>100</v>
          </cell>
          <cell r="E45">
            <v>24.07</v>
          </cell>
          <cell r="F45">
            <v>0</v>
          </cell>
          <cell r="G45">
            <v>0</v>
          </cell>
          <cell r="H45">
            <v>5.49</v>
          </cell>
          <cell r="I45">
            <v>549</v>
          </cell>
          <cell r="J45">
            <v>18.579999999999998</v>
          </cell>
          <cell r="K45">
            <v>1858</v>
          </cell>
          <cell r="L45">
            <v>2407</v>
          </cell>
          <cell r="M45">
            <v>2.8600000000000001E-4</v>
          </cell>
        </row>
        <row r="46">
          <cell r="A46" t="str">
            <v>2.23</v>
          </cell>
          <cell r="B46" t="str">
            <v>Carga mecanizada de materiais provenientes de demolições em geral  (Item 5.2.7 do MD)</v>
          </cell>
          <cell r="C46" t="str">
            <v>m3</v>
          </cell>
          <cell r="D46">
            <v>150</v>
          </cell>
          <cell r="E46">
            <v>3.53</v>
          </cell>
          <cell r="F46">
            <v>0</v>
          </cell>
          <cell r="G46">
            <v>0</v>
          </cell>
          <cell r="H46">
            <v>3.53</v>
          </cell>
          <cell r="I46">
            <v>529.5</v>
          </cell>
          <cell r="J46">
            <v>0</v>
          </cell>
          <cell r="K46">
            <v>0</v>
          </cell>
          <cell r="L46">
            <v>529.5</v>
          </cell>
          <cell r="M46">
            <v>6.3E-5</v>
          </cell>
        </row>
        <row r="47">
          <cell r="A47" t="str">
            <v>2.24</v>
          </cell>
          <cell r="B47" t="str">
            <v>Bota-fora e descarga de materiais provenientes de demolições em geral (Item 5.2.7 do MD)</v>
          </cell>
          <cell r="C47" t="str">
            <v>m³xKm</v>
          </cell>
          <cell r="D47">
            <v>2000</v>
          </cell>
          <cell r="E47">
            <v>1.77</v>
          </cell>
          <cell r="F47">
            <v>0</v>
          </cell>
          <cell r="G47">
            <v>0</v>
          </cell>
          <cell r="H47">
            <v>1.77</v>
          </cell>
          <cell r="I47">
            <v>3540</v>
          </cell>
          <cell r="J47">
            <v>0</v>
          </cell>
          <cell r="K47">
            <v>0</v>
          </cell>
          <cell r="L47">
            <v>3540</v>
          </cell>
          <cell r="M47">
            <v>4.2099999999999999E-4</v>
          </cell>
        </row>
        <row r="48">
          <cell r="A48" t="str">
            <v>2.25</v>
          </cell>
          <cell r="B48" t="str">
            <v>Locação Topográfica  (Item 5.2.8 do MD)</v>
          </cell>
          <cell r="C48" t="str">
            <v>un</v>
          </cell>
          <cell r="D48">
            <v>250</v>
          </cell>
          <cell r="E48">
            <v>267.95999999999998</v>
          </cell>
          <cell r="F48">
            <v>0</v>
          </cell>
          <cell r="G48">
            <v>0</v>
          </cell>
          <cell r="H48">
            <v>32.83</v>
          </cell>
          <cell r="I48">
            <v>8207.5</v>
          </cell>
          <cell r="J48">
            <v>235.13</v>
          </cell>
          <cell r="K48">
            <v>58782.5</v>
          </cell>
          <cell r="L48">
            <v>66990</v>
          </cell>
          <cell r="M48">
            <v>7.9729999999999992E-3</v>
          </cell>
        </row>
        <row r="49">
          <cell r="A49" t="str">
            <v>2.26</v>
          </cell>
          <cell r="B49" t="str">
            <v>Demolição de alambrado (Item 5.2.9 do MD)</v>
          </cell>
          <cell r="C49" t="str">
            <v>m</v>
          </cell>
          <cell r="D49">
            <v>500</v>
          </cell>
          <cell r="E49">
            <v>15.85</v>
          </cell>
          <cell r="F49">
            <v>0</v>
          </cell>
          <cell r="G49">
            <v>0</v>
          </cell>
          <cell r="H49">
            <v>13.08</v>
          </cell>
          <cell r="I49">
            <v>6540</v>
          </cell>
          <cell r="J49">
            <v>2.77</v>
          </cell>
          <cell r="K49">
            <v>1385</v>
          </cell>
          <cell r="L49">
            <v>7925</v>
          </cell>
          <cell r="M49">
            <v>9.4300000000000004E-4</v>
          </cell>
        </row>
        <row r="50">
          <cell r="A50">
            <v>0</v>
          </cell>
          <cell r="B50">
            <v>0</v>
          </cell>
          <cell r="C50">
            <v>0</v>
          </cell>
          <cell r="D50">
            <v>0</v>
          </cell>
          <cell r="E50">
            <v>0</v>
          </cell>
          <cell r="F50">
            <v>0</v>
          </cell>
          <cell r="G50">
            <v>0</v>
          </cell>
          <cell r="H50">
            <v>0</v>
          </cell>
          <cell r="I50">
            <v>0</v>
          </cell>
          <cell r="J50">
            <v>0</v>
          </cell>
          <cell r="K50">
            <v>0</v>
          </cell>
          <cell r="L50">
            <v>0</v>
          </cell>
          <cell r="M50">
            <v>0</v>
          </cell>
        </row>
        <row r="51">
          <cell r="A51" t="str">
            <v>3.0</v>
          </cell>
          <cell r="B51" t="str">
            <v>FECHAMENTOS, PROTEÇÕES E ALVENARIAS EM GERAL</v>
          </cell>
          <cell r="C51" t="str">
            <v>SUB-TOTAL</v>
          </cell>
          <cell r="D51">
            <v>0</v>
          </cell>
          <cell r="E51">
            <v>0</v>
          </cell>
          <cell r="F51">
            <v>2074990.9</v>
          </cell>
          <cell r="G51">
            <v>2074990.9</v>
          </cell>
          <cell r="H51">
            <v>261382.3</v>
          </cell>
          <cell r="I51">
            <v>261382.3</v>
          </cell>
          <cell r="J51">
            <v>877566.00000000012</v>
          </cell>
          <cell r="K51">
            <v>877566.00000000012</v>
          </cell>
          <cell r="L51">
            <v>3213939.2</v>
          </cell>
          <cell r="M51">
            <v>0.38251099999999999</v>
          </cell>
        </row>
        <row r="52">
          <cell r="A52">
            <v>0</v>
          </cell>
          <cell r="B52">
            <v>0</v>
          </cell>
          <cell r="C52">
            <v>0</v>
          </cell>
          <cell r="D52">
            <v>0</v>
          </cell>
          <cell r="E52">
            <v>0</v>
          </cell>
          <cell r="F52">
            <v>0.64562200000000003</v>
          </cell>
          <cell r="G52" t="str">
            <v>sim</v>
          </cell>
          <cell r="H52">
            <v>8.1327999999999998E-2</v>
          </cell>
          <cell r="I52" t="str">
            <v>sim</v>
          </cell>
          <cell r="J52">
            <v>0.27305000000000001</v>
          </cell>
          <cell r="K52" t="str">
            <v>sim</v>
          </cell>
          <cell r="L52">
            <v>0</v>
          </cell>
          <cell r="M52">
            <v>0</v>
          </cell>
        </row>
        <row r="53">
          <cell r="A53" t="str">
            <v>3.1</v>
          </cell>
          <cell r="B53" t="str">
            <v>Proteção de Área de Reservatório - Portões, Alambrados e Itens Constituintes</v>
          </cell>
          <cell r="C53">
            <v>0</v>
          </cell>
          <cell r="D53">
            <v>0</v>
          </cell>
          <cell r="E53">
            <v>0</v>
          </cell>
          <cell r="F53">
            <v>0</v>
          </cell>
          <cell r="G53">
            <v>0</v>
          </cell>
          <cell r="H53">
            <v>0</v>
          </cell>
          <cell r="I53">
            <v>0</v>
          </cell>
          <cell r="J53">
            <v>0</v>
          </cell>
          <cell r="K53">
            <v>0</v>
          </cell>
          <cell r="L53">
            <v>0</v>
          </cell>
          <cell r="M53">
            <v>0</v>
          </cell>
        </row>
        <row r="54">
          <cell r="A54" t="str">
            <v>3.1.1</v>
          </cell>
          <cell r="B54" t="str">
            <v>Fornecimento e montagem de alambrado em mourões de concreto (Item 5.3.1 do MD)</v>
          </cell>
          <cell r="C54" t="str">
            <v>m</v>
          </cell>
          <cell r="D54">
            <v>2000</v>
          </cell>
          <cell r="E54">
            <v>114.5</v>
          </cell>
          <cell r="F54">
            <v>68.13</v>
          </cell>
          <cell r="G54">
            <v>136260</v>
          </cell>
          <cell r="H54">
            <v>0</v>
          </cell>
          <cell r="I54">
            <v>0</v>
          </cell>
          <cell r="J54">
            <v>46.370000000000005</v>
          </cell>
          <cell r="K54">
            <v>92740</v>
          </cell>
          <cell r="L54">
            <v>229000</v>
          </cell>
          <cell r="M54">
            <v>2.7255000000000001E-2</v>
          </cell>
        </row>
        <row r="55">
          <cell r="A55" t="str">
            <v>3.1.2</v>
          </cell>
          <cell r="B55" t="str">
            <v>Fornecimento e montagem de alambrado em tela eletro-soldada (Item 5.3.2 do MD)</v>
          </cell>
          <cell r="C55" t="str">
            <v>m</v>
          </cell>
          <cell r="D55">
            <v>200</v>
          </cell>
          <cell r="E55">
            <v>269.54000000000002</v>
          </cell>
          <cell r="F55">
            <v>244.25</v>
          </cell>
          <cell r="G55">
            <v>48850</v>
          </cell>
          <cell r="H55">
            <v>0</v>
          </cell>
          <cell r="I55">
            <v>0</v>
          </cell>
          <cell r="J55">
            <v>25.29</v>
          </cell>
          <cell r="K55">
            <v>5058</v>
          </cell>
          <cell r="L55">
            <v>53908</v>
          </cell>
          <cell r="M55">
            <v>6.4159999999999998E-3</v>
          </cell>
        </row>
        <row r="56">
          <cell r="A56" t="str">
            <v>3.1.3</v>
          </cell>
          <cell r="B56" t="str">
            <v>Fornecimento e instalação de portão em tubo metálico (Item 5.3.3 do MD)</v>
          </cell>
          <cell r="C56" t="str">
            <v>m2</v>
          </cell>
          <cell r="D56">
            <v>120</v>
          </cell>
          <cell r="E56">
            <v>400.5</v>
          </cell>
          <cell r="F56">
            <v>296.69</v>
          </cell>
          <cell r="G56">
            <v>35602.800000000003</v>
          </cell>
          <cell r="H56">
            <v>30.05</v>
          </cell>
          <cell r="I56">
            <v>3606</v>
          </cell>
          <cell r="J56">
            <v>73.759999999999991</v>
          </cell>
          <cell r="K56">
            <v>8851.2000000000007</v>
          </cell>
          <cell r="L56">
            <v>48060</v>
          </cell>
          <cell r="M56">
            <v>5.7200000000000003E-3</v>
          </cell>
        </row>
        <row r="57">
          <cell r="A57" t="str">
            <v>3.1.4</v>
          </cell>
          <cell r="B57" t="str">
            <v>Fornecimento e instalação de portão em tela eletro-soldada (Item 5.3.4 do MD)</v>
          </cell>
          <cell r="C57" t="str">
            <v>m2</v>
          </cell>
          <cell r="D57">
            <v>60</v>
          </cell>
          <cell r="E57">
            <v>418.71</v>
          </cell>
          <cell r="F57">
            <v>361.66999999999996</v>
          </cell>
          <cell r="G57">
            <v>21700.2</v>
          </cell>
          <cell r="H57">
            <v>0</v>
          </cell>
          <cell r="I57">
            <v>0</v>
          </cell>
          <cell r="J57">
            <v>57.040000000000006</v>
          </cell>
          <cell r="K57">
            <v>3422.4</v>
          </cell>
          <cell r="L57">
            <v>25122.600000000002</v>
          </cell>
          <cell r="M57">
            <v>2.99E-3</v>
          </cell>
        </row>
        <row r="58">
          <cell r="A58" t="str">
            <v>3.1.5</v>
          </cell>
          <cell r="B58" t="str">
            <v>Fornecimento e instalação de tela de alambrado (Item 5.3.5 do MD)</v>
          </cell>
          <cell r="C58" t="str">
            <v>m</v>
          </cell>
          <cell r="D58">
            <v>600</v>
          </cell>
          <cell r="E58">
            <v>45.269999999999996</v>
          </cell>
          <cell r="F58">
            <v>32.07</v>
          </cell>
          <cell r="G58">
            <v>19242</v>
          </cell>
          <cell r="H58">
            <v>0</v>
          </cell>
          <cell r="I58">
            <v>0</v>
          </cell>
          <cell r="J58">
            <v>13.2</v>
          </cell>
          <cell r="K58">
            <v>7920</v>
          </cell>
          <cell r="L58">
            <v>27162</v>
          </cell>
          <cell r="M58">
            <v>3.2330000000000002E-3</v>
          </cell>
        </row>
        <row r="59">
          <cell r="A59" t="str">
            <v>3.1.6</v>
          </cell>
          <cell r="B59" t="str">
            <v>Fornecimento e instalação de tela eletro-soldada (Item 5.3.5 do MD)</v>
          </cell>
          <cell r="C59" t="str">
            <v>m</v>
          </cell>
          <cell r="D59">
            <v>200</v>
          </cell>
          <cell r="E59">
            <v>140.29</v>
          </cell>
          <cell r="F59">
            <v>125.03999999999999</v>
          </cell>
          <cell r="G59">
            <v>25008</v>
          </cell>
          <cell r="H59">
            <v>0</v>
          </cell>
          <cell r="I59">
            <v>0</v>
          </cell>
          <cell r="J59">
            <v>15.25</v>
          </cell>
          <cell r="K59">
            <v>3050</v>
          </cell>
          <cell r="L59">
            <v>28058</v>
          </cell>
          <cell r="M59">
            <v>3.339E-3</v>
          </cell>
        </row>
        <row r="60">
          <cell r="A60" t="str">
            <v>3.1.7</v>
          </cell>
          <cell r="B60" t="str">
            <v>Revisão de alambrado (Item 5.3.6 do MD)</v>
          </cell>
          <cell r="C60" t="str">
            <v>m</v>
          </cell>
          <cell r="D60">
            <v>1000</v>
          </cell>
          <cell r="E60">
            <v>19.04</v>
          </cell>
          <cell r="F60">
            <v>2.8600000000000003</v>
          </cell>
          <cell r="G60">
            <v>2860</v>
          </cell>
          <cell r="H60">
            <v>0</v>
          </cell>
          <cell r="I60">
            <v>0</v>
          </cell>
          <cell r="J60">
            <v>16.18</v>
          </cell>
          <cell r="K60">
            <v>16180</v>
          </cell>
          <cell r="L60">
            <v>19040</v>
          </cell>
          <cell r="M60">
            <v>2.2659999999999998E-3</v>
          </cell>
        </row>
        <row r="61">
          <cell r="A61" t="str">
            <v>3.1.8</v>
          </cell>
          <cell r="B61" t="str">
            <v>Fornecimento e instalação de mourões avulsos em concreto (Item 5.3.7 do MD)</v>
          </cell>
          <cell r="C61" t="str">
            <v>un</v>
          </cell>
          <cell r="D61">
            <v>80</v>
          </cell>
          <cell r="E61">
            <v>79.47</v>
          </cell>
          <cell r="F61">
            <v>67.36</v>
          </cell>
          <cell r="G61">
            <v>5388.8</v>
          </cell>
          <cell r="H61">
            <v>0</v>
          </cell>
          <cell r="I61">
            <v>0</v>
          </cell>
          <cell r="J61">
            <v>12.11</v>
          </cell>
          <cell r="K61">
            <v>968.8</v>
          </cell>
          <cell r="L61">
            <v>6357.6</v>
          </cell>
          <cell r="M61">
            <v>7.5699999999999997E-4</v>
          </cell>
        </row>
        <row r="62">
          <cell r="A62" t="str">
            <v>3.1.9</v>
          </cell>
          <cell r="B62" t="str">
            <v>Fornecimento e instalação de pilares avulsos metálicos (Item 5.3.7 do MD)</v>
          </cell>
          <cell r="C62" t="str">
            <v>un</v>
          </cell>
          <cell r="D62">
            <v>30</v>
          </cell>
          <cell r="E62">
            <v>165.42000000000002</v>
          </cell>
          <cell r="F62">
            <v>153.31</v>
          </cell>
          <cell r="G62">
            <v>4599.3</v>
          </cell>
          <cell r="H62">
            <v>0</v>
          </cell>
          <cell r="I62">
            <v>0</v>
          </cell>
          <cell r="J62">
            <v>12.11</v>
          </cell>
          <cell r="K62">
            <v>363.3</v>
          </cell>
          <cell r="L62">
            <v>4962.6000000000004</v>
          </cell>
          <cell r="M62">
            <v>5.9100000000000005E-4</v>
          </cell>
        </row>
        <row r="63">
          <cell r="A63" t="str">
            <v>3.1.10</v>
          </cell>
          <cell r="B63" t="str">
            <v>Fornecimento e instalação de trava de segurança para porta "tipo ferrolho" com cadeado E40 e dispositivo anti arrombamento (Item 5.3.8.1 do MD e Anexo XII)</v>
          </cell>
          <cell r="C63" t="str">
            <v>un</v>
          </cell>
          <cell r="D63">
            <v>50</v>
          </cell>
          <cell r="E63">
            <v>147.75</v>
          </cell>
          <cell r="F63">
            <v>79.41</v>
          </cell>
          <cell r="G63">
            <v>3970.5</v>
          </cell>
          <cell r="H63">
            <v>44.85</v>
          </cell>
          <cell r="I63">
            <v>2242.5</v>
          </cell>
          <cell r="J63">
            <v>23.49</v>
          </cell>
          <cell r="K63">
            <v>1174.5</v>
          </cell>
          <cell r="L63">
            <v>7387.5</v>
          </cell>
          <cell r="M63">
            <v>8.7900000000000001E-4</v>
          </cell>
        </row>
        <row r="64">
          <cell r="A64" t="str">
            <v>3.1.11</v>
          </cell>
          <cell r="B64" t="str">
            <v>Fornecimento e instalação de trava de segurança para porta "tipo fechadura" com cadeado E45 e dispositivo anti arrombamento (Item 5.3.8.2 do MD e Anexo XIII )</v>
          </cell>
          <cell r="C64" t="str">
            <v>un</v>
          </cell>
          <cell r="D64">
            <v>50</v>
          </cell>
          <cell r="E64">
            <v>207.58999999999997</v>
          </cell>
          <cell r="F64">
            <v>118.74</v>
          </cell>
          <cell r="G64">
            <v>5937</v>
          </cell>
          <cell r="H64">
            <v>58.3</v>
          </cell>
          <cell r="I64">
            <v>2915</v>
          </cell>
          <cell r="J64">
            <v>30.549999999999997</v>
          </cell>
          <cell r="K64">
            <v>1527.5</v>
          </cell>
          <cell r="L64">
            <v>10379.5</v>
          </cell>
          <cell r="M64">
            <v>1.235E-3</v>
          </cell>
        </row>
        <row r="65">
          <cell r="A65" t="str">
            <v>3.2</v>
          </cell>
          <cell r="B65" t="str">
            <v>Proteção de Área de Poços</v>
          </cell>
          <cell r="C65">
            <v>0</v>
          </cell>
          <cell r="D65">
            <v>0</v>
          </cell>
          <cell r="E65">
            <v>0</v>
          </cell>
          <cell r="F65">
            <v>0</v>
          </cell>
          <cell r="G65">
            <v>0</v>
          </cell>
          <cell r="H65">
            <v>0</v>
          </cell>
          <cell r="I65">
            <v>0</v>
          </cell>
          <cell r="J65">
            <v>0</v>
          </cell>
          <cell r="K65">
            <v>0</v>
          </cell>
          <cell r="L65">
            <v>0</v>
          </cell>
          <cell r="M65">
            <v>0</v>
          </cell>
        </row>
        <row r="66">
          <cell r="A66" t="str">
            <v>3.2.1</v>
          </cell>
          <cell r="B66" t="str">
            <v>Fornecimento abrigo de proteção para poços. (Item 5.3.9 do MD)</v>
          </cell>
          <cell r="C66" t="str">
            <v>un</v>
          </cell>
          <cell r="D66">
            <v>50</v>
          </cell>
          <cell r="E66">
            <v>1498.96</v>
          </cell>
          <cell r="F66">
            <v>609.33999999999992</v>
          </cell>
          <cell r="G66">
            <v>30467</v>
          </cell>
          <cell r="H66">
            <v>365.36</v>
          </cell>
          <cell r="I66">
            <v>18268</v>
          </cell>
          <cell r="J66">
            <v>524.26</v>
          </cell>
          <cell r="K66">
            <v>26213</v>
          </cell>
          <cell r="L66">
            <v>74948</v>
          </cell>
          <cell r="M66">
            <v>8.9200000000000008E-3</v>
          </cell>
        </row>
        <row r="67">
          <cell r="A67" t="str">
            <v>3.2.2</v>
          </cell>
          <cell r="B67" t="str">
            <v>Fornecimento abrigo de proteção para poços (REFORÇADO). (Item 5.3.9 do MD)</v>
          </cell>
          <cell r="C67" t="str">
            <v>un</v>
          </cell>
          <cell r="D67">
            <v>50</v>
          </cell>
          <cell r="E67">
            <v>1931.49</v>
          </cell>
          <cell r="F67">
            <v>692.39</v>
          </cell>
          <cell r="G67">
            <v>34619.5</v>
          </cell>
          <cell r="H67">
            <v>551.29999999999995</v>
          </cell>
          <cell r="I67">
            <v>27565</v>
          </cell>
          <cell r="J67">
            <v>687.8</v>
          </cell>
          <cell r="K67">
            <v>34390</v>
          </cell>
          <cell r="L67">
            <v>96574.5</v>
          </cell>
          <cell r="M67">
            <v>1.1494000000000001E-2</v>
          </cell>
        </row>
        <row r="68">
          <cell r="A68" t="str">
            <v>3.3</v>
          </cell>
          <cell r="B68" t="str">
            <v xml:space="preserve">Esquadrias e Elementos Metálicos para Proteção de Reservatórios </v>
          </cell>
          <cell r="C68">
            <v>0</v>
          </cell>
          <cell r="D68">
            <v>0</v>
          </cell>
          <cell r="E68">
            <v>0</v>
          </cell>
          <cell r="F68">
            <v>0</v>
          </cell>
          <cell r="G68">
            <v>0</v>
          </cell>
          <cell r="H68">
            <v>0</v>
          </cell>
          <cell r="I68">
            <v>0</v>
          </cell>
          <cell r="J68">
            <v>0</v>
          </cell>
          <cell r="K68">
            <v>0</v>
          </cell>
          <cell r="L68">
            <v>0</v>
          </cell>
          <cell r="M68">
            <v>0</v>
          </cell>
        </row>
        <row r="69">
          <cell r="A69" t="str">
            <v>3.3.1</v>
          </cell>
          <cell r="B69" t="str">
            <v>Execução de porta para Reservatórios (Item 5.3.10 do MD)</v>
          </cell>
          <cell r="C69" t="str">
            <v>un</v>
          </cell>
          <cell r="D69">
            <v>100</v>
          </cell>
          <cell r="E69">
            <v>1766.6200000000001</v>
          </cell>
          <cell r="F69">
            <v>1720.6000000000001</v>
          </cell>
          <cell r="G69">
            <v>172060</v>
          </cell>
          <cell r="H69">
            <v>0</v>
          </cell>
          <cell r="I69">
            <v>0</v>
          </cell>
          <cell r="J69">
            <v>46.019999999999996</v>
          </cell>
          <cell r="K69">
            <v>4602</v>
          </cell>
          <cell r="L69">
            <v>176662</v>
          </cell>
          <cell r="M69">
            <v>2.1026E-2</v>
          </cell>
        </row>
        <row r="70">
          <cell r="A70" t="str">
            <v>3.3.2</v>
          </cell>
          <cell r="B70" t="str">
            <v>Recuperação de porta de Reservatórios (Item 5.3.11 do MD)</v>
          </cell>
          <cell r="C70" t="str">
            <v>m2</v>
          </cell>
          <cell r="D70">
            <v>20</v>
          </cell>
          <cell r="E70">
            <v>224.24</v>
          </cell>
          <cell r="F70">
            <v>56.6</v>
          </cell>
          <cell r="G70">
            <v>1132</v>
          </cell>
          <cell r="H70">
            <v>89.7</v>
          </cell>
          <cell r="I70">
            <v>1794</v>
          </cell>
          <cell r="J70">
            <v>77.94</v>
          </cell>
          <cell r="K70">
            <v>1558.8</v>
          </cell>
          <cell r="L70">
            <v>4484.8</v>
          </cell>
          <cell r="M70">
            <v>5.3399999999999997E-4</v>
          </cell>
        </row>
        <row r="71">
          <cell r="A71" t="str">
            <v>3.3.3</v>
          </cell>
          <cell r="B71" t="str">
            <v>Execução de escada tipo marinheiro com guarda corpo (Item 5.3.12 do MD)</v>
          </cell>
          <cell r="C71" t="str">
            <v>m</v>
          </cell>
          <cell r="D71">
            <v>40</v>
          </cell>
          <cell r="E71">
            <v>180.72000000000003</v>
          </cell>
          <cell r="F71">
            <v>79.510000000000005</v>
          </cell>
          <cell r="G71">
            <v>3180.4</v>
          </cell>
          <cell r="H71">
            <v>44.85</v>
          </cell>
          <cell r="I71">
            <v>1794</v>
          </cell>
          <cell r="J71">
            <v>56.36</v>
          </cell>
          <cell r="K71">
            <v>2254.4</v>
          </cell>
          <cell r="L71">
            <v>7228.7999999999993</v>
          </cell>
          <cell r="M71">
            <v>8.5999999999999998E-4</v>
          </cell>
        </row>
        <row r="72">
          <cell r="A72" t="str">
            <v>3.3.4</v>
          </cell>
          <cell r="B72" t="str">
            <v>Fornecimento e instalação de alçapão para reservatório elevado ou apoiado em alumínio (Item 5.3.13.1 do MD)</v>
          </cell>
          <cell r="C72" t="str">
            <v>m2</v>
          </cell>
          <cell r="D72">
            <v>40</v>
          </cell>
          <cell r="E72">
            <v>355.57000000000005</v>
          </cell>
          <cell r="F72">
            <v>243.90000000000003</v>
          </cell>
          <cell r="G72">
            <v>9756</v>
          </cell>
          <cell r="H72">
            <v>22.43</v>
          </cell>
          <cell r="I72">
            <v>897.2</v>
          </cell>
          <cell r="J72">
            <v>89.24</v>
          </cell>
          <cell r="K72">
            <v>3569.6</v>
          </cell>
          <cell r="L72">
            <v>14222.800000000001</v>
          </cell>
          <cell r="M72">
            <v>1.6930000000000001E-3</v>
          </cell>
        </row>
        <row r="73">
          <cell r="A73" t="str">
            <v>3.3.5</v>
          </cell>
          <cell r="B73" t="str">
            <v>Fornecimento e instalação de alçapão para reservatório elevado ou apoiado ferro galvanizado (Item 5.3.13.2 do MD)</v>
          </cell>
          <cell r="C73" t="str">
            <v>m2</v>
          </cell>
          <cell r="D73">
            <v>40</v>
          </cell>
          <cell r="E73">
            <v>210.76</v>
          </cell>
          <cell r="F73">
            <v>99.090000000000018</v>
          </cell>
          <cell r="G73">
            <v>3963.6</v>
          </cell>
          <cell r="H73">
            <v>22.43</v>
          </cell>
          <cell r="I73">
            <v>897.2</v>
          </cell>
          <cell r="J73">
            <v>89.24</v>
          </cell>
          <cell r="K73">
            <v>3569.6</v>
          </cell>
          <cell r="L73">
            <v>8430.4</v>
          </cell>
          <cell r="M73">
            <v>1.003E-3</v>
          </cell>
        </row>
        <row r="74">
          <cell r="A74" t="str">
            <v>3.3.6</v>
          </cell>
          <cell r="B74" t="str">
            <v>Grade externa de proteção (Item 5.3.15 do MD)</v>
          </cell>
          <cell r="C74" t="str">
            <v>m2</v>
          </cell>
          <cell r="D74">
            <v>50</v>
          </cell>
          <cell r="E74">
            <v>279.01</v>
          </cell>
          <cell r="F74">
            <v>98.55</v>
          </cell>
          <cell r="G74">
            <v>4927.5</v>
          </cell>
          <cell r="H74">
            <v>89.7</v>
          </cell>
          <cell r="I74">
            <v>4485</v>
          </cell>
          <cell r="J74">
            <v>90.759999999999991</v>
          </cell>
          <cell r="K74">
            <v>4538</v>
          </cell>
          <cell r="L74">
            <v>13950.5</v>
          </cell>
          <cell r="M74">
            <v>1.66E-3</v>
          </cell>
        </row>
        <row r="75">
          <cell r="A75" t="str">
            <v>3.3.7</v>
          </cell>
          <cell r="B75" t="str">
            <v>Tela de proteção para caixilhos (Item 5.3.16)</v>
          </cell>
          <cell r="C75" t="str">
            <v>m2</v>
          </cell>
          <cell r="D75">
            <v>40</v>
          </cell>
          <cell r="E75">
            <v>173.06</v>
          </cell>
          <cell r="F75">
            <v>116.02</v>
          </cell>
          <cell r="G75">
            <v>4640.8</v>
          </cell>
          <cell r="H75">
            <v>0</v>
          </cell>
          <cell r="I75">
            <v>0</v>
          </cell>
          <cell r="J75">
            <v>57.040000000000006</v>
          </cell>
          <cell r="K75">
            <v>2281.6</v>
          </cell>
          <cell r="L75">
            <v>6922.4</v>
          </cell>
          <cell r="M75">
            <v>8.2399999999999997E-4</v>
          </cell>
        </row>
        <row r="76">
          <cell r="A76" t="str">
            <v>3.3.8</v>
          </cell>
          <cell r="B76" t="str">
            <v>Alçapão de acesso (Item 5.3.14 do MD)</v>
          </cell>
          <cell r="C76" t="str">
            <v>m2</v>
          </cell>
          <cell r="D76">
            <v>20</v>
          </cell>
          <cell r="E76">
            <v>396.04999999999995</v>
          </cell>
          <cell r="F76">
            <v>270.28999999999996</v>
          </cell>
          <cell r="G76">
            <v>5405.8</v>
          </cell>
          <cell r="H76">
            <v>67.28</v>
          </cell>
          <cell r="I76">
            <v>1345.6</v>
          </cell>
          <cell r="J76">
            <v>58.48</v>
          </cell>
          <cell r="K76">
            <v>1169.5999999999999</v>
          </cell>
          <cell r="L76">
            <v>7921</v>
          </cell>
          <cell r="M76">
            <v>9.4300000000000004E-4</v>
          </cell>
        </row>
        <row r="77">
          <cell r="A77" t="str">
            <v>3.3.9</v>
          </cell>
          <cell r="B77" t="str">
            <v>Porta veneziana em alumínio, batente em alumínio, conforme memorial, inclusive ferragens (três dobradiças e dois ferrolhos com porta-cadeado) (Item 5.3.44 do MD)</v>
          </cell>
          <cell r="C77" t="str">
            <v>un</v>
          </cell>
          <cell r="D77">
            <v>20</v>
          </cell>
          <cell r="E77">
            <v>911.47</v>
          </cell>
          <cell r="F77">
            <v>846.12</v>
          </cell>
          <cell r="G77">
            <v>16922.400000000001</v>
          </cell>
          <cell r="H77">
            <v>0</v>
          </cell>
          <cell r="I77">
            <v>0</v>
          </cell>
          <cell r="J77">
            <v>65.349999999999994</v>
          </cell>
          <cell r="K77">
            <v>1307</v>
          </cell>
          <cell r="L77">
            <v>18229.400000000001</v>
          </cell>
          <cell r="M77">
            <v>2.1700000000000001E-3</v>
          </cell>
        </row>
        <row r="78">
          <cell r="A78" t="str">
            <v>3.3.10</v>
          </cell>
          <cell r="B78" t="str">
            <v>Porta abrir tipo veneziana em alumínio anodizado, batente em alumínio, conforme memorial, inclusive ferragens (três dobradiças e fechadura) (Item 5.3.45 do MD)</v>
          </cell>
          <cell r="C78" t="str">
            <v>m2</v>
          </cell>
          <cell r="D78">
            <v>120</v>
          </cell>
          <cell r="E78">
            <v>558.66</v>
          </cell>
          <cell r="F78">
            <v>495.85999999999996</v>
          </cell>
          <cell r="G78">
            <v>59503.199999999997</v>
          </cell>
          <cell r="H78">
            <v>0</v>
          </cell>
          <cell r="I78">
            <v>0</v>
          </cell>
          <cell r="J78">
            <v>62.8</v>
          </cell>
          <cell r="K78">
            <v>7536</v>
          </cell>
          <cell r="L78">
            <v>67039.199999999997</v>
          </cell>
          <cell r="M78">
            <v>7.979E-3</v>
          </cell>
        </row>
        <row r="79">
          <cell r="A79" t="str">
            <v>3.3.11</v>
          </cell>
          <cell r="B79" t="str">
            <v>Janela em alumínio anodizado tipo "maxim-ar"  com vidro temperado incolor e=6mm  (item 5.3.46 do MD)</v>
          </cell>
          <cell r="C79" t="str">
            <v>m2</v>
          </cell>
          <cell r="D79">
            <v>120</v>
          </cell>
          <cell r="E79">
            <v>750.24000000000012</v>
          </cell>
          <cell r="F79">
            <v>718.55000000000007</v>
          </cell>
          <cell r="G79">
            <v>86226</v>
          </cell>
          <cell r="H79">
            <v>0</v>
          </cell>
          <cell r="I79">
            <v>0</v>
          </cell>
          <cell r="J79">
            <v>31.69</v>
          </cell>
          <cell r="K79">
            <v>3802.8</v>
          </cell>
          <cell r="L79">
            <v>90028.800000000003</v>
          </cell>
          <cell r="M79">
            <v>1.0715000000000001E-2</v>
          </cell>
        </row>
        <row r="80">
          <cell r="A80" t="str">
            <v>3.3.12</v>
          </cell>
          <cell r="B80" t="str">
            <v xml:space="preserve">Instalação sem fornecimento de material de gradil com corrimão de fibra de vidro (conforme item 5.3.47 do MD) </v>
          </cell>
          <cell r="C80" t="str">
            <v>m</v>
          </cell>
          <cell r="D80">
            <v>2500</v>
          </cell>
          <cell r="E80">
            <v>29.450000000000003</v>
          </cell>
          <cell r="F80">
            <v>0</v>
          </cell>
          <cell r="G80">
            <v>0</v>
          </cell>
          <cell r="H80">
            <v>0</v>
          </cell>
          <cell r="I80">
            <v>0</v>
          </cell>
          <cell r="J80">
            <v>29.450000000000003</v>
          </cell>
          <cell r="K80">
            <v>73625</v>
          </cell>
          <cell r="L80">
            <v>73625</v>
          </cell>
          <cell r="M80">
            <v>8.763E-3</v>
          </cell>
        </row>
        <row r="81">
          <cell r="A81" t="str">
            <v>3.3.13</v>
          </cell>
          <cell r="B81" t="str">
            <v>Instalação com fornecimento de material de Veneziana PVC tipo COMOVENT (conforme item 5.3.48 do MD)</v>
          </cell>
          <cell r="C81" t="str">
            <v>m2</v>
          </cell>
          <cell r="D81">
            <v>350</v>
          </cell>
          <cell r="E81">
            <v>182.03</v>
          </cell>
          <cell r="F81">
            <v>0</v>
          </cell>
          <cell r="G81">
            <v>0</v>
          </cell>
          <cell r="H81">
            <v>182.03</v>
          </cell>
          <cell r="I81">
            <v>63710.5</v>
          </cell>
          <cell r="J81">
            <v>0</v>
          </cell>
          <cell r="K81">
            <v>0</v>
          </cell>
          <cell r="L81">
            <v>63710.5</v>
          </cell>
          <cell r="M81">
            <v>7.5830000000000003E-3</v>
          </cell>
        </row>
        <row r="82">
          <cell r="A82" t="str">
            <v>3.4</v>
          </cell>
          <cell r="B82" t="str">
            <v>Placas de identificação</v>
          </cell>
          <cell r="C82">
            <v>0</v>
          </cell>
          <cell r="D82">
            <v>0</v>
          </cell>
          <cell r="E82">
            <v>0</v>
          </cell>
          <cell r="F82">
            <v>0</v>
          </cell>
          <cell r="G82">
            <v>0</v>
          </cell>
          <cell r="H82">
            <v>0</v>
          </cell>
          <cell r="I82">
            <v>0</v>
          </cell>
          <cell r="J82">
            <v>0</v>
          </cell>
          <cell r="K82">
            <v>0</v>
          </cell>
          <cell r="L82">
            <v>0</v>
          </cell>
          <cell r="M82">
            <v>0</v>
          </cell>
        </row>
        <row r="83">
          <cell r="A83" t="str">
            <v>3.4.1</v>
          </cell>
          <cell r="B83" t="str">
            <v>Fornecimento  de placa de identificação (Item 5.3.17 do MD)</v>
          </cell>
          <cell r="C83" t="str">
            <v>un</v>
          </cell>
          <cell r="D83">
            <v>30</v>
          </cell>
          <cell r="E83">
            <v>196.65</v>
          </cell>
          <cell r="F83">
            <v>196.65</v>
          </cell>
          <cell r="G83">
            <v>5899.5</v>
          </cell>
          <cell r="H83">
            <v>0</v>
          </cell>
          <cell r="I83">
            <v>0</v>
          </cell>
          <cell r="J83">
            <v>0</v>
          </cell>
          <cell r="K83">
            <v>0</v>
          </cell>
          <cell r="L83">
            <v>5899.5</v>
          </cell>
          <cell r="M83">
            <v>7.0200000000000004E-4</v>
          </cell>
        </row>
        <row r="84">
          <cell r="A84" t="str">
            <v>3.4.2</v>
          </cell>
          <cell r="B84" t="str">
            <v>Base de fixação de placa de identificação  (Item 5.3.17 do MD)</v>
          </cell>
          <cell r="C84" t="str">
            <v>un</v>
          </cell>
          <cell r="D84">
            <v>30</v>
          </cell>
          <cell r="E84">
            <v>60.669999999999995</v>
          </cell>
          <cell r="F84">
            <v>8.9499999999999993</v>
          </cell>
          <cell r="G84">
            <v>268.5</v>
          </cell>
          <cell r="H84">
            <v>18.849999999999998</v>
          </cell>
          <cell r="I84">
            <v>565.5</v>
          </cell>
          <cell r="J84">
            <v>32.869999999999997</v>
          </cell>
          <cell r="K84">
            <v>986.1</v>
          </cell>
          <cell r="L84">
            <v>1820.1</v>
          </cell>
          <cell r="M84">
            <v>2.1699999999999999E-4</v>
          </cell>
        </row>
        <row r="85">
          <cell r="A85" t="str">
            <v>3.4.3</v>
          </cell>
          <cell r="B85" t="str">
            <v>Fixação de placa de identificação (Item 5.3.17 do MD)</v>
          </cell>
          <cell r="C85" t="str">
            <v>un</v>
          </cell>
          <cell r="D85">
            <v>60</v>
          </cell>
          <cell r="E85">
            <v>18.95</v>
          </cell>
          <cell r="F85">
            <v>3.4699999999999998</v>
          </cell>
          <cell r="G85">
            <v>208.2</v>
          </cell>
          <cell r="H85">
            <v>0</v>
          </cell>
          <cell r="I85">
            <v>0</v>
          </cell>
          <cell r="J85">
            <v>15.479999999999999</v>
          </cell>
          <cell r="K85">
            <v>928.8</v>
          </cell>
          <cell r="L85">
            <v>1137</v>
          </cell>
          <cell r="M85">
            <v>1.35E-4</v>
          </cell>
        </row>
        <row r="86">
          <cell r="A86" t="str">
            <v>3.5</v>
          </cell>
          <cell r="B86" t="str">
            <v>Alvenarias</v>
          </cell>
          <cell r="C86">
            <v>0</v>
          </cell>
          <cell r="D86">
            <v>0</v>
          </cell>
          <cell r="E86">
            <v>0</v>
          </cell>
          <cell r="F86">
            <v>0</v>
          </cell>
          <cell r="G86">
            <v>0</v>
          </cell>
          <cell r="H86">
            <v>0</v>
          </cell>
          <cell r="I86">
            <v>0</v>
          </cell>
          <cell r="J86">
            <v>0</v>
          </cell>
          <cell r="K86">
            <v>0</v>
          </cell>
          <cell r="L86">
            <v>0</v>
          </cell>
          <cell r="M86">
            <v>0</v>
          </cell>
        </row>
        <row r="87">
          <cell r="A87" t="str">
            <v>3.5.1</v>
          </cell>
          <cell r="B87" t="str">
            <v>Recuperação e execução de mureta (Item 5.3.18 do MD)</v>
          </cell>
          <cell r="C87" t="str">
            <v>m</v>
          </cell>
          <cell r="D87">
            <v>30</v>
          </cell>
          <cell r="E87">
            <v>24.970000000000006</v>
          </cell>
          <cell r="F87">
            <v>7.3800000000000008</v>
          </cell>
          <cell r="G87">
            <v>221.4</v>
          </cell>
          <cell r="H87">
            <v>0</v>
          </cell>
          <cell r="I87">
            <v>0</v>
          </cell>
          <cell r="J87">
            <v>17.590000000000003</v>
          </cell>
          <cell r="K87">
            <v>527.70000000000005</v>
          </cell>
          <cell r="L87">
            <v>749.1</v>
          </cell>
          <cell r="M87">
            <v>8.8999999999999995E-5</v>
          </cell>
        </row>
        <row r="88">
          <cell r="A88" t="str">
            <v>3.5.2</v>
          </cell>
          <cell r="B88" t="str">
            <v>Alvenaria de tijolo pó de mico 1/2 vez (Item 5.3.19.1 do MD)</v>
          </cell>
          <cell r="C88" t="str">
            <v>m2</v>
          </cell>
          <cell r="D88">
            <v>100</v>
          </cell>
          <cell r="E88">
            <v>92.23</v>
          </cell>
          <cell r="F88">
            <v>45.03</v>
          </cell>
          <cell r="G88">
            <v>4503</v>
          </cell>
          <cell r="H88">
            <v>0</v>
          </cell>
          <cell r="I88">
            <v>0</v>
          </cell>
          <cell r="J88">
            <v>47.2</v>
          </cell>
          <cell r="K88">
            <v>4720</v>
          </cell>
          <cell r="L88">
            <v>9223</v>
          </cell>
          <cell r="M88">
            <v>1.098E-3</v>
          </cell>
        </row>
        <row r="89">
          <cell r="A89" t="str">
            <v>3.5.3</v>
          </cell>
          <cell r="B89" t="str">
            <v>Alvenaria de tijolo pó de mico 1 vez (Item 5.3.19.1 do MD)</v>
          </cell>
          <cell r="C89" t="str">
            <v>m2</v>
          </cell>
          <cell r="D89">
            <v>100</v>
          </cell>
          <cell r="E89">
            <v>149.63</v>
          </cell>
          <cell r="F89">
            <v>77.699999999999989</v>
          </cell>
          <cell r="G89">
            <v>7770</v>
          </cell>
          <cell r="H89">
            <v>0</v>
          </cell>
          <cell r="I89">
            <v>0</v>
          </cell>
          <cell r="J89">
            <v>71.929999999999993</v>
          </cell>
          <cell r="K89">
            <v>7193</v>
          </cell>
          <cell r="L89">
            <v>14963</v>
          </cell>
          <cell r="M89">
            <v>1.781E-3</v>
          </cell>
        </row>
        <row r="90">
          <cell r="A90" t="str">
            <v>3.5.4</v>
          </cell>
          <cell r="B90" t="str">
            <v>Alvenaria em bloco de concreto 9 x 19 x 39 cm (Item 5.3.19.2 do MD)</v>
          </cell>
          <cell r="C90" t="str">
            <v>m2</v>
          </cell>
          <cell r="D90">
            <v>100</v>
          </cell>
          <cell r="E90">
            <v>48.67</v>
          </cell>
          <cell r="F90">
            <v>27.39</v>
          </cell>
          <cell r="G90">
            <v>2739</v>
          </cell>
          <cell r="H90">
            <v>0</v>
          </cell>
          <cell r="I90">
            <v>0</v>
          </cell>
          <cell r="J90">
            <v>21.28</v>
          </cell>
          <cell r="K90">
            <v>2128</v>
          </cell>
          <cell r="L90">
            <v>4867</v>
          </cell>
          <cell r="M90">
            <v>5.7899999999999998E-4</v>
          </cell>
        </row>
        <row r="91">
          <cell r="A91" t="str">
            <v>3.5.5</v>
          </cell>
          <cell r="B91" t="str">
            <v>Alvenaria em bloco de concreto 14 x 19 x 39 cm (Item 5.3.19.2 do MD)</v>
          </cell>
          <cell r="C91" t="str">
            <v>m2</v>
          </cell>
          <cell r="D91">
            <v>170</v>
          </cell>
          <cell r="E91">
            <v>56.48</v>
          </cell>
          <cell r="F91">
            <v>33.459999999999994</v>
          </cell>
          <cell r="G91">
            <v>5688.2</v>
          </cell>
          <cell r="H91">
            <v>0</v>
          </cell>
          <cell r="I91">
            <v>0</v>
          </cell>
          <cell r="J91">
            <v>23.020000000000003</v>
          </cell>
          <cell r="K91">
            <v>3913.4</v>
          </cell>
          <cell r="L91">
            <v>9601.6</v>
          </cell>
          <cell r="M91">
            <v>1.1429999999999999E-3</v>
          </cell>
        </row>
        <row r="92">
          <cell r="A92" t="str">
            <v>3.5.6</v>
          </cell>
          <cell r="B92" t="str">
            <v>Alvenaria em bloco de concreto 19 x 19 x 39 cm (Item 5.3.19.2 do MD)</v>
          </cell>
          <cell r="C92" t="str">
            <v>m2</v>
          </cell>
          <cell r="D92">
            <v>500</v>
          </cell>
          <cell r="E92">
            <v>65.09</v>
          </cell>
          <cell r="F92">
            <v>41.099999999999994</v>
          </cell>
          <cell r="G92">
            <v>20550</v>
          </cell>
          <cell r="H92">
            <v>0</v>
          </cell>
          <cell r="I92">
            <v>0</v>
          </cell>
          <cell r="J92">
            <v>23.990000000000002</v>
          </cell>
          <cell r="K92">
            <v>11995</v>
          </cell>
          <cell r="L92">
            <v>32545</v>
          </cell>
          <cell r="M92">
            <v>3.8730000000000001E-3</v>
          </cell>
        </row>
        <row r="93">
          <cell r="A93" t="str">
            <v>3.5.7</v>
          </cell>
          <cell r="B93" t="str">
            <v>Alvenaria de vedação com bloco de concreto, 9 x 19 x 39 cm, esp. da parede 9cm, juntas de 10 mm com argamassa de  cimento, cal e areia traço 1:0,5:8, incluindo ferragens e grout (Item 5.3.19.2 do MD)</v>
          </cell>
          <cell r="C93" t="str">
            <v>m2</v>
          </cell>
          <cell r="D93">
            <v>190</v>
          </cell>
          <cell r="E93">
            <v>55.030000000000008</v>
          </cell>
          <cell r="F93">
            <v>31.350000000000005</v>
          </cell>
          <cell r="G93">
            <v>5956.5</v>
          </cell>
          <cell r="H93">
            <v>0</v>
          </cell>
          <cell r="I93">
            <v>0</v>
          </cell>
          <cell r="J93">
            <v>23.680000000000003</v>
          </cell>
          <cell r="K93">
            <v>4499.2</v>
          </cell>
          <cell r="L93">
            <v>10455.700000000001</v>
          </cell>
          <cell r="M93">
            <v>1.2440000000000001E-3</v>
          </cell>
        </row>
        <row r="94">
          <cell r="A94" t="str">
            <v>3.5.8</v>
          </cell>
          <cell r="B94" t="str">
            <v>Alvenaria com elemento vazado de concreto (cobogó), espessura da parede 9cm (Item 5.3.19.2 do MD)</v>
          </cell>
          <cell r="C94" t="str">
            <v>m2</v>
          </cell>
          <cell r="D94">
            <v>20</v>
          </cell>
          <cell r="E94">
            <v>210.31</v>
          </cell>
          <cell r="F94">
            <v>177.44</v>
          </cell>
          <cell r="G94">
            <v>3548.8</v>
          </cell>
          <cell r="H94">
            <v>0</v>
          </cell>
          <cell r="I94">
            <v>0</v>
          </cell>
          <cell r="J94">
            <v>32.869999999999997</v>
          </cell>
          <cell r="K94">
            <v>657.4</v>
          </cell>
          <cell r="L94">
            <v>4206.2</v>
          </cell>
          <cell r="M94">
            <v>5.0100000000000003E-4</v>
          </cell>
        </row>
        <row r="95">
          <cell r="A95" t="str">
            <v>3.5.9</v>
          </cell>
          <cell r="B95" t="str">
            <v>Alvenaria de tijolo cerâmico 9 x 19 x 19 cm 1/2 vez (Item 5.3.19.3 do MD)</v>
          </cell>
          <cell r="C95" t="str">
            <v>m2</v>
          </cell>
          <cell r="D95">
            <v>30</v>
          </cell>
          <cell r="E95">
            <v>58.26</v>
          </cell>
          <cell r="F95">
            <v>25.39</v>
          </cell>
          <cell r="G95">
            <v>761.7</v>
          </cell>
          <cell r="H95">
            <v>0</v>
          </cell>
          <cell r="I95">
            <v>0</v>
          </cell>
          <cell r="J95">
            <v>32.869999999999997</v>
          </cell>
          <cell r="K95">
            <v>986.1</v>
          </cell>
          <cell r="L95">
            <v>1747.8000000000002</v>
          </cell>
          <cell r="M95">
            <v>2.0799999999999999E-4</v>
          </cell>
        </row>
        <row r="96">
          <cell r="A96" t="str">
            <v>3.5.10</v>
          </cell>
          <cell r="B96" t="str">
            <v>Alvenaria de tijolo cerâmico 9 x 19 x 19 cm  1 vez (Item 5.3.19.3 do MD)</v>
          </cell>
          <cell r="C96" t="str">
            <v>m2</v>
          </cell>
          <cell r="D96">
            <v>30</v>
          </cell>
          <cell r="E96">
            <v>99.53</v>
          </cell>
          <cell r="F96">
            <v>56.79</v>
          </cell>
          <cell r="G96">
            <v>1703.7</v>
          </cell>
          <cell r="H96">
            <v>0</v>
          </cell>
          <cell r="I96">
            <v>0</v>
          </cell>
          <cell r="J96">
            <v>42.74</v>
          </cell>
          <cell r="K96">
            <v>1282.2</v>
          </cell>
          <cell r="L96">
            <v>2985.9</v>
          </cell>
          <cell r="M96">
            <v>3.5500000000000001E-4</v>
          </cell>
        </row>
        <row r="97">
          <cell r="A97" t="str">
            <v>3.5.11</v>
          </cell>
          <cell r="B97" t="str">
            <v>Caixa de inspeção 0,50x0,75x0,50m em alvenaria de 1/2 tijolo, com tampa de concreto pré-moldada removível com requadro metálico e fundo em brita. (Item 5.3.49 do MD)</v>
          </cell>
          <cell r="C97" t="str">
            <v>un</v>
          </cell>
          <cell r="D97">
            <v>200</v>
          </cell>
          <cell r="E97">
            <v>211.67000000000002</v>
          </cell>
          <cell r="F97">
            <v>63.749999999999993</v>
          </cell>
          <cell r="G97">
            <v>12750</v>
          </cell>
          <cell r="H97">
            <v>0</v>
          </cell>
          <cell r="I97">
            <v>0</v>
          </cell>
          <cell r="J97">
            <v>147.92000000000002</v>
          </cell>
          <cell r="K97">
            <v>29584</v>
          </cell>
          <cell r="L97">
            <v>42334</v>
          </cell>
          <cell r="M97">
            <v>5.0379999999999999E-3</v>
          </cell>
        </row>
        <row r="98">
          <cell r="A98" t="str">
            <v>3.6</v>
          </cell>
          <cell r="B98" t="str">
            <v>Movimento de terra</v>
          </cell>
          <cell r="C98">
            <v>0</v>
          </cell>
          <cell r="D98">
            <v>0</v>
          </cell>
          <cell r="E98">
            <v>0</v>
          </cell>
          <cell r="F98">
            <v>0</v>
          </cell>
          <cell r="G98">
            <v>0</v>
          </cell>
          <cell r="H98">
            <v>0</v>
          </cell>
          <cell r="I98">
            <v>0</v>
          </cell>
          <cell r="J98">
            <v>0</v>
          </cell>
          <cell r="K98">
            <v>0</v>
          </cell>
          <cell r="L98">
            <v>0</v>
          </cell>
          <cell r="M98">
            <v>0</v>
          </cell>
        </row>
        <row r="99">
          <cell r="A99" t="str">
            <v>3.6.1</v>
          </cell>
          <cell r="B99" t="str">
            <v>Fornecimento de solo de 1º categoria - aterro (Item 5.3.20 do MD)</v>
          </cell>
          <cell r="C99" t="str">
            <v>m3</v>
          </cell>
          <cell r="D99">
            <v>50</v>
          </cell>
          <cell r="E99">
            <v>15.73</v>
          </cell>
          <cell r="F99">
            <v>0</v>
          </cell>
          <cell r="G99">
            <v>0</v>
          </cell>
          <cell r="H99">
            <v>15.73</v>
          </cell>
          <cell r="I99">
            <v>786.5</v>
          </cell>
          <cell r="J99">
            <v>0</v>
          </cell>
          <cell r="K99">
            <v>0</v>
          </cell>
          <cell r="L99">
            <v>786.5</v>
          </cell>
          <cell r="M99">
            <v>9.3999999999999994E-5</v>
          </cell>
        </row>
        <row r="100">
          <cell r="A100" t="str">
            <v>3.6.2</v>
          </cell>
          <cell r="B100" t="str">
            <v>Apiloamento manual de solo (Item 5.3.21 do MD)</v>
          </cell>
          <cell r="C100" t="str">
            <v>m2</v>
          </cell>
          <cell r="D100">
            <v>110</v>
          </cell>
          <cell r="E100">
            <v>5.0999999999999996</v>
          </cell>
          <cell r="F100">
            <v>0</v>
          </cell>
          <cell r="G100">
            <v>0</v>
          </cell>
          <cell r="H100">
            <v>0</v>
          </cell>
          <cell r="I100">
            <v>0</v>
          </cell>
          <cell r="J100">
            <v>5.0999999999999996</v>
          </cell>
          <cell r="K100">
            <v>561</v>
          </cell>
          <cell r="L100">
            <v>561</v>
          </cell>
          <cell r="M100">
            <v>6.7000000000000002E-5</v>
          </cell>
        </row>
        <row r="101">
          <cell r="A101" t="str">
            <v>3.6.3</v>
          </cell>
          <cell r="B101" t="str">
            <v>Compactação mecanizada de solo, sem controle tecnológico (Item 5.3.22 do MD)</v>
          </cell>
          <cell r="C101" t="str">
            <v>m3</v>
          </cell>
          <cell r="D101">
            <v>320</v>
          </cell>
          <cell r="E101">
            <v>19.580000000000002</v>
          </cell>
          <cell r="F101">
            <v>0</v>
          </cell>
          <cell r="G101">
            <v>0</v>
          </cell>
          <cell r="H101">
            <v>5.28</v>
          </cell>
          <cell r="I101">
            <v>1689.6</v>
          </cell>
          <cell r="J101">
            <v>14.3</v>
          </cell>
          <cell r="K101">
            <v>4576</v>
          </cell>
          <cell r="L101">
            <v>6265.6</v>
          </cell>
          <cell r="M101">
            <v>7.4600000000000003E-4</v>
          </cell>
        </row>
        <row r="102">
          <cell r="A102" t="str">
            <v>3.6.4</v>
          </cell>
          <cell r="B102" t="str">
            <v>Estaca a trado (broca) D=25cm c/ concreto Fck=15MPa (Item 5.3.23 do MD)</v>
          </cell>
          <cell r="C102" t="str">
            <v>m</v>
          </cell>
          <cell r="D102">
            <v>350</v>
          </cell>
          <cell r="E102">
            <v>61.36</v>
          </cell>
          <cell r="F102">
            <v>23.09</v>
          </cell>
          <cell r="G102">
            <v>8081.5</v>
          </cell>
          <cell r="H102">
            <v>0</v>
          </cell>
          <cell r="I102">
            <v>0</v>
          </cell>
          <cell r="J102">
            <v>38.270000000000003</v>
          </cell>
          <cell r="K102">
            <v>13394.5</v>
          </cell>
          <cell r="L102">
            <v>21476</v>
          </cell>
          <cell r="M102">
            <v>2.5560000000000001E-3</v>
          </cell>
        </row>
        <row r="103">
          <cell r="A103" t="str">
            <v>3.6.5</v>
          </cell>
          <cell r="B103" t="str">
            <v>Lastro de areia lavada tipo média (Item 5.3.24 do MD)</v>
          </cell>
          <cell r="C103" t="str">
            <v>m3</v>
          </cell>
          <cell r="D103">
            <v>330</v>
          </cell>
          <cell r="E103">
            <v>110.86</v>
          </cell>
          <cell r="F103">
            <v>79.91</v>
          </cell>
          <cell r="G103">
            <v>26370.3</v>
          </cell>
          <cell r="H103">
            <v>0</v>
          </cell>
          <cell r="I103">
            <v>0</v>
          </cell>
          <cell r="J103">
            <v>30.95</v>
          </cell>
          <cell r="K103">
            <v>10213.5</v>
          </cell>
          <cell r="L103">
            <v>36583.800000000003</v>
          </cell>
          <cell r="M103">
            <v>4.3540000000000002E-3</v>
          </cell>
        </row>
        <row r="104">
          <cell r="A104" t="str">
            <v>3.6.6</v>
          </cell>
          <cell r="B104" t="str">
            <v>Lastro de brita 1 apiloado (Item 5.3.25 do MD)</v>
          </cell>
          <cell r="C104" t="str">
            <v>m3</v>
          </cell>
          <cell r="D104">
            <v>330</v>
          </cell>
          <cell r="E104">
            <v>101.49000000000001</v>
          </cell>
          <cell r="F104">
            <v>70.540000000000006</v>
          </cell>
          <cell r="G104">
            <v>23278.2</v>
          </cell>
          <cell r="H104">
            <v>0</v>
          </cell>
          <cell r="I104">
            <v>0</v>
          </cell>
          <cell r="J104">
            <v>30.95</v>
          </cell>
          <cell r="K104">
            <v>10213.5</v>
          </cell>
          <cell r="L104">
            <v>33491.699999999997</v>
          </cell>
          <cell r="M104">
            <v>3.986E-3</v>
          </cell>
        </row>
        <row r="105">
          <cell r="A105" t="str">
            <v>3.6.7</v>
          </cell>
          <cell r="B105" t="str">
            <v>Transporte de terra por caminhão basculante, à partir de 1 Km (Item 5.3.26 do MD)</v>
          </cell>
          <cell r="C105" t="str">
            <v>m3xkm</v>
          </cell>
          <cell r="D105">
            <v>1400</v>
          </cell>
          <cell r="E105">
            <v>1.77</v>
          </cell>
          <cell r="F105">
            <v>0</v>
          </cell>
          <cell r="G105">
            <v>0</v>
          </cell>
          <cell r="H105">
            <v>1.77</v>
          </cell>
          <cell r="I105">
            <v>2478</v>
          </cell>
          <cell r="J105">
            <v>0</v>
          </cell>
          <cell r="K105">
            <v>0</v>
          </cell>
          <cell r="L105">
            <v>2478</v>
          </cell>
          <cell r="M105">
            <v>2.9500000000000001E-4</v>
          </cell>
        </row>
        <row r="106">
          <cell r="A106" t="str">
            <v>3.7</v>
          </cell>
          <cell r="B106" t="str">
            <v>Concreto</v>
          </cell>
          <cell r="C106">
            <v>0</v>
          </cell>
          <cell r="D106">
            <v>0</v>
          </cell>
          <cell r="E106">
            <v>0</v>
          </cell>
          <cell r="F106">
            <v>0</v>
          </cell>
          <cell r="G106">
            <v>0</v>
          </cell>
          <cell r="H106">
            <v>0</v>
          </cell>
          <cell r="I106">
            <v>0</v>
          </cell>
          <cell r="J106">
            <v>0</v>
          </cell>
          <cell r="K106">
            <v>0</v>
          </cell>
          <cell r="L106">
            <v>0</v>
          </cell>
          <cell r="M106">
            <v>0</v>
          </cell>
        </row>
        <row r="107">
          <cell r="A107" t="str">
            <v>3.7.1</v>
          </cell>
          <cell r="B107" t="str">
            <v>Concreto estrutural usinado, Fck=15 MPa (Item 5.3.27 do MD)</v>
          </cell>
          <cell r="C107" t="str">
            <v>m3</v>
          </cell>
          <cell r="D107">
            <v>60</v>
          </cell>
          <cell r="E107">
            <v>443.26</v>
          </cell>
          <cell r="F107">
            <v>313.43</v>
          </cell>
          <cell r="G107">
            <v>18805.8</v>
          </cell>
          <cell r="H107">
            <v>0.26</v>
          </cell>
          <cell r="I107">
            <v>15.6</v>
          </cell>
          <cell r="J107">
            <v>129.57000000000002</v>
          </cell>
          <cell r="K107">
            <v>7774.2</v>
          </cell>
          <cell r="L107">
            <v>26595.599999999999</v>
          </cell>
          <cell r="M107">
            <v>3.1649999999999998E-3</v>
          </cell>
        </row>
        <row r="108">
          <cell r="A108" t="str">
            <v>3.7.2</v>
          </cell>
          <cell r="B108" t="str">
            <v>Concreto estrutural usinado, Fck=20 MPa (Item 5.3.27 do MD)</v>
          </cell>
          <cell r="C108" t="str">
            <v>m3</v>
          </cell>
          <cell r="D108">
            <v>110</v>
          </cell>
          <cell r="E108">
            <v>453.90999999999997</v>
          </cell>
          <cell r="F108">
            <v>324.08</v>
          </cell>
          <cell r="G108">
            <v>35648.800000000003</v>
          </cell>
          <cell r="H108">
            <v>0.26</v>
          </cell>
          <cell r="I108">
            <v>28.6</v>
          </cell>
          <cell r="J108">
            <v>129.57000000000002</v>
          </cell>
          <cell r="K108">
            <v>14252.7</v>
          </cell>
          <cell r="L108">
            <v>49930.100000000006</v>
          </cell>
          <cell r="M108">
            <v>5.9420000000000002E-3</v>
          </cell>
        </row>
        <row r="109">
          <cell r="A109" t="str">
            <v>3.7.3</v>
          </cell>
          <cell r="B109" t="str">
            <v>Concreto estrutural usinado, Fck=25 MPa (Item 5.3.27 do MD)</v>
          </cell>
          <cell r="C109" t="str">
            <v>m3</v>
          </cell>
          <cell r="D109">
            <v>50</v>
          </cell>
          <cell r="E109">
            <v>502.21000000000004</v>
          </cell>
          <cell r="F109">
            <v>354.61</v>
          </cell>
          <cell r="G109">
            <v>17730.5</v>
          </cell>
          <cell r="H109">
            <v>2.56</v>
          </cell>
          <cell r="I109">
            <v>128</v>
          </cell>
          <cell r="J109">
            <v>145.04</v>
          </cell>
          <cell r="K109">
            <v>7252</v>
          </cell>
          <cell r="L109">
            <v>25110.5</v>
          </cell>
          <cell r="M109">
            <v>2.9889999999999999E-3</v>
          </cell>
        </row>
        <row r="110">
          <cell r="A110" t="str">
            <v>3.7.4</v>
          </cell>
          <cell r="B110" t="str">
            <v>Envelopamento de tubulação (Item 5.3.28 do MD)</v>
          </cell>
          <cell r="C110" t="str">
            <v>m</v>
          </cell>
          <cell r="D110">
            <v>50</v>
          </cell>
          <cell r="E110">
            <v>29.36</v>
          </cell>
          <cell r="F110">
            <v>13.73</v>
          </cell>
          <cell r="G110">
            <v>686.5</v>
          </cell>
          <cell r="H110">
            <v>0</v>
          </cell>
          <cell r="I110">
            <v>0</v>
          </cell>
          <cell r="J110">
            <v>15.629999999999999</v>
          </cell>
          <cell r="K110">
            <v>781.5</v>
          </cell>
          <cell r="L110">
            <v>1468</v>
          </cell>
          <cell r="M110">
            <v>1.75E-4</v>
          </cell>
        </row>
        <row r="111">
          <cell r="A111" t="str">
            <v>3.7.5</v>
          </cell>
          <cell r="B111" t="str">
            <v>Execução de calçada em concreto 1:3:5 em concreto (Fck=12 MPa) preparo mecânico E=7 cm (Item 5.3.29 do MD)</v>
          </cell>
          <cell r="C111" t="str">
            <v>m2</v>
          </cell>
          <cell r="D111">
            <v>1000</v>
          </cell>
          <cell r="E111">
            <v>45.28</v>
          </cell>
          <cell r="F111">
            <v>24.200000000000003</v>
          </cell>
          <cell r="G111">
            <v>24200</v>
          </cell>
          <cell r="H111">
            <v>1.98</v>
          </cell>
          <cell r="I111">
            <v>1980</v>
          </cell>
          <cell r="J111">
            <v>19.100000000000001</v>
          </cell>
          <cell r="K111">
            <v>19100</v>
          </cell>
          <cell r="L111">
            <v>45280</v>
          </cell>
          <cell r="M111">
            <v>5.3889999999999997E-3</v>
          </cell>
        </row>
        <row r="112">
          <cell r="A112" t="str">
            <v>3.7.6</v>
          </cell>
          <cell r="B112" t="str">
            <v>Grout (preparo e lançamento de argamassa de cimento, areia e pedrisco 1:3:2) (Item 5.3.30 do MD)</v>
          </cell>
          <cell r="C112" t="str">
            <v>m3</v>
          </cell>
          <cell r="D112">
            <v>60</v>
          </cell>
          <cell r="E112">
            <v>509.84000000000003</v>
          </cell>
          <cell r="F112">
            <v>266.87</v>
          </cell>
          <cell r="G112">
            <v>16012.2</v>
          </cell>
          <cell r="H112">
            <v>1.23</v>
          </cell>
          <cell r="I112">
            <v>73.8</v>
          </cell>
          <cell r="J112">
            <v>241.73999999999998</v>
          </cell>
          <cell r="K112">
            <v>14504.4</v>
          </cell>
          <cell r="L112">
            <v>30590.400000000001</v>
          </cell>
          <cell r="M112">
            <v>3.6410000000000001E-3</v>
          </cell>
        </row>
        <row r="113">
          <cell r="A113" t="str">
            <v>3.7.7</v>
          </cell>
          <cell r="B113" t="str">
            <v>Lastro de concreto traço 1:2,5:5 - espessura 10 cm, preparo mecânico (Item 5.3.31 do MD)</v>
          </cell>
          <cell r="C113" t="str">
            <v>m2</v>
          </cell>
          <cell r="D113">
            <v>100</v>
          </cell>
          <cell r="E113">
            <v>51.91</v>
          </cell>
          <cell r="F113">
            <v>30.83</v>
          </cell>
          <cell r="G113">
            <v>3083</v>
          </cell>
          <cell r="H113">
            <v>1.98</v>
          </cell>
          <cell r="I113">
            <v>198</v>
          </cell>
          <cell r="J113">
            <v>19.100000000000001</v>
          </cell>
          <cell r="K113">
            <v>1910</v>
          </cell>
          <cell r="L113">
            <v>5191</v>
          </cell>
          <cell r="M113">
            <v>6.1799999999999995E-4</v>
          </cell>
        </row>
        <row r="114">
          <cell r="A114" t="str">
            <v>3.8</v>
          </cell>
          <cell r="B114" t="str">
            <v>Formas e Armaduras</v>
          </cell>
          <cell r="C114">
            <v>0</v>
          </cell>
          <cell r="D114">
            <v>0</v>
          </cell>
          <cell r="E114">
            <v>0</v>
          </cell>
          <cell r="F114">
            <v>0</v>
          </cell>
          <cell r="G114">
            <v>0</v>
          </cell>
          <cell r="H114">
            <v>0</v>
          </cell>
          <cell r="I114">
            <v>0</v>
          </cell>
          <cell r="J114">
            <v>0</v>
          </cell>
          <cell r="K114">
            <v>0</v>
          </cell>
          <cell r="L114">
            <v>0</v>
          </cell>
          <cell r="M114">
            <v>0</v>
          </cell>
        </row>
        <row r="115">
          <cell r="A115" t="str">
            <v>3.8.1</v>
          </cell>
          <cell r="B115" t="str">
            <v>Forma plana comum (Item 5.3.32 do MD)</v>
          </cell>
          <cell r="C115" t="str">
            <v>m2</v>
          </cell>
          <cell r="D115">
            <v>120</v>
          </cell>
          <cell r="E115">
            <v>52.86</v>
          </cell>
          <cell r="F115">
            <v>29.42</v>
          </cell>
          <cell r="G115">
            <v>3530.4</v>
          </cell>
          <cell r="H115">
            <v>0</v>
          </cell>
          <cell r="I115">
            <v>0</v>
          </cell>
          <cell r="J115">
            <v>23.439999999999998</v>
          </cell>
          <cell r="K115">
            <v>2812.8</v>
          </cell>
          <cell r="L115">
            <v>6343.2000000000007</v>
          </cell>
          <cell r="M115">
            <v>7.5500000000000003E-4</v>
          </cell>
        </row>
        <row r="116">
          <cell r="A116" t="str">
            <v>3.8.2</v>
          </cell>
          <cell r="B116" t="str">
            <v>Armadura de aço CA 50/60 (corte, dobra e montagem) (Item 5.3.33 do MD)</v>
          </cell>
          <cell r="C116" t="str">
            <v>kg</v>
          </cell>
          <cell r="D116">
            <v>2500</v>
          </cell>
          <cell r="E116">
            <v>8.09</v>
          </cell>
          <cell r="F116">
            <v>4.79</v>
          </cell>
          <cell r="G116">
            <v>11975</v>
          </cell>
          <cell r="H116">
            <v>0</v>
          </cell>
          <cell r="I116">
            <v>0</v>
          </cell>
          <cell r="J116">
            <v>3.3</v>
          </cell>
          <cell r="K116">
            <v>8250</v>
          </cell>
          <cell r="L116">
            <v>20225</v>
          </cell>
          <cell r="M116">
            <v>2.4069999999999999E-3</v>
          </cell>
        </row>
        <row r="117">
          <cell r="A117" t="str">
            <v>3.9</v>
          </cell>
          <cell r="B117" t="str">
            <v>Revestimentos</v>
          </cell>
          <cell r="C117">
            <v>0</v>
          </cell>
          <cell r="D117">
            <v>0</v>
          </cell>
          <cell r="E117">
            <v>0</v>
          </cell>
          <cell r="F117">
            <v>0</v>
          </cell>
          <cell r="G117">
            <v>0</v>
          </cell>
          <cell r="H117">
            <v>0</v>
          </cell>
          <cell r="I117">
            <v>0</v>
          </cell>
          <cell r="J117">
            <v>0</v>
          </cell>
          <cell r="K117">
            <v>0</v>
          </cell>
          <cell r="L117">
            <v>0</v>
          </cell>
          <cell r="M117">
            <v>0</v>
          </cell>
        </row>
        <row r="118">
          <cell r="A118" t="str">
            <v>3.9.1</v>
          </cell>
          <cell r="B118" t="str">
            <v>CHAPISCO com argamassa de cimento e areia traço 1:3, e=5 mm (Item 5.3.34 do MD)</v>
          </cell>
          <cell r="C118" t="str">
            <v>m2</v>
          </cell>
          <cell r="D118">
            <v>2300</v>
          </cell>
          <cell r="E118">
            <v>5.63</v>
          </cell>
          <cell r="F118">
            <v>1.5700000000000003</v>
          </cell>
          <cell r="G118">
            <v>3611</v>
          </cell>
          <cell r="H118">
            <v>0</v>
          </cell>
          <cell r="I118">
            <v>0</v>
          </cell>
          <cell r="J118">
            <v>4.0599999999999996</v>
          </cell>
          <cell r="K118">
            <v>9338</v>
          </cell>
          <cell r="L118">
            <v>12949</v>
          </cell>
          <cell r="M118">
            <v>1.5410000000000001E-3</v>
          </cell>
        </row>
        <row r="119">
          <cell r="A119" t="str">
            <v>3.9.2</v>
          </cell>
          <cell r="B119" t="str">
            <v>EMBOÇO desempenado - argamassa mista cimento, cal e areia - traço 1:2:8 e = 20mm (Item 5.3.35 do MD)</v>
          </cell>
          <cell r="C119" t="str">
            <v>m2</v>
          </cell>
          <cell r="D119">
            <v>2300</v>
          </cell>
          <cell r="E119">
            <v>28.55</v>
          </cell>
          <cell r="F119">
            <v>5.7400000000000011</v>
          </cell>
          <cell r="G119">
            <v>13202</v>
          </cell>
          <cell r="H119">
            <v>0</v>
          </cell>
          <cell r="I119">
            <v>0</v>
          </cell>
          <cell r="J119">
            <v>22.81</v>
          </cell>
          <cell r="K119">
            <v>52463</v>
          </cell>
          <cell r="L119">
            <v>65665</v>
          </cell>
          <cell r="M119">
            <v>7.8150000000000008E-3</v>
          </cell>
        </row>
        <row r="120">
          <cell r="A120" t="str">
            <v>3.9.3</v>
          </cell>
          <cell r="B120" t="str">
            <v>REBOCO - parede interna com argamassa de cal e areia traço 1:4,5, e=5 mm (Item 5.3.36 do MD)</v>
          </cell>
          <cell r="C120" t="str">
            <v>m2</v>
          </cell>
          <cell r="D120">
            <v>3000</v>
          </cell>
          <cell r="E120">
            <v>18.66</v>
          </cell>
          <cell r="F120">
            <v>0.88</v>
          </cell>
          <cell r="G120">
            <v>2640</v>
          </cell>
          <cell r="H120">
            <v>0</v>
          </cell>
          <cell r="I120">
            <v>0</v>
          </cell>
          <cell r="J120">
            <v>17.78</v>
          </cell>
          <cell r="K120">
            <v>53340</v>
          </cell>
          <cell r="L120">
            <v>55980</v>
          </cell>
          <cell r="M120">
            <v>6.6629999999999997E-3</v>
          </cell>
        </row>
        <row r="121">
          <cell r="A121" t="str">
            <v>3.9.4</v>
          </cell>
          <cell r="B121" t="str">
            <v>Recuperação e regularização do revestimento em reboco (Item 5.3.37 do MD)</v>
          </cell>
          <cell r="C121" t="str">
            <v>m2</v>
          </cell>
          <cell r="D121">
            <v>500</v>
          </cell>
          <cell r="E121">
            <v>22.669999999999998</v>
          </cell>
          <cell r="F121">
            <v>1.35</v>
          </cell>
          <cell r="G121">
            <v>675</v>
          </cell>
          <cell r="H121">
            <v>0</v>
          </cell>
          <cell r="I121">
            <v>0</v>
          </cell>
          <cell r="J121">
            <v>21.319999999999997</v>
          </cell>
          <cell r="K121">
            <v>10660</v>
          </cell>
          <cell r="L121">
            <v>11335</v>
          </cell>
          <cell r="M121">
            <v>1.3489999999999999E-3</v>
          </cell>
        </row>
        <row r="122">
          <cell r="A122" t="str">
            <v>3.9.5</v>
          </cell>
          <cell r="B122" t="str">
            <v>Execução de piso cimentado, e=5cm (Item 5.3.38 do MD)</v>
          </cell>
          <cell r="C122" t="str">
            <v>m2</v>
          </cell>
          <cell r="D122">
            <v>480</v>
          </cell>
          <cell r="E122">
            <v>42.36</v>
          </cell>
          <cell r="F122">
            <v>21.28</v>
          </cell>
          <cell r="G122">
            <v>10214.4</v>
          </cell>
          <cell r="H122">
            <v>1.98</v>
          </cell>
          <cell r="I122">
            <v>950.4</v>
          </cell>
          <cell r="J122">
            <v>19.100000000000001</v>
          </cell>
          <cell r="K122">
            <v>9168</v>
          </cell>
          <cell r="L122">
            <v>20332.8</v>
          </cell>
          <cell r="M122">
            <v>2.4199999999999998E-3</v>
          </cell>
        </row>
        <row r="123">
          <cell r="A123" t="str">
            <v>3.10</v>
          </cell>
          <cell r="B123" t="str">
            <v>Laje</v>
          </cell>
          <cell r="C123">
            <v>0</v>
          </cell>
          <cell r="D123">
            <v>0</v>
          </cell>
          <cell r="E123">
            <v>0</v>
          </cell>
          <cell r="F123">
            <v>0</v>
          </cell>
          <cell r="G123">
            <v>0</v>
          </cell>
          <cell r="H123">
            <v>0</v>
          </cell>
          <cell r="I123">
            <v>0</v>
          </cell>
          <cell r="J123">
            <v>0</v>
          </cell>
          <cell r="K123">
            <v>0</v>
          </cell>
          <cell r="L123">
            <v>0</v>
          </cell>
          <cell r="M123">
            <v>0</v>
          </cell>
        </row>
        <row r="124">
          <cell r="A124" t="str">
            <v>3.10.1</v>
          </cell>
          <cell r="B124" t="str">
            <v>Laje pré-fabricada treliçada para piso/cobertura, largura 25 cm, e=10 cm, maciça (capeamento 3 cm e laje 7 cm) (Item 5.3.39 do MD)</v>
          </cell>
          <cell r="C124" t="str">
            <v>m2</v>
          </cell>
          <cell r="D124">
            <v>140</v>
          </cell>
          <cell r="E124">
            <v>110.12</v>
          </cell>
          <cell r="F124">
            <v>69.61</v>
          </cell>
          <cell r="G124">
            <v>9745.4</v>
          </cell>
          <cell r="H124">
            <v>0</v>
          </cell>
          <cell r="I124">
            <v>0</v>
          </cell>
          <cell r="J124">
            <v>40.51</v>
          </cell>
          <cell r="K124">
            <v>5671.4</v>
          </cell>
          <cell r="L124">
            <v>15416.8</v>
          </cell>
          <cell r="M124">
            <v>1.835E-3</v>
          </cell>
        </row>
        <row r="125">
          <cell r="A125" t="str">
            <v>3.11</v>
          </cell>
          <cell r="B125" t="str">
            <v>Revestimentos Cerâmicos</v>
          </cell>
          <cell r="C125">
            <v>0</v>
          </cell>
          <cell r="D125">
            <v>0</v>
          </cell>
          <cell r="E125">
            <v>0</v>
          </cell>
          <cell r="F125">
            <v>0</v>
          </cell>
          <cell r="G125">
            <v>0</v>
          </cell>
          <cell r="H125">
            <v>0</v>
          </cell>
          <cell r="I125">
            <v>0</v>
          </cell>
          <cell r="J125">
            <v>0</v>
          </cell>
          <cell r="K125">
            <v>0</v>
          </cell>
          <cell r="L125">
            <v>0</v>
          </cell>
          <cell r="M125">
            <v>0</v>
          </cell>
        </row>
        <row r="126">
          <cell r="A126" t="str">
            <v>3.11.1</v>
          </cell>
          <cell r="B126" t="str">
            <v>Azulejo branco 15 x 15 cm, assentado com argamassa colante, juntas a prumo, inclusive rejuntamento. (Item 5.3.40 do MD)</v>
          </cell>
          <cell r="C126" t="str">
            <v>m2</v>
          </cell>
          <cell r="D126">
            <v>320</v>
          </cell>
          <cell r="E126">
            <v>36.039999999999992</v>
          </cell>
          <cell r="F126">
            <v>26.519999999999996</v>
          </cell>
          <cell r="G126">
            <v>8486.4</v>
          </cell>
          <cell r="H126">
            <v>0</v>
          </cell>
          <cell r="I126">
            <v>0</v>
          </cell>
          <cell r="J126">
            <v>9.52</v>
          </cell>
          <cell r="K126">
            <v>3046.4</v>
          </cell>
          <cell r="L126">
            <v>11532.8</v>
          </cell>
          <cell r="M126">
            <v>1.3730000000000001E-3</v>
          </cell>
        </row>
        <row r="127">
          <cell r="A127" t="str">
            <v>3.11.2</v>
          </cell>
          <cell r="B127" t="str">
            <v>Litocerâmica assentada com cimento colante (Item 5.3.41 do MD)</v>
          </cell>
          <cell r="C127" t="str">
            <v>m2</v>
          </cell>
          <cell r="D127">
            <v>1200</v>
          </cell>
          <cell r="E127">
            <v>38.699999999999996</v>
          </cell>
          <cell r="F127">
            <v>27.179999999999996</v>
          </cell>
          <cell r="G127">
            <v>32616</v>
          </cell>
          <cell r="H127">
            <v>0</v>
          </cell>
          <cell r="I127">
            <v>0</v>
          </cell>
          <cell r="J127">
            <v>11.52</v>
          </cell>
          <cell r="K127">
            <v>13824</v>
          </cell>
          <cell r="L127">
            <v>46440</v>
          </cell>
          <cell r="M127">
            <v>5.5269999999999998E-3</v>
          </cell>
        </row>
        <row r="128">
          <cell r="A128" t="str">
            <v>3.11.3</v>
          </cell>
          <cell r="B128" t="str">
            <v>Piso com cerâmica esmaltada PEI-5 (Item 5.3.42 do MD)</v>
          </cell>
          <cell r="C128" t="str">
            <v>m2</v>
          </cell>
          <cell r="D128">
            <v>60</v>
          </cell>
          <cell r="E128">
            <v>65.089999999999989</v>
          </cell>
          <cell r="F128">
            <v>44.599999999999994</v>
          </cell>
          <cell r="G128">
            <v>2676</v>
          </cell>
          <cell r="H128">
            <v>0</v>
          </cell>
          <cell r="I128">
            <v>0</v>
          </cell>
          <cell r="J128">
            <v>20.49</v>
          </cell>
          <cell r="K128">
            <v>1229.4000000000001</v>
          </cell>
          <cell r="L128">
            <v>3905.4</v>
          </cell>
          <cell r="M128">
            <v>4.6500000000000003E-4</v>
          </cell>
        </row>
        <row r="129">
          <cell r="A129" t="str">
            <v>3.11.4</v>
          </cell>
          <cell r="B129" t="str">
            <v>Camada de regularização em argamassa desempenada e=3cm, impermeabilizante e aditivo adesivo (Item 5.3.43 do MD)</v>
          </cell>
          <cell r="C129" t="str">
            <v>m2</v>
          </cell>
          <cell r="D129">
            <v>7500</v>
          </cell>
          <cell r="E129">
            <v>28.79</v>
          </cell>
          <cell r="F129">
            <v>20.57</v>
          </cell>
          <cell r="G129">
            <v>154275</v>
          </cell>
          <cell r="H129">
            <v>0</v>
          </cell>
          <cell r="I129">
            <v>0</v>
          </cell>
          <cell r="J129">
            <v>8.2199999999999989</v>
          </cell>
          <cell r="K129">
            <v>61650</v>
          </cell>
          <cell r="L129">
            <v>215925</v>
          </cell>
          <cell r="M129">
            <v>2.5699E-2</v>
          </cell>
        </row>
        <row r="130">
          <cell r="A130" t="str">
            <v>3.12</v>
          </cell>
          <cell r="B130" t="str">
            <v>Cobertura</v>
          </cell>
          <cell r="C130">
            <v>0</v>
          </cell>
          <cell r="D130">
            <v>0</v>
          </cell>
          <cell r="E130">
            <v>0</v>
          </cell>
          <cell r="F130">
            <v>0</v>
          </cell>
          <cell r="G130">
            <v>0</v>
          </cell>
          <cell r="H130">
            <v>0</v>
          </cell>
          <cell r="I130">
            <v>0</v>
          </cell>
          <cell r="J130">
            <v>0</v>
          </cell>
          <cell r="K130">
            <v>0</v>
          </cell>
          <cell r="L130">
            <v>0</v>
          </cell>
          <cell r="M130">
            <v>0</v>
          </cell>
        </row>
        <row r="131">
          <cell r="A131" t="str">
            <v>3.12.1</v>
          </cell>
          <cell r="B131" t="str">
            <v>Fornecimento de estrutura metálica aço ASTM A-36 (Item 5.3.50 do MD)</v>
          </cell>
          <cell r="C131" t="str">
            <v>kg</v>
          </cell>
          <cell r="D131">
            <v>25000</v>
          </cell>
          <cell r="E131">
            <v>11.2</v>
          </cell>
          <cell r="F131">
            <v>11.2</v>
          </cell>
          <cell r="G131">
            <v>280000</v>
          </cell>
          <cell r="H131">
            <v>0</v>
          </cell>
          <cell r="I131">
            <v>0</v>
          </cell>
          <cell r="J131">
            <v>0</v>
          </cell>
          <cell r="K131">
            <v>0</v>
          </cell>
          <cell r="L131">
            <v>280000</v>
          </cell>
          <cell r="M131">
            <v>3.3325E-2</v>
          </cell>
        </row>
        <row r="132">
          <cell r="A132" t="str">
            <v>3.12.2</v>
          </cell>
          <cell r="B132" t="str">
            <v>Montagem e pintura de estrutura metálica (Item 5.3.51 do MD)</v>
          </cell>
          <cell r="C132" t="str">
            <v>kg</v>
          </cell>
          <cell r="D132">
            <v>25000</v>
          </cell>
          <cell r="E132">
            <v>7.2900000000000009</v>
          </cell>
          <cell r="F132">
            <v>3.3600000000000003</v>
          </cell>
          <cell r="G132">
            <v>84000</v>
          </cell>
          <cell r="H132">
            <v>3.93</v>
          </cell>
          <cell r="I132">
            <v>98250</v>
          </cell>
          <cell r="J132">
            <v>0</v>
          </cell>
          <cell r="K132">
            <v>0</v>
          </cell>
          <cell r="L132">
            <v>182250</v>
          </cell>
          <cell r="M132">
            <v>2.1690999999999998E-2</v>
          </cell>
        </row>
        <row r="133">
          <cell r="A133" t="str">
            <v>3.12.3</v>
          </cell>
          <cell r="B133" t="str">
            <v>Fechamento lateral com placa cimentícia CRFS 300cm x 120cm x 10mm</v>
          </cell>
          <cell r="C133" t="str">
            <v>m2</v>
          </cell>
          <cell r="D133">
            <v>180</v>
          </cell>
          <cell r="E133">
            <v>60.57</v>
          </cell>
          <cell r="F133">
            <v>44.39</v>
          </cell>
          <cell r="G133">
            <v>7990.2</v>
          </cell>
          <cell r="H133">
            <v>0</v>
          </cell>
          <cell r="I133">
            <v>0</v>
          </cell>
          <cell r="J133">
            <v>16.18</v>
          </cell>
          <cell r="K133">
            <v>2912.4</v>
          </cell>
          <cell r="L133">
            <v>10902.6</v>
          </cell>
          <cell r="M133">
            <v>1.2979999999999999E-3</v>
          </cell>
        </row>
        <row r="134">
          <cell r="A134" t="str">
            <v>3.12.4</v>
          </cell>
          <cell r="B134" t="str">
            <v>Telha aço galvanizado acabamento natural ondulada E=0,65mm (Item 5.3.52 do MD)</v>
          </cell>
          <cell r="C134" t="str">
            <v>m2</v>
          </cell>
          <cell r="D134">
            <v>500</v>
          </cell>
          <cell r="E134">
            <v>61.15</v>
          </cell>
          <cell r="F134">
            <v>44.97</v>
          </cell>
          <cell r="G134">
            <v>22485</v>
          </cell>
          <cell r="H134">
            <v>0</v>
          </cell>
          <cell r="I134">
            <v>0</v>
          </cell>
          <cell r="J134">
            <v>16.18</v>
          </cell>
          <cell r="K134">
            <v>8090</v>
          </cell>
          <cell r="L134">
            <v>30575</v>
          </cell>
          <cell r="M134">
            <v>3.6389999999999999E-3</v>
          </cell>
        </row>
        <row r="135">
          <cell r="A135" t="str">
            <v>3.12.5</v>
          </cell>
          <cell r="B135" t="str">
            <v>Telha aço galvanizado acabamento natural ondulada E=0,8mm (Item 5.3.52 do MD)</v>
          </cell>
          <cell r="C135" t="str">
            <v>m2</v>
          </cell>
          <cell r="D135">
            <v>500</v>
          </cell>
          <cell r="E135">
            <v>71.19</v>
          </cell>
          <cell r="F135">
            <v>55.010000000000005</v>
          </cell>
          <cell r="G135">
            <v>27505</v>
          </cell>
          <cell r="H135">
            <v>0</v>
          </cell>
          <cell r="I135">
            <v>0</v>
          </cell>
          <cell r="J135">
            <v>16.18</v>
          </cell>
          <cell r="K135">
            <v>8090</v>
          </cell>
          <cell r="L135">
            <v>35595</v>
          </cell>
          <cell r="M135">
            <v>4.2360000000000002E-3</v>
          </cell>
        </row>
        <row r="136">
          <cell r="A136" t="str">
            <v>3.12.6</v>
          </cell>
          <cell r="B136" t="str">
            <v>Telha de aço galvanizada pintada 1 face pó ou coil-coating ondulada E=0,8mm (Item 5.3.52 do MD)</v>
          </cell>
          <cell r="C136" t="str">
            <v>m2</v>
          </cell>
          <cell r="D136">
            <v>500</v>
          </cell>
          <cell r="E136">
            <v>75.27000000000001</v>
          </cell>
          <cell r="F136">
            <v>59.09</v>
          </cell>
          <cell r="G136">
            <v>29545</v>
          </cell>
          <cell r="H136">
            <v>0</v>
          </cell>
          <cell r="I136">
            <v>0</v>
          </cell>
          <cell r="J136">
            <v>16.18</v>
          </cell>
          <cell r="K136">
            <v>8090</v>
          </cell>
          <cell r="L136">
            <v>37635</v>
          </cell>
          <cell r="M136">
            <v>4.4790000000000003E-3</v>
          </cell>
        </row>
        <row r="137">
          <cell r="A137" t="str">
            <v>3.12.7</v>
          </cell>
          <cell r="B137" t="str">
            <v>Telha de aço galvanizado pintada 2 faces auto portante e=0,8mm H=180mm (Item 5.3.52 do MD)</v>
          </cell>
          <cell r="C137" t="str">
            <v>m2</v>
          </cell>
          <cell r="D137">
            <v>1230</v>
          </cell>
          <cell r="E137">
            <v>83.19</v>
          </cell>
          <cell r="F137">
            <v>58.92</v>
          </cell>
          <cell r="G137">
            <v>72471.600000000006</v>
          </cell>
          <cell r="H137">
            <v>0</v>
          </cell>
          <cell r="I137">
            <v>0</v>
          </cell>
          <cell r="J137">
            <v>24.269999999999996</v>
          </cell>
          <cell r="K137">
            <v>29852.1</v>
          </cell>
          <cell r="L137">
            <v>102323.70000000001</v>
          </cell>
          <cell r="M137">
            <v>1.2178E-2</v>
          </cell>
        </row>
        <row r="138">
          <cell r="A138" t="str">
            <v>3.12.8</v>
          </cell>
          <cell r="B138" t="str">
            <v>Telha de aço galvanizado pintada 2 faces auto portante e=0,8mm H=260mm (Item 5.3.52 do MD)</v>
          </cell>
          <cell r="C138" t="str">
            <v>m2</v>
          </cell>
          <cell r="D138">
            <v>630</v>
          </cell>
          <cell r="E138">
            <v>71.28</v>
          </cell>
          <cell r="F138">
            <v>55.1</v>
          </cell>
          <cell r="G138">
            <v>34713</v>
          </cell>
          <cell r="H138">
            <v>0</v>
          </cell>
          <cell r="I138">
            <v>0</v>
          </cell>
          <cell r="J138">
            <v>16.18</v>
          </cell>
          <cell r="K138">
            <v>10193.4</v>
          </cell>
          <cell r="L138">
            <v>44906.400000000001</v>
          </cell>
          <cell r="M138">
            <v>5.3449999999999999E-3</v>
          </cell>
        </row>
        <row r="139">
          <cell r="A139" t="str">
            <v>3.12.9</v>
          </cell>
          <cell r="B139" t="str">
            <v>Telha de aço galvanizado trapezoidal sand poliuretano pintura 2 faces chapa 0,5mm E=30mm (Item 5.3.52 do MD)</v>
          </cell>
          <cell r="C139" t="str">
            <v>m2</v>
          </cell>
          <cell r="D139">
            <v>320</v>
          </cell>
          <cell r="E139">
            <v>128.59</v>
          </cell>
          <cell r="F139">
            <v>112.41</v>
          </cell>
          <cell r="G139">
            <v>35971.199999999997</v>
          </cell>
          <cell r="H139">
            <v>0</v>
          </cell>
          <cell r="I139">
            <v>0</v>
          </cell>
          <cell r="J139">
            <v>16.18</v>
          </cell>
          <cell r="K139">
            <v>5177.6000000000004</v>
          </cell>
          <cell r="L139">
            <v>41148.799999999996</v>
          </cell>
          <cell r="M139">
            <v>4.8970000000000003E-3</v>
          </cell>
        </row>
        <row r="140">
          <cell r="A140" t="str">
            <v>3.12.10</v>
          </cell>
          <cell r="B140" t="str">
            <v>Telha de aço galvanizado trapezoidal sand poliuretano pintura 2 faces chapa 0,5mm E=50mm (Item 5.3.52 do MD)</v>
          </cell>
          <cell r="C140" t="str">
            <v>m2</v>
          </cell>
          <cell r="D140">
            <v>320</v>
          </cell>
          <cell r="E140">
            <v>144.70000000000002</v>
          </cell>
          <cell r="F140">
            <v>128.52000000000001</v>
          </cell>
          <cell r="G140">
            <v>41126.400000000001</v>
          </cell>
          <cell r="H140">
            <v>0</v>
          </cell>
          <cell r="I140">
            <v>0</v>
          </cell>
          <cell r="J140">
            <v>16.18</v>
          </cell>
          <cell r="K140">
            <v>5177.6000000000004</v>
          </cell>
          <cell r="L140">
            <v>46304</v>
          </cell>
          <cell r="M140">
            <v>5.5110000000000003E-3</v>
          </cell>
        </row>
        <row r="141">
          <cell r="A141" t="str">
            <v>3.12.11</v>
          </cell>
          <cell r="B141" t="str">
            <v>Telha tecnologia CRFS ondulada E=6mm (Item 5.3.52 do MD)</v>
          </cell>
          <cell r="C141" t="str">
            <v>m2</v>
          </cell>
          <cell r="D141">
            <v>1000</v>
          </cell>
          <cell r="E141">
            <v>31.659999999999997</v>
          </cell>
          <cell r="F141">
            <v>22.759999999999998</v>
          </cell>
          <cell r="G141">
            <v>22760</v>
          </cell>
          <cell r="H141">
            <v>0</v>
          </cell>
          <cell r="I141">
            <v>0</v>
          </cell>
          <cell r="J141">
            <v>8.9</v>
          </cell>
          <cell r="K141">
            <v>8900</v>
          </cell>
          <cell r="L141">
            <v>31660</v>
          </cell>
          <cell r="M141">
            <v>3.7680000000000001E-3</v>
          </cell>
        </row>
        <row r="142">
          <cell r="A142" t="str">
            <v>3.12.12</v>
          </cell>
          <cell r="B142" t="str">
            <v>Telha tecnologia CRFS ondulada E=8mm (Item 5.3.52 do MD)</v>
          </cell>
          <cell r="C142" t="str">
            <v>m2</v>
          </cell>
          <cell r="D142">
            <v>1000</v>
          </cell>
          <cell r="E142">
            <v>39.339999999999996</v>
          </cell>
          <cell r="F142">
            <v>30.439999999999998</v>
          </cell>
          <cell r="G142">
            <v>30440</v>
          </cell>
          <cell r="H142">
            <v>0</v>
          </cell>
          <cell r="I142">
            <v>0</v>
          </cell>
          <cell r="J142">
            <v>8.9</v>
          </cell>
          <cell r="K142">
            <v>8900</v>
          </cell>
          <cell r="L142">
            <v>39340</v>
          </cell>
          <cell r="M142">
            <v>4.6820000000000004E-3</v>
          </cell>
        </row>
        <row r="143">
          <cell r="A143" t="str">
            <v>3.12.13</v>
          </cell>
          <cell r="B143" t="str">
            <v>Cumeeira de aço galvanizado natural perfil trapezoidal E=0,5mm H=100mm (Item 5.3.53 do MD)</v>
          </cell>
          <cell r="C143" t="str">
            <v>m</v>
          </cell>
          <cell r="D143">
            <v>300</v>
          </cell>
          <cell r="E143">
            <v>59.2</v>
          </cell>
          <cell r="F143">
            <v>30.93</v>
          </cell>
          <cell r="G143">
            <v>9279</v>
          </cell>
          <cell r="H143">
            <v>0</v>
          </cell>
          <cell r="I143">
            <v>0</v>
          </cell>
          <cell r="J143">
            <v>28.270000000000003</v>
          </cell>
          <cell r="K143">
            <v>8481</v>
          </cell>
          <cell r="L143">
            <v>17760</v>
          </cell>
          <cell r="M143">
            <v>2.114E-3</v>
          </cell>
        </row>
        <row r="144">
          <cell r="A144" t="str">
            <v>3.12.14</v>
          </cell>
          <cell r="B144" t="str">
            <v>Cumeeira perfil para telha autoportante  aço galvanizado natural E=0,80mm perfil 700/800 (Item 5.3.53 do MD)</v>
          </cell>
          <cell r="C144" t="str">
            <v>m</v>
          </cell>
          <cell r="D144">
            <v>60</v>
          </cell>
          <cell r="E144">
            <v>477.56</v>
          </cell>
          <cell r="F144">
            <v>464.41</v>
          </cell>
          <cell r="G144">
            <v>27864.6</v>
          </cell>
          <cell r="H144">
            <v>0</v>
          </cell>
          <cell r="I144">
            <v>0</v>
          </cell>
          <cell r="J144">
            <v>13.150000000000002</v>
          </cell>
          <cell r="K144">
            <v>789</v>
          </cell>
          <cell r="L144">
            <v>28653.599999999999</v>
          </cell>
          <cell r="M144">
            <v>3.4099999999999998E-3</v>
          </cell>
        </row>
        <row r="145">
          <cell r="A145" t="str">
            <v>3.12.15</v>
          </cell>
          <cell r="B145" t="str">
            <v>Contra rufo trapezoidal de alumínio espessura 0,8mm (Item 5.3.54 do MD)</v>
          </cell>
          <cell r="C145" t="str">
            <v>m</v>
          </cell>
          <cell r="D145">
            <v>300</v>
          </cell>
          <cell r="E145">
            <v>66.459999999999994</v>
          </cell>
          <cell r="F145">
            <v>39.659999999999997</v>
          </cell>
          <cell r="G145">
            <v>11898</v>
          </cell>
          <cell r="H145">
            <v>0</v>
          </cell>
          <cell r="I145">
            <v>0</v>
          </cell>
          <cell r="J145">
            <v>26.799999999999997</v>
          </cell>
          <cell r="K145">
            <v>8040</v>
          </cell>
          <cell r="L145">
            <v>19938</v>
          </cell>
          <cell r="M145">
            <v>2.3730000000000001E-3</v>
          </cell>
        </row>
        <row r="146">
          <cell r="A146" t="str">
            <v>3.12.16</v>
          </cell>
          <cell r="B146" t="str">
            <v>Rufo liso de alumínio acabamento natural E=0,8mm corte 0,50mm (Item 5.3.54 do MD)</v>
          </cell>
          <cell r="C146" t="str">
            <v>m</v>
          </cell>
          <cell r="D146">
            <v>300</v>
          </cell>
          <cell r="E146">
            <v>77.08</v>
          </cell>
          <cell r="F146">
            <v>27.12</v>
          </cell>
          <cell r="G146">
            <v>8136</v>
          </cell>
          <cell r="H146">
            <v>0</v>
          </cell>
          <cell r="I146">
            <v>0</v>
          </cell>
          <cell r="J146">
            <v>49.96</v>
          </cell>
          <cell r="K146">
            <v>14988</v>
          </cell>
          <cell r="L146">
            <v>23124</v>
          </cell>
          <cell r="M146">
            <v>2.7520000000000001E-3</v>
          </cell>
        </row>
        <row r="147">
          <cell r="A147" t="str">
            <v>3.12.17</v>
          </cell>
          <cell r="B147" t="str">
            <v>Rufo trapezoidal de alumínio acabamento natural espessura 0,8mm (Item 5.3.54 do MD)</v>
          </cell>
          <cell r="C147" t="str">
            <v>m</v>
          </cell>
          <cell r="D147">
            <v>300</v>
          </cell>
          <cell r="E147">
            <v>70.599999999999994</v>
          </cell>
          <cell r="F147">
            <v>31.310000000000002</v>
          </cell>
          <cell r="G147">
            <v>9393</v>
          </cell>
          <cell r="H147">
            <v>0</v>
          </cell>
          <cell r="I147">
            <v>0</v>
          </cell>
          <cell r="J147">
            <v>39.29</v>
          </cell>
          <cell r="K147">
            <v>11787</v>
          </cell>
          <cell r="L147">
            <v>21180</v>
          </cell>
          <cell r="M147">
            <v>2.5209999999999998E-3</v>
          </cell>
        </row>
        <row r="148">
          <cell r="A148" t="str">
            <v>3.12.18</v>
          </cell>
          <cell r="B148" t="str">
            <v>Rufo para telha tecnologia CRFS ondulada (Item 5.3.54 do MD)</v>
          </cell>
          <cell r="C148" t="str">
            <v>m</v>
          </cell>
          <cell r="D148">
            <v>300</v>
          </cell>
          <cell r="E148">
            <v>32.94</v>
          </cell>
          <cell r="F148">
            <v>30.32</v>
          </cell>
          <cell r="G148">
            <v>9096</v>
          </cell>
          <cell r="H148">
            <v>0</v>
          </cell>
          <cell r="I148">
            <v>0</v>
          </cell>
          <cell r="J148">
            <v>2.62</v>
          </cell>
          <cell r="K148">
            <v>786</v>
          </cell>
          <cell r="L148">
            <v>9882</v>
          </cell>
          <cell r="M148">
            <v>1.176E-3</v>
          </cell>
        </row>
        <row r="149">
          <cell r="A149" t="str">
            <v>3.12.19</v>
          </cell>
          <cell r="B149" t="str">
            <v>Sub-cobertura com manta aluminizada</v>
          </cell>
          <cell r="C149" t="str">
            <v>m2</v>
          </cell>
          <cell r="D149">
            <v>2500</v>
          </cell>
          <cell r="E149">
            <v>24.54</v>
          </cell>
          <cell r="F149">
            <v>17.97</v>
          </cell>
          <cell r="G149">
            <v>44925</v>
          </cell>
          <cell r="H149">
            <v>0</v>
          </cell>
          <cell r="I149">
            <v>0</v>
          </cell>
          <cell r="J149">
            <v>6.57</v>
          </cell>
          <cell r="K149">
            <v>16425</v>
          </cell>
          <cell r="L149">
            <v>61350</v>
          </cell>
          <cell r="M149">
            <v>7.3020000000000003E-3</v>
          </cell>
        </row>
        <row r="150">
          <cell r="A150" t="str">
            <v>3.13</v>
          </cell>
          <cell r="B150" t="str">
            <v>Vidro</v>
          </cell>
          <cell r="C150">
            <v>0</v>
          </cell>
          <cell r="D150">
            <v>0</v>
          </cell>
          <cell r="E150">
            <v>0</v>
          </cell>
          <cell r="F150">
            <v>0</v>
          </cell>
          <cell r="G150">
            <v>0</v>
          </cell>
          <cell r="H150">
            <v>0</v>
          </cell>
          <cell r="I150">
            <v>0</v>
          </cell>
          <cell r="J150">
            <v>0</v>
          </cell>
          <cell r="K150">
            <v>0</v>
          </cell>
          <cell r="L150">
            <v>0</v>
          </cell>
          <cell r="M150">
            <v>0</v>
          </cell>
        </row>
        <row r="151">
          <cell r="A151" t="str">
            <v>3.13.1</v>
          </cell>
          <cell r="B151" t="str">
            <v>Vidro cristal comum liso, colocado em caixilho com ou sem baguete, duas demãos de massa e= 3 mm (Item 5.3.56 do MD)</v>
          </cell>
          <cell r="C151" t="str">
            <v>m2</v>
          </cell>
          <cell r="D151">
            <v>100</v>
          </cell>
          <cell r="E151">
            <v>76.31</v>
          </cell>
          <cell r="F151">
            <v>62.400000000000006</v>
          </cell>
          <cell r="G151">
            <v>6240</v>
          </cell>
          <cell r="H151">
            <v>0</v>
          </cell>
          <cell r="I151">
            <v>0</v>
          </cell>
          <cell r="J151">
            <v>13.91</v>
          </cell>
          <cell r="K151">
            <v>1391</v>
          </cell>
          <cell r="L151">
            <v>7631</v>
          </cell>
          <cell r="M151">
            <v>9.0799999999999995E-4</v>
          </cell>
        </row>
        <row r="152">
          <cell r="A152" t="str">
            <v>3.13.2</v>
          </cell>
          <cell r="B152" t="str">
            <v>Vidro temperado transparente, colocado em caixilho de alumínio e= 6 mm (Item 5.3.56 do MD)</v>
          </cell>
          <cell r="C152" t="str">
            <v>m2</v>
          </cell>
          <cell r="D152">
            <v>100</v>
          </cell>
          <cell r="E152">
            <v>172.49</v>
          </cell>
          <cell r="F152">
            <v>155.09</v>
          </cell>
          <cell r="G152">
            <v>15509</v>
          </cell>
          <cell r="H152">
            <v>0</v>
          </cell>
          <cell r="I152">
            <v>0</v>
          </cell>
          <cell r="J152">
            <v>17.399999999999999</v>
          </cell>
          <cell r="K152">
            <v>1740</v>
          </cell>
          <cell r="L152">
            <v>17249</v>
          </cell>
          <cell r="M152">
            <v>2.0530000000000001E-3</v>
          </cell>
        </row>
        <row r="153">
          <cell r="A153" t="str">
            <v>3.14</v>
          </cell>
          <cell r="B153" t="str">
            <v>Perfurações e Cortes em Estruturas de Concreto</v>
          </cell>
          <cell r="C153">
            <v>0</v>
          </cell>
          <cell r="D153">
            <v>0</v>
          </cell>
          <cell r="E153">
            <v>0</v>
          </cell>
          <cell r="F153">
            <v>0</v>
          </cell>
          <cell r="G153">
            <v>0</v>
          </cell>
          <cell r="H153">
            <v>0</v>
          </cell>
          <cell r="I153">
            <v>0</v>
          </cell>
          <cell r="J153">
            <v>0</v>
          </cell>
          <cell r="K153">
            <v>0</v>
          </cell>
          <cell r="L153">
            <v>0</v>
          </cell>
          <cell r="M153">
            <v>0</v>
          </cell>
        </row>
        <row r="154">
          <cell r="A154" t="str">
            <v>3.14.1</v>
          </cell>
          <cell r="B154" t="str">
            <v>Execução de furo em reservatório com perfuratriz de coroa diamantada de 2"a 8" - Com mobilização (Item 5.3.57 do MD)</v>
          </cell>
          <cell r="C154" t="str">
            <v>un</v>
          </cell>
          <cell r="D154">
            <v>14</v>
          </cell>
          <cell r="E154">
            <v>327.75</v>
          </cell>
          <cell r="F154">
            <v>0</v>
          </cell>
          <cell r="G154">
            <v>0</v>
          </cell>
          <cell r="H154">
            <v>327.75</v>
          </cell>
          <cell r="I154">
            <v>4588.5</v>
          </cell>
          <cell r="J154">
            <v>0</v>
          </cell>
          <cell r="K154">
            <v>0</v>
          </cell>
          <cell r="L154">
            <v>4588.5</v>
          </cell>
          <cell r="M154">
            <v>5.4600000000000004E-4</v>
          </cell>
        </row>
        <row r="155">
          <cell r="A155" t="str">
            <v>3.14.2</v>
          </cell>
          <cell r="B155" t="str">
            <v>Execução de furo em reservatório com perfuratriz de coroa diamantada de 2"a 8" - Sem mobilização (Item 5.3.57 do MD)</v>
          </cell>
          <cell r="C155" t="str">
            <v>un</v>
          </cell>
          <cell r="D155">
            <v>10</v>
          </cell>
          <cell r="E155">
            <v>131.1</v>
          </cell>
          <cell r="F155">
            <v>0</v>
          </cell>
          <cell r="G155">
            <v>0</v>
          </cell>
          <cell r="H155">
            <v>131.1</v>
          </cell>
          <cell r="I155">
            <v>1311</v>
          </cell>
          <cell r="J155">
            <v>0</v>
          </cell>
          <cell r="K155">
            <v>0</v>
          </cell>
          <cell r="L155">
            <v>1311</v>
          </cell>
          <cell r="M155">
            <v>1.56E-4</v>
          </cell>
        </row>
        <row r="156">
          <cell r="A156" t="str">
            <v>3.14.3</v>
          </cell>
          <cell r="B156" t="str">
            <v>Execução de furo em reservatório com perfuratriz de coroa diamantada 10"a 16" (Item 5.3.57 do MD)</v>
          </cell>
          <cell r="C156" t="str">
            <v>un</v>
          </cell>
          <cell r="D156">
            <v>10</v>
          </cell>
          <cell r="E156">
            <v>1321.49</v>
          </cell>
          <cell r="F156">
            <v>0</v>
          </cell>
          <cell r="G156">
            <v>0</v>
          </cell>
          <cell r="H156">
            <v>1321.49</v>
          </cell>
          <cell r="I156">
            <v>13214.9</v>
          </cell>
          <cell r="J156">
            <v>0</v>
          </cell>
          <cell r="K156">
            <v>0</v>
          </cell>
          <cell r="L156">
            <v>13214.9</v>
          </cell>
          <cell r="M156">
            <v>1.573E-3</v>
          </cell>
        </row>
        <row r="157">
          <cell r="A157" t="str">
            <v>3.14.4</v>
          </cell>
          <cell r="B157" t="str">
            <v>Corte com serra diamantada em estrutura de concreto com profundidade até 15 cm (Item 5.3.57 do MD)</v>
          </cell>
          <cell r="C157" t="str">
            <v>m</v>
          </cell>
          <cell r="D157">
            <v>20</v>
          </cell>
          <cell r="E157">
            <v>72.489999999999995</v>
          </cell>
          <cell r="F157">
            <v>0</v>
          </cell>
          <cell r="G157">
            <v>0</v>
          </cell>
          <cell r="H157">
            <v>72.489999999999995</v>
          </cell>
          <cell r="I157">
            <v>1449.8</v>
          </cell>
          <cell r="J157">
            <v>0</v>
          </cell>
          <cell r="K157">
            <v>0</v>
          </cell>
          <cell r="L157">
            <v>1449.8</v>
          </cell>
          <cell r="M157">
            <v>1.73E-4</v>
          </cell>
        </row>
        <row r="158">
          <cell r="A158" t="str">
            <v>3.14.5</v>
          </cell>
          <cell r="B158" t="str">
            <v>Corte com serra diamantada em estrutura de concreto com profundidade até 40 cm (Item 5.3.57 do MD)</v>
          </cell>
          <cell r="C158" t="str">
            <v>m</v>
          </cell>
          <cell r="D158">
            <v>15</v>
          </cell>
          <cell r="E158">
            <v>276.94</v>
          </cell>
          <cell r="F158">
            <v>0</v>
          </cell>
          <cell r="G158">
            <v>0</v>
          </cell>
          <cell r="H158">
            <v>276.94</v>
          </cell>
          <cell r="I158">
            <v>4154.1000000000004</v>
          </cell>
          <cell r="J158">
            <v>0</v>
          </cell>
          <cell r="K158">
            <v>0</v>
          </cell>
          <cell r="L158">
            <v>4154.1000000000004</v>
          </cell>
          <cell r="M158">
            <v>4.9399999999999997E-4</v>
          </cell>
        </row>
        <row r="159">
          <cell r="A159" t="str">
            <v>3.15</v>
          </cell>
          <cell r="B159" t="str">
            <v>Tamponamento</v>
          </cell>
          <cell r="C159">
            <v>0</v>
          </cell>
          <cell r="D159">
            <v>0</v>
          </cell>
          <cell r="E159">
            <v>0</v>
          </cell>
          <cell r="F159">
            <v>0</v>
          </cell>
          <cell r="G159">
            <v>0</v>
          </cell>
          <cell r="H159">
            <v>0</v>
          </cell>
          <cell r="I159">
            <v>0</v>
          </cell>
          <cell r="J159">
            <v>0</v>
          </cell>
          <cell r="K159">
            <v>0</v>
          </cell>
          <cell r="L159">
            <v>0</v>
          </cell>
          <cell r="M159">
            <v>0</v>
          </cell>
        </row>
        <row r="160">
          <cell r="A160" t="str">
            <v>3.15.1</v>
          </cell>
          <cell r="B160" t="str">
            <v>Tamponamento de abertura em estrutura de concreto (face lateral/superior de reservatório) com espuma expansiva (2"a 8") (Item 5.3.58 do MD)</v>
          </cell>
          <cell r="C160" t="str">
            <v>un</v>
          </cell>
          <cell r="D160">
            <v>20</v>
          </cell>
          <cell r="E160">
            <v>100.19</v>
          </cell>
          <cell r="F160">
            <v>65.41</v>
          </cell>
          <cell r="G160">
            <v>1308.2</v>
          </cell>
          <cell r="H160">
            <v>0</v>
          </cell>
          <cell r="I160">
            <v>0</v>
          </cell>
          <cell r="J160">
            <v>34.78</v>
          </cell>
          <cell r="K160">
            <v>695.6</v>
          </cell>
          <cell r="L160">
            <v>2003.8000000000002</v>
          </cell>
          <cell r="M160">
            <v>2.3800000000000001E-4</v>
          </cell>
        </row>
        <row r="161">
          <cell r="A161">
            <v>0</v>
          </cell>
          <cell r="B161">
            <v>0</v>
          </cell>
          <cell r="C161">
            <v>0</v>
          </cell>
          <cell r="D161">
            <v>0</v>
          </cell>
          <cell r="E161">
            <v>0</v>
          </cell>
          <cell r="F161">
            <v>0</v>
          </cell>
          <cell r="G161">
            <v>0</v>
          </cell>
          <cell r="H161">
            <v>0</v>
          </cell>
          <cell r="I161">
            <v>0</v>
          </cell>
          <cell r="J161">
            <v>0</v>
          </cell>
          <cell r="K161">
            <v>0</v>
          </cell>
          <cell r="L161">
            <v>0</v>
          </cell>
          <cell r="M161">
            <v>0</v>
          </cell>
        </row>
        <row r="162">
          <cell r="A162" t="str">
            <v>4.0</v>
          </cell>
          <cell r="B162" t="str">
            <v>INSTALAÇÕES ELÉTRICAS</v>
          </cell>
          <cell r="C162" t="str">
            <v>SUB-TOTAL</v>
          </cell>
          <cell r="D162">
            <v>0</v>
          </cell>
          <cell r="E162">
            <v>0</v>
          </cell>
          <cell r="F162">
            <v>127364.8</v>
          </cell>
          <cell r="G162">
            <v>127364.8</v>
          </cell>
          <cell r="H162">
            <v>289.2</v>
          </cell>
          <cell r="I162">
            <v>289.2</v>
          </cell>
          <cell r="J162">
            <v>69264.7</v>
          </cell>
          <cell r="K162">
            <v>69264.7</v>
          </cell>
          <cell r="L162">
            <v>196918.7</v>
          </cell>
          <cell r="M162">
            <v>2.3435999999999998E-2</v>
          </cell>
        </row>
        <row r="163">
          <cell r="A163">
            <v>0</v>
          </cell>
          <cell r="B163">
            <v>0</v>
          </cell>
          <cell r="C163">
            <v>0</v>
          </cell>
          <cell r="D163">
            <v>0</v>
          </cell>
          <cell r="E163">
            <v>0</v>
          </cell>
          <cell r="F163">
            <v>0.64678899999999995</v>
          </cell>
          <cell r="G163" t="str">
            <v>sim</v>
          </cell>
          <cell r="H163">
            <v>1.469E-3</v>
          </cell>
          <cell r="I163" t="str">
            <v>sim</v>
          </cell>
          <cell r="J163">
            <v>0.35174299999999997</v>
          </cell>
          <cell r="K163" t="str">
            <v>sim</v>
          </cell>
          <cell r="L163">
            <v>0</v>
          </cell>
          <cell r="M163">
            <v>0</v>
          </cell>
        </row>
        <row r="164">
          <cell r="A164" t="str">
            <v>4.1</v>
          </cell>
          <cell r="B164" t="str">
            <v>Eletrodutos</v>
          </cell>
          <cell r="C164">
            <v>0</v>
          </cell>
          <cell r="D164">
            <v>0</v>
          </cell>
          <cell r="E164">
            <v>0</v>
          </cell>
          <cell r="F164">
            <v>0</v>
          </cell>
          <cell r="G164">
            <v>0</v>
          </cell>
          <cell r="H164">
            <v>0</v>
          </cell>
          <cell r="I164">
            <v>0</v>
          </cell>
          <cell r="J164">
            <v>0</v>
          </cell>
          <cell r="K164">
            <v>0</v>
          </cell>
          <cell r="L164">
            <v>0</v>
          </cell>
          <cell r="M164">
            <v>0</v>
          </cell>
        </row>
        <row r="165">
          <cell r="A165" t="str">
            <v>4.1.1</v>
          </cell>
          <cell r="B165" t="str">
            <v xml:space="preserve">Fornecimento e Lançamento de Eletroduto Flexível 3/4" (Item 5.4.1 do MD)   </v>
          </cell>
          <cell r="C165" t="str">
            <v>m</v>
          </cell>
          <cell r="D165">
            <v>1500</v>
          </cell>
          <cell r="E165">
            <v>2.7700000000000005</v>
          </cell>
          <cell r="F165">
            <v>1.4700000000000002</v>
          </cell>
          <cell r="G165">
            <v>2205</v>
          </cell>
          <cell r="H165">
            <v>0</v>
          </cell>
          <cell r="I165">
            <v>0</v>
          </cell>
          <cell r="J165">
            <v>1.3</v>
          </cell>
          <cell r="K165">
            <v>1950</v>
          </cell>
          <cell r="L165">
            <v>4155</v>
          </cell>
          <cell r="M165">
            <v>4.95E-4</v>
          </cell>
        </row>
        <row r="166">
          <cell r="A166" t="str">
            <v>4.1.2</v>
          </cell>
          <cell r="B166" t="str">
            <v xml:space="preserve">Fornecimento e Lançamento de Eletroduto Flexível 1" (Item 5.4.1 do MD)   </v>
          </cell>
          <cell r="C166" t="str">
            <v>m</v>
          </cell>
          <cell r="D166">
            <v>1500</v>
          </cell>
          <cell r="E166">
            <v>3.23</v>
          </cell>
          <cell r="F166">
            <v>1.93</v>
          </cell>
          <cell r="G166">
            <v>2895</v>
          </cell>
          <cell r="H166">
            <v>0</v>
          </cell>
          <cell r="I166">
            <v>0</v>
          </cell>
          <cell r="J166">
            <v>1.3</v>
          </cell>
          <cell r="K166">
            <v>1950</v>
          </cell>
          <cell r="L166">
            <v>4845</v>
          </cell>
          <cell r="M166">
            <v>5.7700000000000004E-4</v>
          </cell>
        </row>
        <row r="167">
          <cell r="A167" t="str">
            <v>4.1.3</v>
          </cell>
          <cell r="B167" t="str">
            <v xml:space="preserve">Fornecimento e Lançamento de Eletroduto Flexível 2" (Item 5.4.1 do MD)     </v>
          </cell>
          <cell r="C167" t="str">
            <v>m</v>
          </cell>
          <cell r="D167">
            <v>600</v>
          </cell>
          <cell r="E167">
            <v>10.030000000000001</v>
          </cell>
          <cell r="F167">
            <v>8.73</v>
          </cell>
          <cell r="G167">
            <v>5238</v>
          </cell>
          <cell r="H167">
            <v>0</v>
          </cell>
          <cell r="I167">
            <v>0</v>
          </cell>
          <cell r="J167">
            <v>1.3</v>
          </cell>
          <cell r="K167">
            <v>780</v>
          </cell>
          <cell r="L167">
            <v>6018</v>
          </cell>
          <cell r="M167">
            <v>7.1599999999999995E-4</v>
          </cell>
        </row>
        <row r="168">
          <cell r="A168" t="str">
            <v>4.2</v>
          </cell>
          <cell r="B168" t="str">
            <v>Luminárias, Tomadas, Interruptores, Pontos de Automação e Caixas de Passagem</v>
          </cell>
          <cell r="C168">
            <v>0</v>
          </cell>
          <cell r="D168">
            <v>0</v>
          </cell>
          <cell r="E168">
            <v>0</v>
          </cell>
          <cell r="F168">
            <v>0</v>
          </cell>
          <cell r="G168">
            <v>0</v>
          </cell>
          <cell r="H168">
            <v>0</v>
          </cell>
          <cell r="I168">
            <v>0</v>
          </cell>
          <cell r="J168">
            <v>0</v>
          </cell>
          <cell r="K168">
            <v>0</v>
          </cell>
          <cell r="L168">
            <v>0</v>
          </cell>
          <cell r="M168">
            <v>0</v>
          </cell>
        </row>
        <row r="169">
          <cell r="A169" t="str">
            <v>4.2.1</v>
          </cell>
          <cell r="B169" t="str">
            <v>Fornecimento e Instalação de arandela em alumínio fundido pintado (Epóxi), com grade de proteção e vidro óptico, para lâmpada de 100W. (Item 5.4.2 do MD)</v>
          </cell>
          <cell r="C169" t="str">
            <v>un</v>
          </cell>
          <cell r="D169">
            <v>250</v>
          </cell>
          <cell r="E169">
            <v>158.56</v>
          </cell>
          <cell r="F169">
            <v>133.15</v>
          </cell>
          <cell r="G169">
            <v>33287.5</v>
          </cell>
          <cell r="H169">
            <v>0</v>
          </cell>
          <cell r="I169">
            <v>0</v>
          </cell>
          <cell r="J169">
            <v>25.410000000000004</v>
          </cell>
          <cell r="K169">
            <v>6352.5</v>
          </cell>
          <cell r="L169">
            <v>39640</v>
          </cell>
          <cell r="M169">
            <v>4.718E-3</v>
          </cell>
        </row>
        <row r="170">
          <cell r="A170" t="str">
            <v>4.2.2</v>
          </cell>
          <cell r="B170" t="str">
            <v>Instalação de ponto com tomada alta simples, dois pólos + terra 20 A/250 V, completa, fiação 2,5 mm² (Item 5.4.2 do MD)</v>
          </cell>
          <cell r="C170" t="str">
            <v>un</v>
          </cell>
          <cell r="D170">
            <v>200</v>
          </cell>
          <cell r="E170">
            <v>81.92</v>
          </cell>
          <cell r="F170">
            <v>46.58</v>
          </cell>
          <cell r="G170">
            <v>9316</v>
          </cell>
          <cell r="H170">
            <v>0</v>
          </cell>
          <cell r="I170">
            <v>0</v>
          </cell>
          <cell r="J170">
            <v>35.340000000000003</v>
          </cell>
          <cell r="K170">
            <v>7068</v>
          </cell>
          <cell r="L170">
            <v>16384</v>
          </cell>
          <cell r="M170">
            <v>1.9499999999999999E-3</v>
          </cell>
        </row>
        <row r="171">
          <cell r="A171" t="str">
            <v>4.2.3</v>
          </cell>
          <cell r="B171" t="str">
            <v>Instalação de ponto com interruptor 1  tecla paralelo 10 A - 250 V, completo, fiação 1,5 mm² (Item 5.4.2 do MD)</v>
          </cell>
          <cell r="C171" t="str">
            <v>un</v>
          </cell>
          <cell r="D171">
            <v>200</v>
          </cell>
          <cell r="E171">
            <v>67.11</v>
          </cell>
          <cell r="F171">
            <v>31.769999999999996</v>
          </cell>
          <cell r="G171">
            <v>6354</v>
          </cell>
          <cell r="H171">
            <v>0</v>
          </cell>
          <cell r="I171">
            <v>0</v>
          </cell>
          <cell r="J171">
            <v>35.340000000000003</v>
          </cell>
          <cell r="K171">
            <v>7068</v>
          </cell>
          <cell r="L171">
            <v>13422</v>
          </cell>
          <cell r="M171">
            <v>1.5969999999999999E-3</v>
          </cell>
        </row>
        <row r="172">
          <cell r="A172" t="str">
            <v>4.2.4</v>
          </cell>
          <cell r="B172" t="str">
            <v>Instalação de ponto de automação (Item 5.4.2 do MD)</v>
          </cell>
          <cell r="C172" t="str">
            <v>un</v>
          </cell>
          <cell r="D172">
            <v>50</v>
          </cell>
          <cell r="E172">
            <v>65.75</v>
          </cell>
          <cell r="F172">
            <v>14.04</v>
          </cell>
          <cell r="G172">
            <v>702</v>
          </cell>
          <cell r="H172">
            <v>0</v>
          </cell>
          <cell r="I172">
            <v>0</v>
          </cell>
          <cell r="J172">
            <v>51.709999999999994</v>
          </cell>
          <cell r="K172">
            <v>2585.5</v>
          </cell>
          <cell r="L172">
            <v>3287.5</v>
          </cell>
          <cell r="M172">
            <v>3.9100000000000002E-4</v>
          </cell>
        </row>
        <row r="173">
          <cell r="A173" t="str">
            <v>4.2.5</v>
          </cell>
          <cell r="B173" t="str">
            <v>Caixa de passagem elétrica 15 x15 cm (Item 5.4.2 do MD)</v>
          </cell>
          <cell r="C173" t="str">
            <v>un</v>
          </cell>
          <cell r="D173">
            <v>50</v>
          </cell>
          <cell r="E173">
            <v>35.82</v>
          </cell>
          <cell r="F173">
            <v>11.059999999999999</v>
          </cell>
          <cell r="G173">
            <v>553</v>
          </cell>
          <cell r="H173">
            <v>0</v>
          </cell>
          <cell r="I173">
            <v>0</v>
          </cell>
          <cell r="J173">
            <v>24.76</v>
          </cell>
          <cell r="K173">
            <v>1238</v>
          </cell>
          <cell r="L173">
            <v>1791</v>
          </cell>
          <cell r="M173">
            <v>2.13E-4</v>
          </cell>
        </row>
        <row r="174">
          <cell r="A174" t="str">
            <v>4.3</v>
          </cell>
          <cell r="B174" t="str">
            <v>Iluminação de Poços e Reservatórios</v>
          </cell>
          <cell r="C174">
            <v>0</v>
          </cell>
          <cell r="D174">
            <v>0</v>
          </cell>
          <cell r="E174">
            <v>0</v>
          </cell>
          <cell r="F174">
            <v>0</v>
          </cell>
          <cell r="G174">
            <v>0</v>
          </cell>
          <cell r="H174">
            <v>0</v>
          </cell>
          <cell r="I174">
            <v>0</v>
          </cell>
          <cell r="J174">
            <v>0</v>
          </cell>
          <cell r="K174">
            <v>0</v>
          </cell>
          <cell r="L174">
            <v>0</v>
          </cell>
          <cell r="M174">
            <v>0</v>
          </cell>
        </row>
        <row r="175">
          <cell r="A175" t="str">
            <v>4.3.1</v>
          </cell>
          <cell r="B175" t="str">
            <v>Fornecimento e instalação de luminária no poste ou no Reservatório (Item 5.4.3 do MD)</v>
          </cell>
          <cell r="C175" t="str">
            <v>un</v>
          </cell>
          <cell r="D175">
            <v>250</v>
          </cell>
          <cell r="E175">
            <v>340.71000000000004</v>
          </cell>
          <cell r="F175">
            <v>234.33</v>
          </cell>
          <cell r="G175">
            <v>58582.5</v>
          </cell>
          <cell r="H175">
            <v>0.35000000000000003</v>
          </cell>
          <cell r="I175">
            <v>87.5</v>
          </cell>
          <cell r="J175">
            <v>106.03</v>
          </cell>
          <cell r="K175">
            <v>26507.5</v>
          </cell>
          <cell r="L175">
            <v>85177.5</v>
          </cell>
          <cell r="M175">
            <v>1.0137E-2</v>
          </cell>
        </row>
        <row r="176">
          <cell r="A176" t="str">
            <v>4.3.2</v>
          </cell>
          <cell r="B176" t="str">
            <v>Instalação do ramal em eletroduto rígido (Item 5.4.3 do MD)</v>
          </cell>
          <cell r="C176" t="str">
            <v>m</v>
          </cell>
          <cell r="D176">
            <v>500</v>
          </cell>
          <cell r="E176">
            <v>40.21</v>
          </cell>
          <cell r="F176">
            <v>14.45</v>
          </cell>
          <cell r="G176">
            <v>7225</v>
          </cell>
          <cell r="H176">
            <v>0.35000000000000003</v>
          </cell>
          <cell r="I176">
            <v>175</v>
          </cell>
          <cell r="J176">
            <v>25.410000000000004</v>
          </cell>
          <cell r="K176">
            <v>12705</v>
          </cell>
          <cell r="L176">
            <v>20105</v>
          </cell>
          <cell r="M176">
            <v>2.3930000000000002E-3</v>
          </cell>
        </row>
        <row r="177">
          <cell r="A177" t="str">
            <v>4.3.3</v>
          </cell>
          <cell r="B177" t="str">
            <v>Montagem e alimentação no painel (Item 5.4.3 do MD)</v>
          </cell>
          <cell r="C177" t="str">
            <v>un</v>
          </cell>
          <cell r="D177">
            <v>30</v>
          </cell>
          <cell r="E177">
            <v>69.790000000000006</v>
          </cell>
          <cell r="F177">
            <v>33.56</v>
          </cell>
          <cell r="G177">
            <v>1006.8</v>
          </cell>
          <cell r="H177">
            <v>0.89</v>
          </cell>
          <cell r="I177">
            <v>26.7</v>
          </cell>
          <cell r="J177">
            <v>35.340000000000003</v>
          </cell>
          <cell r="K177">
            <v>1060.2</v>
          </cell>
          <cell r="L177">
            <v>2093.6999999999998</v>
          </cell>
          <cell r="M177">
            <v>2.4899999999999998E-4</v>
          </cell>
        </row>
        <row r="178">
          <cell r="A178">
            <v>0</v>
          </cell>
          <cell r="B178">
            <v>0</v>
          </cell>
          <cell r="C178">
            <v>0</v>
          </cell>
          <cell r="D178">
            <v>0</v>
          </cell>
          <cell r="E178">
            <v>0</v>
          </cell>
          <cell r="F178">
            <v>0</v>
          </cell>
          <cell r="G178">
            <v>0</v>
          </cell>
          <cell r="H178">
            <v>0</v>
          </cell>
          <cell r="I178">
            <v>0</v>
          </cell>
          <cell r="J178">
            <v>0</v>
          </cell>
          <cell r="K178">
            <v>0</v>
          </cell>
          <cell r="L178">
            <v>0</v>
          </cell>
          <cell r="M178">
            <v>0</v>
          </cell>
        </row>
        <row r="179">
          <cell r="A179" t="str">
            <v>5.0</v>
          </cell>
          <cell r="B179" t="str">
            <v>INSTALAÇÕES HIDRAULICAS</v>
          </cell>
          <cell r="C179" t="str">
            <v>SUB-TOTAL</v>
          </cell>
          <cell r="D179">
            <v>0</v>
          </cell>
          <cell r="E179">
            <v>0</v>
          </cell>
          <cell r="F179">
            <v>83090.100000000006</v>
          </cell>
          <cell r="G179">
            <v>83090.100000000006</v>
          </cell>
          <cell r="H179">
            <v>60693.599999999999</v>
          </cell>
          <cell r="I179">
            <v>60693.599999999999</v>
          </cell>
          <cell r="J179">
            <v>317263.09999999998</v>
          </cell>
          <cell r="K179">
            <v>317263.09999999998</v>
          </cell>
          <cell r="L179">
            <v>461046.80000000005</v>
          </cell>
          <cell r="M179">
            <v>5.4871999999999997E-2</v>
          </cell>
        </row>
        <row r="180">
          <cell r="A180">
            <v>0</v>
          </cell>
          <cell r="B180">
            <v>0</v>
          </cell>
          <cell r="C180">
            <v>0</v>
          </cell>
          <cell r="D180">
            <v>0</v>
          </cell>
          <cell r="E180">
            <v>0</v>
          </cell>
          <cell r="F180">
            <v>0.18022099999999999</v>
          </cell>
          <cell r="G180" t="str">
            <v>sim</v>
          </cell>
          <cell r="H180">
            <v>0.13164300000000001</v>
          </cell>
          <cell r="I180" t="str">
            <v>sim</v>
          </cell>
          <cell r="J180">
            <v>0.68813599999999997</v>
          </cell>
          <cell r="K180" t="str">
            <v>sim</v>
          </cell>
          <cell r="L180">
            <v>0</v>
          </cell>
          <cell r="M180">
            <v>0</v>
          </cell>
        </row>
        <row r="181">
          <cell r="A181" t="str">
            <v>5.1</v>
          </cell>
          <cell r="B181" t="str">
            <v>Casas de Cloro e Flúor</v>
          </cell>
          <cell r="C181">
            <v>0</v>
          </cell>
          <cell r="D181">
            <v>0</v>
          </cell>
          <cell r="E181">
            <v>0</v>
          </cell>
          <cell r="F181">
            <v>0</v>
          </cell>
          <cell r="G181">
            <v>0</v>
          </cell>
          <cell r="H181">
            <v>0</v>
          </cell>
          <cell r="I181">
            <v>0</v>
          </cell>
          <cell r="J181">
            <v>0</v>
          </cell>
          <cell r="K181">
            <v>0</v>
          </cell>
          <cell r="L181">
            <v>0</v>
          </cell>
          <cell r="M181">
            <v>0</v>
          </cell>
        </row>
        <row r="182">
          <cell r="A182" t="str">
            <v>5.1.1</v>
          </cell>
          <cell r="B182" t="str">
            <v>Instalação de ralo seco de PVC rígido, altura de 50mm, diâmetro de entrada de 40mm, com grelha quadrada de PVC branco, nas dimensões 100x100mm. (Item 5.5.1 do MD)</v>
          </cell>
          <cell r="C182" t="str">
            <v>un</v>
          </cell>
          <cell r="D182">
            <v>200</v>
          </cell>
          <cell r="E182">
            <v>22.049999999999997</v>
          </cell>
          <cell r="F182">
            <v>7.7900000000000009</v>
          </cell>
          <cell r="G182">
            <v>1558</v>
          </cell>
          <cell r="H182">
            <v>0</v>
          </cell>
          <cell r="I182">
            <v>0</v>
          </cell>
          <cell r="J182">
            <v>14.259999999999998</v>
          </cell>
          <cell r="K182">
            <v>2852</v>
          </cell>
          <cell r="L182">
            <v>4410</v>
          </cell>
          <cell r="M182">
            <v>5.2499999999999997E-4</v>
          </cell>
        </row>
        <row r="183">
          <cell r="A183" t="str">
            <v>5.1.2</v>
          </cell>
          <cell r="B183" t="str">
            <v>Instalação tubo em PVC, com conexões Ø 40 mm, da bomba dosadora até a caixa de dosagem química ou do ralo até a caixa de drenagem (Item 5.5.1 do MD)</v>
          </cell>
          <cell r="C183" t="str">
            <v>m</v>
          </cell>
          <cell r="D183">
            <v>200</v>
          </cell>
          <cell r="E183">
            <v>24.060000000000002</v>
          </cell>
          <cell r="F183">
            <v>6.1899999999999995</v>
          </cell>
          <cell r="G183">
            <v>1238</v>
          </cell>
          <cell r="H183">
            <v>0</v>
          </cell>
          <cell r="I183">
            <v>0</v>
          </cell>
          <cell r="J183">
            <v>17.87</v>
          </cell>
          <cell r="K183">
            <v>3574</v>
          </cell>
          <cell r="L183">
            <v>4812</v>
          </cell>
          <cell r="M183">
            <v>5.7300000000000005E-4</v>
          </cell>
        </row>
        <row r="184">
          <cell r="A184" t="str">
            <v>5.1.3</v>
          </cell>
          <cell r="B184" t="str">
            <v>Fornecimento e Instalação de abraçadeira completa para ponto de dosagem (Item 5.5.1 do MD)</v>
          </cell>
          <cell r="C184" t="str">
            <v>un</v>
          </cell>
          <cell r="D184">
            <v>250</v>
          </cell>
          <cell r="E184">
            <v>105.11999999999998</v>
          </cell>
          <cell r="F184">
            <v>69.419999999999987</v>
          </cell>
          <cell r="G184">
            <v>17355</v>
          </cell>
          <cell r="H184">
            <v>0</v>
          </cell>
          <cell r="I184">
            <v>0</v>
          </cell>
          <cell r="J184">
            <v>35.699999999999996</v>
          </cell>
          <cell r="K184">
            <v>8925</v>
          </cell>
          <cell r="L184">
            <v>26280</v>
          </cell>
          <cell r="M184">
            <v>3.1280000000000001E-3</v>
          </cell>
        </row>
        <row r="185">
          <cell r="A185" t="str">
            <v>5.1.4</v>
          </cell>
          <cell r="B185" t="str">
            <v>Fornecimento e Instalação de mangueira de polietileno de baixa densidade 1/4"  entre bomba dosadora e ponto de aplicação do produto químico (Item 5.5.1 do MD)</v>
          </cell>
          <cell r="C185" t="str">
            <v>m</v>
          </cell>
          <cell r="D185">
            <v>2000</v>
          </cell>
          <cell r="E185">
            <v>5.5200000000000005</v>
          </cell>
          <cell r="F185">
            <v>1.93</v>
          </cell>
          <cell r="G185">
            <v>3860</v>
          </cell>
          <cell r="H185">
            <v>0</v>
          </cell>
          <cell r="I185">
            <v>0</v>
          </cell>
          <cell r="J185">
            <v>3.5900000000000003</v>
          </cell>
          <cell r="K185">
            <v>7180</v>
          </cell>
          <cell r="L185">
            <v>11040</v>
          </cell>
          <cell r="M185">
            <v>1.3140000000000001E-3</v>
          </cell>
        </row>
        <row r="186">
          <cell r="A186" t="str">
            <v>5.2</v>
          </cell>
          <cell r="B186" t="str">
            <v>Cavaletes e Poços</v>
          </cell>
          <cell r="C186">
            <v>0</v>
          </cell>
          <cell r="D186">
            <v>0</v>
          </cell>
          <cell r="E186">
            <v>0</v>
          </cell>
          <cell r="F186">
            <v>0</v>
          </cell>
          <cell r="G186">
            <v>0</v>
          </cell>
          <cell r="H186">
            <v>0</v>
          </cell>
          <cell r="I186">
            <v>0</v>
          </cell>
          <cell r="J186">
            <v>0</v>
          </cell>
          <cell r="K186">
            <v>0</v>
          </cell>
          <cell r="L186">
            <v>0</v>
          </cell>
          <cell r="M186">
            <v>0</v>
          </cell>
        </row>
        <row r="187">
          <cell r="A187" t="str">
            <v>5.2.1</v>
          </cell>
          <cell r="B187" t="str">
            <v>Desmontagem de cavalete. (Item 5.5.2 do MD)</v>
          </cell>
          <cell r="C187" t="str">
            <v>un</v>
          </cell>
          <cell r="D187">
            <v>200</v>
          </cell>
          <cell r="E187">
            <v>133.30000000000001</v>
          </cell>
          <cell r="F187">
            <v>0</v>
          </cell>
          <cell r="G187">
            <v>0</v>
          </cell>
          <cell r="H187">
            <v>0</v>
          </cell>
          <cell r="I187">
            <v>0</v>
          </cell>
          <cell r="J187">
            <v>133.30000000000001</v>
          </cell>
          <cell r="K187">
            <v>26660</v>
          </cell>
          <cell r="L187">
            <v>26660</v>
          </cell>
          <cell r="M187">
            <v>3.173E-3</v>
          </cell>
        </row>
        <row r="188">
          <cell r="A188" t="str">
            <v>5.2.2</v>
          </cell>
          <cell r="B188" t="str">
            <v>Montagem de cavalete 2" (modelo I) (Item 5.5.2 do MD)</v>
          </cell>
          <cell r="C188" t="str">
            <v>un</v>
          </cell>
          <cell r="D188">
            <v>100</v>
          </cell>
          <cell r="E188">
            <v>279.19</v>
          </cell>
          <cell r="F188">
            <v>12.59</v>
          </cell>
          <cell r="G188">
            <v>1259</v>
          </cell>
          <cell r="H188">
            <v>0</v>
          </cell>
          <cell r="I188">
            <v>0</v>
          </cell>
          <cell r="J188">
            <v>266.60000000000002</v>
          </cell>
          <cell r="K188">
            <v>26660</v>
          </cell>
          <cell r="L188">
            <v>27919</v>
          </cell>
          <cell r="M188">
            <v>3.323E-3</v>
          </cell>
        </row>
        <row r="189">
          <cell r="A189" t="str">
            <v>5.2.3</v>
          </cell>
          <cell r="B189" t="str">
            <v>Montagem de cavalete 3" (modelo III) (Item 5.5.2 do MD)</v>
          </cell>
          <cell r="C189" t="str">
            <v>un</v>
          </cell>
          <cell r="D189">
            <v>100</v>
          </cell>
          <cell r="E189">
            <v>351.3</v>
          </cell>
          <cell r="F189">
            <v>18.04</v>
          </cell>
          <cell r="G189">
            <v>1804</v>
          </cell>
          <cell r="H189">
            <v>0</v>
          </cell>
          <cell r="I189">
            <v>0</v>
          </cell>
          <cell r="J189">
            <v>333.26</v>
          </cell>
          <cell r="K189">
            <v>33326</v>
          </cell>
          <cell r="L189">
            <v>35130</v>
          </cell>
          <cell r="M189">
            <v>4.1809999999999998E-3</v>
          </cell>
        </row>
        <row r="190">
          <cell r="A190" t="str">
            <v>5.3</v>
          </cell>
          <cell r="B190" t="str">
            <v>Execução de rosca</v>
          </cell>
          <cell r="C190">
            <v>0</v>
          </cell>
          <cell r="D190">
            <v>0</v>
          </cell>
          <cell r="E190">
            <v>0</v>
          </cell>
          <cell r="F190">
            <v>0</v>
          </cell>
          <cell r="G190">
            <v>0</v>
          </cell>
          <cell r="H190">
            <v>0</v>
          </cell>
          <cell r="I190">
            <v>0</v>
          </cell>
          <cell r="J190">
            <v>0</v>
          </cell>
          <cell r="K190">
            <v>0</v>
          </cell>
          <cell r="L190">
            <v>0</v>
          </cell>
          <cell r="M190">
            <v>0</v>
          </cell>
        </row>
        <row r="191">
          <cell r="A191" t="str">
            <v>5.3.1</v>
          </cell>
          <cell r="B191" t="str">
            <v>Execução de rosca em tubo de aço carbono galvanizado 2" (Item 5.5.2 do MD)</v>
          </cell>
          <cell r="C191" t="str">
            <v>un</v>
          </cell>
          <cell r="D191">
            <v>200</v>
          </cell>
          <cell r="E191">
            <v>18.920000000000002</v>
          </cell>
          <cell r="F191">
            <v>0</v>
          </cell>
          <cell r="G191">
            <v>0</v>
          </cell>
          <cell r="H191">
            <v>18.920000000000002</v>
          </cell>
          <cell r="I191">
            <v>3784</v>
          </cell>
          <cell r="J191">
            <v>0</v>
          </cell>
          <cell r="K191">
            <v>0</v>
          </cell>
          <cell r="L191">
            <v>3784</v>
          </cell>
          <cell r="M191">
            <v>4.4999999999999999E-4</v>
          </cell>
        </row>
        <row r="192">
          <cell r="A192" t="str">
            <v>5.3.2</v>
          </cell>
          <cell r="B192" t="str">
            <v>Execução de rosca em tubo de aço carbono galvanizado 3" (Item 5.5.2 do MD)</v>
          </cell>
          <cell r="C192" t="str">
            <v>un</v>
          </cell>
          <cell r="D192">
            <v>200</v>
          </cell>
          <cell r="E192">
            <v>23.65</v>
          </cell>
          <cell r="F192">
            <v>0</v>
          </cell>
          <cell r="G192">
            <v>0</v>
          </cell>
          <cell r="H192">
            <v>23.65</v>
          </cell>
          <cell r="I192">
            <v>4730</v>
          </cell>
          <cell r="J192">
            <v>0</v>
          </cell>
          <cell r="K192">
            <v>0</v>
          </cell>
          <cell r="L192">
            <v>4730</v>
          </cell>
          <cell r="M192">
            <v>5.6300000000000002E-4</v>
          </cell>
        </row>
        <row r="193">
          <cell r="A193" t="str">
            <v>5.3.3</v>
          </cell>
          <cell r="B193" t="str">
            <v>Execução de rosca em tubo de aço carbono galvanizado 4" (Item 5.5.2 do MD)</v>
          </cell>
          <cell r="C193" t="str">
            <v>un</v>
          </cell>
          <cell r="D193">
            <v>200</v>
          </cell>
          <cell r="E193">
            <v>28.37</v>
          </cell>
          <cell r="F193">
            <v>0</v>
          </cell>
          <cell r="G193">
            <v>0</v>
          </cell>
          <cell r="H193">
            <v>28.37</v>
          </cell>
          <cell r="I193">
            <v>5674</v>
          </cell>
          <cell r="J193">
            <v>0</v>
          </cell>
          <cell r="K193">
            <v>0</v>
          </cell>
          <cell r="L193">
            <v>5674</v>
          </cell>
          <cell r="M193">
            <v>6.7500000000000004E-4</v>
          </cell>
        </row>
        <row r="194">
          <cell r="A194" t="str">
            <v>5.3.4</v>
          </cell>
          <cell r="B194" t="str">
            <v>Execução de rosca em tubo de aço carbono galvanizado 6" (Item 5.5.2 do MD)</v>
          </cell>
          <cell r="C194" t="str">
            <v>un</v>
          </cell>
          <cell r="D194">
            <v>200</v>
          </cell>
          <cell r="E194">
            <v>37.840000000000003</v>
          </cell>
          <cell r="F194">
            <v>0</v>
          </cell>
          <cell r="G194">
            <v>0</v>
          </cell>
          <cell r="H194">
            <v>37.840000000000003</v>
          </cell>
          <cell r="I194">
            <v>7568</v>
          </cell>
          <cell r="J194">
            <v>0</v>
          </cell>
          <cell r="K194">
            <v>0</v>
          </cell>
          <cell r="L194">
            <v>7568</v>
          </cell>
          <cell r="M194">
            <v>9.01E-4</v>
          </cell>
        </row>
        <row r="195">
          <cell r="A195" t="str">
            <v>5.4</v>
          </cell>
          <cell r="B195" t="str">
            <v>Rebaixamento e Alteamento de Poços</v>
          </cell>
          <cell r="C195">
            <v>0</v>
          </cell>
          <cell r="D195">
            <v>0</v>
          </cell>
          <cell r="E195">
            <v>0</v>
          </cell>
          <cell r="F195">
            <v>0</v>
          </cell>
          <cell r="G195">
            <v>0</v>
          </cell>
          <cell r="H195">
            <v>0</v>
          </cell>
          <cell r="I195">
            <v>0</v>
          </cell>
          <cell r="J195">
            <v>0</v>
          </cell>
          <cell r="K195">
            <v>0</v>
          </cell>
          <cell r="L195">
            <v>0</v>
          </cell>
          <cell r="M195">
            <v>0</v>
          </cell>
        </row>
        <row r="196">
          <cell r="A196" t="str">
            <v>5.4.1</v>
          </cell>
          <cell r="B196" t="str">
            <v>Rebaixamento do tubo de boca do poço (Item 5.5.2 do MD)</v>
          </cell>
          <cell r="C196" t="str">
            <v>un</v>
          </cell>
          <cell r="D196">
            <v>30</v>
          </cell>
          <cell r="E196">
            <v>309.27</v>
          </cell>
          <cell r="F196">
            <v>0</v>
          </cell>
          <cell r="G196">
            <v>0</v>
          </cell>
          <cell r="H196">
            <v>192.35999999999999</v>
          </cell>
          <cell r="I196">
            <v>5770.8</v>
          </cell>
          <cell r="J196">
            <v>116.91000000000001</v>
          </cell>
          <cell r="K196">
            <v>3507.3</v>
          </cell>
          <cell r="L196">
            <v>9278.1</v>
          </cell>
          <cell r="M196">
            <v>1.1039999999999999E-3</v>
          </cell>
        </row>
        <row r="197">
          <cell r="A197" t="str">
            <v>5.4.2</v>
          </cell>
          <cell r="B197" t="str">
            <v>Alteamento do tubo de boca do poço (Item 5.5.2 do MD)</v>
          </cell>
          <cell r="C197" t="str">
            <v>un</v>
          </cell>
          <cell r="D197">
            <v>30</v>
          </cell>
          <cell r="E197">
            <v>333.69</v>
          </cell>
          <cell r="F197">
            <v>24.419999999999998</v>
          </cell>
          <cell r="G197">
            <v>732.6</v>
          </cell>
          <cell r="H197">
            <v>192.35999999999999</v>
          </cell>
          <cell r="I197">
            <v>5770.8</v>
          </cell>
          <cell r="J197">
            <v>116.91000000000001</v>
          </cell>
          <cell r="K197">
            <v>3507.3</v>
          </cell>
          <cell r="L197">
            <v>10010.700000000001</v>
          </cell>
          <cell r="M197">
            <v>1.191E-3</v>
          </cell>
        </row>
        <row r="198">
          <cell r="A198" t="str">
            <v>5.5</v>
          </cell>
          <cell r="B198" t="str">
            <v>Içamento</v>
          </cell>
          <cell r="C198">
            <v>0</v>
          </cell>
          <cell r="D198">
            <v>0</v>
          </cell>
          <cell r="E198">
            <v>0</v>
          </cell>
          <cell r="F198">
            <v>0</v>
          </cell>
          <cell r="G198">
            <v>0</v>
          </cell>
          <cell r="H198">
            <v>0</v>
          </cell>
          <cell r="I198">
            <v>0</v>
          </cell>
          <cell r="J198">
            <v>0</v>
          </cell>
          <cell r="K198">
            <v>0</v>
          </cell>
          <cell r="L198">
            <v>0</v>
          </cell>
          <cell r="M198">
            <v>0</v>
          </cell>
        </row>
        <row r="199">
          <cell r="A199" t="str">
            <v>5.5.1</v>
          </cell>
          <cell r="B199" t="str">
            <v>Içamento do conjunto moto-bomba para substituição de conexões do poço (Item 5.5.2 do MD)</v>
          </cell>
          <cell r="C199" t="str">
            <v>un</v>
          </cell>
          <cell r="D199">
            <v>30</v>
          </cell>
          <cell r="E199">
            <v>321.39999999999998</v>
          </cell>
          <cell r="F199">
            <v>0</v>
          </cell>
          <cell r="G199">
            <v>0</v>
          </cell>
          <cell r="H199">
            <v>321.39999999999998</v>
          </cell>
          <cell r="I199">
            <v>9642</v>
          </cell>
          <cell r="J199">
            <v>0</v>
          </cell>
          <cell r="K199">
            <v>0</v>
          </cell>
          <cell r="L199">
            <v>9642</v>
          </cell>
          <cell r="M199">
            <v>1.1479999999999999E-3</v>
          </cell>
        </row>
        <row r="200">
          <cell r="A200" t="str">
            <v>5.6</v>
          </cell>
          <cell r="B200" t="str">
            <v>Barrilete</v>
          </cell>
          <cell r="C200">
            <v>0</v>
          </cell>
          <cell r="D200">
            <v>0</v>
          </cell>
          <cell r="E200">
            <v>0</v>
          </cell>
          <cell r="F200">
            <v>0</v>
          </cell>
          <cell r="G200">
            <v>0</v>
          </cell>
          <cell r="H200">
            <v>0</v>
          </cell>
          <cell r="I200">
            <v>0</v>
          </cell>
          <cell r="J200">
            <v>0</v>
          </cell>
          <cell r="K200">
            <v>0</v>
          </cell>
          <cell r="L200">
            <v>0</v>
          </cell>
          <cell r="M200">
            <v>0</v>
          </cell>
        </row>
        <row r="201">
          <cell r="A201" t="str">
            <v>5.6.1</v>
          </cell>
          <cell r="B201" t="str">
            <v>Execução de barrilete com duas unificações (Item 5.5.2 do MD)</v>
          </cell>
          <cell r="C201" t="str">
            <v>un</v>
          </cell>
          <cell r="D201">
            <v>50</v>
          </cell>
          <cell r="E201">
            <v>202.98000000000002</v>
          </cell>
          <cell r="F201">
            <v>3.41</v>
          </cell>
          <cell r="G201">
            <v>170.5</v>
          </cell>
          <cell r="H201">
            <v>0</v>
          </cell>
          <cell r="I201">
            <v>0</v>
          </cell>
          <cell r="J201">
            <v>199.57000000000002</v>
          </cell>
          <cell r="K201">
            <v>9978.5</v>
          </cell>
          <cell r="L201">
            <v>10149</v>
          </cell>
          <cell r="M201">
            <v>1.2080000000000001E-3</v>
          </cell>
        </row>
        <row r="202">
          <cell r="A202" t="str">
            <v>5.6.2</v>
          </cell>
          <cell r="B202" t="str">
            <v>Execução de barrilete com três unificações (Item 5.5.2 do MD)</v>
          </cell>
          <cell r="C202" t="str">
            <v>un</v>
          </cell>
          <cell r="D202">
            <v>50</v>
          </cell>
          <cell r="E202">
            <v>320.91000000000003</v>
          </cell>
          <cell r="F202">
            <v>4.6100000000000003</v>
          </cell>
          <cell r="G202">
            <v>230.5</v>
          </cell>
          <cell r="H202">
            <v>0</v>
          </cell>
          <cell r="I202">
            <v>0</v>
          </cell>
          <cell r="J202">
            <v>316.3</v>
          </cell>
          <cell r="K202">
            <v>15815</v>
          </cell>
          <cell r="L202">
            <v>16045.5</v>
          </cell>
          <cell r="M202">
            <v>1.91E-3</v>
          </cell>
        </row>
        <row r="203">
          <cell r="A203" t="str">
            <v>5.6.3</v>
          </cell>
          <cell r="B203" t="str">
            <v>Execução de barrilete com quatro unificações (Item 5.5.2 do MD)</v>
          </cell>
          <cell r="C203" t="str">
            <v>un</v>
          </cell>
          <cell r="D203">
            <v>50</v>
          </cell>
          <cell r="E203">
            <v>472.82</v>
          </cell>
          <cell r="F203">
            <v>5.87</v>
          </cell>
          <cell r="G203">
            <v>293.5</v>
          </cell>
          <cell r="H203">
            <v>0</v>
          </cell>
          <cell r="I203">
            <v>0</v>
          </cell>
          <cell r="J203">
            <v>466.95</v>
          </cell>
          <cell r="K203">
            <v>23347.5</v>
          </cell>
          <cell r="L203">
            <v>23641</v>
          </cell>
          <cell r="M203">
            <v>2.8140000000000001E-3</v>
          </cell>
        </row>
        <row r="204">
          <cell r="A204" t="str">
            <v>5.7</v>
          </cell>
          <cell r="B204" t="str">
            <v>Tubulações para Unificação</v>
          </cell>
          <cell r="C204">
            <v>0</v>
          </cell>
          <cell r="D204">
            <v>0</v>
          </cell>
          <cell r="E204">
            <v>0</v>
          </cell>
          <cell r="F204">
            <v>0</v>
          </cell>
          <cell r="G204">
            <v>0</v>
          </cell>
          <cell r="H204">
            <v>0</v>
          </cell>
          <cell r="I204">
            <v>0</v>
          </cell>
          <cell r="J204">
            <v>0</v>
          </cell>
          <cell r="K204">
            <v>0</v>
          </cell>
          <cell r="L204">
            <v>0</v>
          </cell>
          <cell r="M204">
            <v>0</v>
          </cell>
        </row>
        <row r="205">
          <cell r="A205" t="str">
            <v>5.7.1</v>
          </cell>
          <cell r="B205" t="str">
            <v>Execução de tubulação para unificação de poços no Reservatório (Horizontal - PVC 2") com conexões (Item 5.5.2 do MD)</v>
          </cell>
          <cell r="C205" t="str">
            <v>m</v>
          </cell>
          <cell r="D205">
            <v>30</v>
          </cell>
          <cell r="E205">
            <v>16.18</v>
          </cell>
          <cell r="F205">
            <v>0</v>
          </cell>
          <cell r="G205">
            <v>0</v>
          </cell>
          <cell r="H205">
            <v>0</v>
          </cell>
          <cell r="I205">
            <v>0</v>
          </cell>
          <cell r="J205">
            <v>16.18</v>
          </cell>
          <cell r="K205">
            <v>485.4</v>
          </cell>
          <cell r="L205">
            <v>485.4</v>
          </cell>
          <cell r="M205">
            <v>5.8E-5</v>
          </cell>
        </row>
        <row r="206">
          <cell r="A206" t="str">
            <v>5.7.2</v>
          </cell>
          <cell r="B206" t="str">
            <v>Execução de tubulação para unificação de poços no Reservatório (Horizontal - PVC 2 1/2") com conexões (Item 5.5.2 do MD)</v>
          </cell>
          <cell r="C206" t="str">
            <v>m</v>
          </cell>
          <cell r="D206">
            <v>30</v>
          </cell>
          <cell r="E206">
            <v>16.95</v>
          </cell>
          <cell r="F206">
            <v>0</v>
          </cell>
          <cell r="G206">
            <v>0</v>
          </cell>
          <cell r="H206">
            <v>0</v>
          </cell>
          <cell r="I206">
            <v>0</v>
          </cell>
          <cell r="J206">
            <v>16.95</v>
          </cell>
          <cell r="K206">
            <v>508.5</v>
          </cell>
          <cell r="L206">
            <v>508.5</v>
          </cell>
          <cell r="M206">
            <v>6.0999999999999999E-5</v>
          </cell>
        </row>
        <row r="207">
          <cell r="A207" t="str">
            <v>5.7.3</v>
          </cell>
          <cell r="B207" t="str">
            <v>Execução de tubulação para unificação dos poços no Reservatório (Horizontal - PVC 3") com conexões (Item 5.5.2 do MD)</v>
          </cell>
          <cell r="C207" t="str">
            <v>m</v>
          </cell>
          <cell r="D207">
            <v>60</v>
          </cell>
          <cell r="E207">
            <v>17.71</v>
          </cell>
          <cell r="F207">
            <v>0</v>
          </cell>
          <cell r="G207">
            <v>0</v>
          </cell>
          <cell r="H207">
            <v>0</v>
          </cell>
          <cell r="I207">
            <v>0</v>
          </cell>
          <cell r="J207">
            <v>17.71</v>
          </cell>
          <cell r="K207">
            <v>1062.5999999999999</v>
          </cell>
          <cell r="L207">
            <v>1062.5999999999999</v>
          </cell>
          <cell r="M207">
            <v>1.26E-4</v>
          </cell>
        </row>
        <row r="208">
          <cell r="A208" t="str">
            <v>5.7.4</v>
          </cell>
          <cell r="B208" t="str">
            <v>Execução de tubulação para unificação dos poços no Reservatório (Horizontal - PVC 4") com conexões (Item 5.5.2 do MD)</v>
          </cell>
          <cell r="C208" t="str">
            <v>m</v>
          </cell>
          <cell r="D208">
            <v>300</v>
          </cell>
          <cell r="E208">
            <v>17.71</v>
          </cell>
          <cell r="F208">
            <v>0</v>
          </cell>
          <cell r="G208">
            <v>0</v>
          </cell>
          <cell r="H208">
            <v>0</v>
          </cell>
          <cell r="I208">
            <v>0</v>
          </cell>
          <cell r="J208">
            <v>17.71</v>
          </cell>
          <cell r="K208">
            <v>5313</v>
          </cell>
          <cell r="L208">
            <v>5313</v>
          </cell>
          <cell r="M208">
            <v>6.3199999999999997E-4</v>
          </cell>
        </row>
        <row r="209">
          <cell r="A209" t="str">
            <v>5.7.5</v>
          </cell>
          <cell r="B209" t="str">
            <v>Execução de tubulação para unificação dos poços no Reservatório (Horizontal - PVC 6") com conexões (Item 5.5.2 do MD)</v>
          </cell>
          <cell r="C209" t="str">
            <v>m</v>
          </cell>
          <cell r="D209">
            <v>300</v>
          </cell>
          <cell r="E209">
            <v>21.16</v>
          </cell>
          <cell r="F209">
            <v>0</v>
          </cell>
          <cell r="G209">
            <v>0</v>
          </cell>
          <cell r="H209">
            <v>0</v>
          </cell>
          <cell r="I209">
            <v>0</v>
          </cell>
          <cell r="J209">
            <v>21.16</v>
          </cell>
          <cell r="K209">
            <v>6348</v>
          </cell>
          <cell r="L209">
            <v>6348</v>
          </cell>
          <cell r="M209">
            <v>7.5600000000000005E-4</v>
          </cell>
        </row>
        <row r="210">
          <cell r="A210" t="str">
            <v>5.7.6</v>
          </cell>
          <cell r="B210" t="str">
            <v>Execução de tubulação para unificação dos poços no Reservatório (Horizontal - FoGo 4") com conexões (Item 5.5.2 do MD)</v>
          </cell>
          <cell r="C210" t="str">
            <v>m</v>
          </cell>
          <cell r="D210">
            <v>300</v>
          </cell>
          <cell r="E210">
            <v>79.05</v>
          </cell>
          <cell r="F210">
            <v>0.52</v>
          </cell>
          <cell r="G210">
            <v>156</v>
          </cell>
          <cell r="H210">
            <v>0</v>
          </cell>
          <cell r="I210">
            <v>0</v>
          </cell>
          <cell r="J210">
            <v>78.53</v>
          </cell>
          <cell r="K210">
            <v>23559</v>
          </cell>
          <cell r="L210">
            <v>23715</v>
          </cell>
          <cell r="M210">
            <v>2.8219999999999999E-3</v>
          </cell>
        </row>
        <row r="211">
          <cell r="A211" t="str">
            <v>5.7.7</v>
          </cell>
          <cell r="B211" t="str">
            <v>Execução de tubulação para unificação dos poços no Reservatório (Horizontal - FoGo 6") com conexões (Item 5.5.2 do MD)</v>
          </cell>
          <cell r="C211" t="str">
            <v>m</v>
          </cell>
          <cell r="D211">
            <v>300</v>
          </cell>
          <cell r="E211">
            <v>95.309999999999988</v>
          </cell>
          <cell r="F211">
            <v>0.71000000000000008</v>
          </cell>
          <cell r="G211">
            <v>213</v>
          </cell>
          <cell r="H211">
            <v>0</v>
          </cell>
          <cell r="I211">
            <v>0</v>
          </cell>
          <cell r="J211">
            <v>94.6</v>
          </cell>
          <cell r="K211">
            <v>28380</v>
          </cell>
          <cell r="L211">
            <v>28593</v>
          </cell>
          <cell r="M211">
            <v>3.4030000000000002E-3</v>
          </cell>
        </row>
        <row r="212">
          <cell r="A212" t="str">
            <v>5.7.8</v>
          </cell>
          <cell r="B212" t="str">
            <v>Execução de tubulação para unificação dos poços no Reservatório (Vertical - FoGo 4") com conexões (Item 5.5.2 do MD)</v>
          </cell>
          <cell r="C212" t="str">
            <v>m</v>
          </cell>
          <cell r="D212">
            <v>300</v>
          </cell>
          <cell r="E212">
            <v>99.23</v>
          </cell>
          <cell r="F212">
            <v>6.66</v>
          </cell>
          <cell r="G212">
            <v>1998</v>
          </cell>
          <cell r="H212">
            <v>14.04</v>
          </cell>
          <cell r="I212">
            <v>4212</v>
          </cell>
          <cell r="J212">
            <v>78.53</v>
          </cell>
          <cell r="K212">
            <v>23559</v>
          </cell>
          <cell r="L212">
            <v>29769</v>
          </cell>
          <cell r="M212">
            <v>3.5430000000000001E-3</v>
          </cell>
        </row>
        <row r="213">
          <cell r="A213" t="str">
            <v>5.7.9</v>
          </cell>
          <cell r="B213" t="str">
            <v>Execução de tubulação para unificação dos poços no Reservatório (Vertical - FoGo 6") com conexões (Item 5.5.2 do MD)</v>
          </cell>
          <cell r="C213" t="str">
            <v>m</v>
          </cell>
          <cell r="D213">
            <v>500</v>
          </cell>
          <cell r="E213">
            <v>115.3</v>
          </cell>
          <cell r="F213">
            <v>6.66</v>
          </cell>
          <cell r="G213">
            <v>3330</v>
          </cell>
          <cell r="H213">
            <v>14.04</v>
          </cell>
          <cell r="I213">
            <v>7020</v>
          </cell>
          <cell r="J213">
            <v>94.6</v>
          </cell>
          <cell r="K213">
            <v>47300</v>
          </cell>
          <cell r="L213">
            <v>57650</v>
          </cell>
          <cell r="M213">
            <v>6.8609999999999999E-3</v>
          </cell>
        </row>
        <row r="214">
          <cell r="A214" t="str">
            <v>5.7.10</v>
          </cell>
          <cell r="B214" t="str">
            <v>Retirada de tubulação desativada do Reservatório (Item 5.5.2 do MD)</v>
          </cell>
          <cell r="C214" t="str">
            <v>m</v>
          </cell>
          <cell r="D214">
            <v>600</v>
          </cell>
          <cell r="E214">
            <v>13.2</v>
          </cell>
          <cell r="F214">
            <v>0</v>
          </cell>
          <cell r="G214">
            <v>0</v>
          </cell>
          <cell r="H214">
            <v>10.87</v>
          </cell>
          <cell r="I214">
            <v>6522</v>
          </cell>
          <cell r="J214">
            <v>2.33</v>
          </cell>
          <cell r="K214">
            <v>1398</v>
          </cell>
          <cell r="L214">
            <v>7920</v>
          </cell>
          <cell r="M214">
            <v>9.4300000000000004E-4</v>
          </cell>
        </row>
        <row r="215">
          <cell r="A215" t="str">
            <v>5.7.11</v>
          </cell>
          <cell r="B215" t="str">
            <v>Laje de proteção para poços (Item 5.5.2 do MD)</v>
          </cell>
          <cell r="C215" t="str">
            <v>m3</v>
          </cell>
          <cell r="D215">
            <v>100</v>
          </cell>
          <cell r="E215">
            <v>629.09</v>
          </cell>
          <cell r="F215">
            <v>488.92</v>
          </cell>
          <cell r="G215">
            <v>48892</v>
          </cell>
          <cell r="H215">
            <v>0</v>
          </cell>
          <cell r="I215">
            <v>0</v>
          </cell>
          <cell r="J215">
            <v>140.16999999999999</v>
          </cell>
          <cell r="K215">
            <v>14017</v>
          </cell>
          <cell r="L215">
            <v>62909</v>
          </cell>
          <cell r="M215">
            <v>7.4869999999999997E-3</v>
          </cell>
        </row>
        <row r="216">
          <cell r="A216">
            <v>0</v>
          </cell>
          <cell r="B216">
            <v>0</v>
          </cell>
          <cell r="C216">
            <v>0</v>
          </cell>
          <cell r="D216">
            <v>0</v>
          </cell>
          <cell r="E216">
            <v>0</v>
          </cell>
          <cell r="F216">
            <v>0</v>
          </cell>
          <cell r="G216">
            <v>0</v>
          </cell>
          <cell r="H216">
            <v>0</v>
          </cell>
          <cell r="I216">
            <v>0</v>
          </cell>
          <cell r="J216">
            <v>0</v>
          </cell>
          <cell r="K216">
            <v>0</v>
          </cell>
          <cell r="L216">
            <v>0</v>
          </cell>
          <cell r="M216">
            <v>0</v>
          </cell>
        </row>
        <row r="217">
          <cell r="A217" t="str">
            <v>6.0</v>
          </cell>
          <cell r="B217" t="str">
            <v>RECUPERAÇÃO E TRATAMENTO DE SUPERFÍCIES EM CONCRETO ARMADO</v>
          </cell>
          <cell r="C217" t="str">
            <v>SUB-TOTAL</v>
          </cell>
          <cell r="D217">
            <v>0</v>
          </cell>
          <cell r="E217">
            <v>0</v>
          </cell>
          <cell r="F217">
            <v>176496.25</v>
          </cell>
          <cell r="G217">
            <v>176496.25</v>
          </cell>
          <cell r="H217">
            <v>69447</v>
          </cell>
          <cell r="I217">
            <v>69447</v>
          </cell>
          <cell r="J217">
            <v>191311.75</v>
          </cell>
          <cell r="K217">
            <v>191311.75</v>
          </cell>
          <cell r="L217">
            <v>437255</v>
          </cell>
          <cell r="M217">
            <v>5.2040000000000003E-2</v>
          </cell>
        </row>
        <row r="218">
          <cell r="A218">
            <v>0</v>
          </cell>
          <cell r="B218">
            <v>0</v>
          </cell>
          <cell r="C218">
            <v>0</v>
          </cell>
          <cell r="D218">
            <v>0</v>
          </cell>
          <cell r="E218">
            <v>0</v>
          </cell>
          <cell r="F218">
            <v>0.403646</v>
          </cell>
          <cell r="G218" t="str">
            <v>sim</v>
          </cell>
          <cell r="H218">
            <v>0.15882499999999999</v>
          </cell>
          <cell r="I218" t="str">
            <v>sim</v>
          </cell>
          <cell r="J218">
            <v>0.437529</v>
          </cell>
          <cell r="K218" t="str">
            <v>sim</v>
          </cell>
          <cell r="L218">
            <v>0</v>
          </cell>
          <cell r="M218">
            <v>0</v>
          </cell>
        </row>
        <row r="219">
          <cell r="A219" t="str">
            <v>6.1</v>
          </cell>
          <cell r="B219" t="str">
            <v>Tratamento e Recuperação</v>
          </cell>
          <cell r="C219">
            <v>0</v>
          </cell>
          <cell r="D219">
            <v>0</v>
          </cell>
          <cell r="E219">
            <v>0</v>
          </cell>
          <cell r="F219">
            <v>0</v>
          </cell>
          <cell r="G219">
            <v>0</v>
          </cell>
          <cell r="H219">
            <v>0</v>
          </cell>
          <cell r="I219">
            <v>0</v>
          </cell>
          <cell r="J219">
            <v>0</v>
          </cell>
          <cell r="K219">
            <v>0</v>
          </cell>
          <cell r="L219">
            <v>0</v>
          </cell>
          <cell r="M219">
            <v>0</v>
          </cell>
        </row>
        <row r="220">
          <cell r="A220" t="str">
            <v>6.1.1</v>
          </cell>
          <cell r="B220" t="str">
            <v>Tratamento  das paredes e lajes, com retirada de materiais soltos e desagregados através de hidrojateamento (Item 5.6 do MD)</v>
          </cell>
          <cell r="C220" t="str">
            <v>m2</v>
          </cell>
          <cell r="D220">
            <v>4000</v>
          </cell>
          <cell r="E220">
            <v>12.830000000000002</v>
          </cell>
          <cell r="F220">
            <v>0</v>
          </cell>
          <cell r="G220">
            <v>0</v>
          </cell>
          <cell r="H220">
            <v>12.830000000000002</v>
          </cell>
          <cell r="I220">
            <v>51320</v>
          </cell>
          <cell r="J220">
            <v>0</v>
          </cell>
          <cell r="K220">
            <v>0</v>
          </cell>
          <cell r="L220">
            <v>51320</v>
          </cell>
          <cell r="M220">
            <v>6.1079999999999997E-3</v>
          </cell>
        </row>
        <row r="221">
          <cell r="A221" t="str">
            <v>6.1.2</v>
          </cell>
          <cell r="B221" t="str">
            <v>Identificação de trincas, mapeamento, preparação  e tratamento com  aplicação de mástique (Item 5.6 do MD)</v>
          </cell>
          <cell r="C221" t="str">
            <v>m</v>
          </cell>
          <cell r="D221">
            <v>500</v>
          </cell>
          <cell r="E221">
            <v>37.51</v>
          </cell>
          <cell r="F221">
            <v>17.399999999999999</v>
          </cell>
          <cell r="G221">
            <v>8700</v>
          </cell>
          <cell r="H221">
            <v>0</v>
          </cell>
          <cell r="I221">
            <v>0</v>
          </cell>
          <cell r="J221">
            <v>20.11</v>
          </cell>
          <cell r="K221">
            <v>10055</v>
          </cell>
          <cell r="L221">
            <v>18755</v>
          </cell>
          <cell r="M221">
            <v>2.232E-3</v>
          </cell>
        </row>
        <row r="222">
          <cell r="A222" t="str">
            <v>6.1.3</v>
          </cell>
          <cell r="B222" t="str">
            <v>Escarificação mecânica até a profundidade de 4,0 cm (Item 5.6 do MD)</v>
          </cell>
          <cell r="C222" t="str">
            <v>m2</v>
          </cell>
          <cell r="D222">
            <v>500</v>
          </cell>
          <cell r="E222">
            <v>5.97</v>
          </cell>
          <cell r="F222">
            <v>0</v>
          </cell>
          <cell r="G222">
            <v>0</v>
          </cell>
          <cell r="H222">
            <v>5.97</v>
          </cell>
          <cell r="I222">
            <v>2985</v>
          </cell>
          <cell r="J222">
            <v>0</v>
          </cell>
          <cell r="K222">
            <v>0</v>
          </cell>
          <cell r="L222">
            <v>2985</v>
          </cell>
          <cell r="M222">
            <v>3.5500000000000001E-4</v>
          </cell>
        </row>
        <row r="223">
          <cell r="A223" t="str">
            <v>6.1.4</v>
          </cell>
          <cell r="B223" t="str">
            <v>Limpeza manual da ferragem (para tirar a oxidação) e tratamento com primer anti-corrosivo (Item 5.6 do MD)</v>
          </cell>
          <cell r="C223" t="str">
            <v>m</v>
          </cell>
          <cell r="D223">
            <v>1050</v>
          </cell>
          <cell r="E223">
            <v>14.499999999999998</v>
          </cell>
          <cell r="F223">
            <v>2.82</v>
          </cell>
          <cell r="G223">
            <v>2961</v>
          </cell>
          <cell r="H223">
            <v>3.46</v>
          </cell>
          <cell r="I223">
            <v>3633</v>
          </cell>
          <cell r="J223">
            <v>8.2199999999999989</v>
          </cell>
          <cell r="K223">
            <v>8631</v>
          </cell>
          <cell r="L223">
            <v>15225</v>
          </cell>
          <cell r="M223">
            <v>1.812E-3</v>
          </cell>
        </row>
        <row r="224">
          <cell r="A224" t="str">
            <v>6.1.5</v>
          </cell>
          <cell r="B224" t="str">
            <v>Argamassa à base de cimento modificada com polímeros espessura até 3 cm (Item 5.6 do MD)</v>
          </cell>
          <cell r="C224" t="str">
            <v>m2</v>
          </cell>
          <cell r="D224">
            <v>500</v>
          </cell>
          <cell r="E224">
            <v>194.34</v>
          </cell>
          <cell r="F224">
            <v>158.01</v>
          </cell>
          <cell r="G224">
            <v>79005</v>
          </cell>
          <cell r="H224">
            <v>3.46</v>
          </cell>
          <cell r="I224">
            <v>1730</v>
          </cell>
          <cell r="J224">
            <v>32.869999999999997</v>
          </cell>
          <cell r="K224">
            <v>16435</v>
          </cell>
          <cell r="L224">
            <v>97170</v>
          </cell>
          <cell r="M224">
            <v>1.1565000000000001E-2</v>
          </cell>
        </row>
        <row r="225">
          <cell r="A225" t="str">
            <v>6.1.6</v>
          </cell>
          <cell r="B225" t="str">
            <v>Recuperação estrutural com substituição/complementação de armaduras (Item 5.6 do MD)</v>
          </cell>
          <cell r="C225" t="str">
            <v>kg</v>
          </cell>
          <cell r="D225">
            <v>525</v>
          </cell>
          <cell r="E225">
            <v>11.96</v>
          </cell>
          <cell r="F225">
            <v>4.5500000000000007</v>
          </cell>
          <cell r="G225">
            <v>2388.75</v>
          </cell>
          <cell r="H225">
            <v>3.46</v>
          </cell>
          <cell r="I225">
            <v>1816.5</v>
          </cell>
          <cell r="J225">
            <v>3.9499999999999997</v>
          </cell>
          <cell r="K225">
            <v>2073.75</v>
          </cell>
          <cell r="L225">
            <v>6279</v>
          </cell>
          <cell r="M225">
            <v>7.4700000000000005E-4</v>
          </cell>
        </row>
        <row r="226">
          <cell r="A226" t="str">
            <v>6.1.7</v>
          </cell>
          <cell r="B226" t="str">
            <v>Execução de mísula com tela de poliéster reforçada, malha 2 x 2 mm (Item 5.6 do MD)</v>
          </cell>
          <cell r="C226" t="str">
            <v>m</v>
          </cell>
          <cell r="D226">
            <v>250</v>
          </cell>
          <cell r="E226">
            <v>34.43</v>
          </cell>
          <cell r="F226">
            <v>1.56</v>
          </cell>
          <cell r="G226">
            <v>390</v>
          </cell>
          <cell r="H226">
            <v>0</v>
          </cell>
          <cell r="I226">
            <v>0</v>
          </cell>
          <cell r="J226">
            <v>32.869999999999997</v>
          </cell>
          <cell r="K226">
            <v>8217.5</v>
          </cell>
          <cell r="L226">
            <v>8607.5</v>
          </cell>
          <cell r="M226">
            <v>1.024E-3</v>
          </cell>
        </row>
        <row r="227">
          <cell r="A227" t="str">
            <v>6.1.8</v>
          </cell>
          <cell r="B227" t="str">
            <v>Tratamento Rápido de trinca localizada (Item 5.6 do MD )</v>
          </cell>
          <cell r="C227" t="str">
            <v>un</v>
          </cell>
          <cell r="D227">
            <v>250</v>
          </cell>
          <cell r="E227">
            <v>48.95</v>
          </cell>
          <cell r="F227">
            <v>10.71</v>
          </cell>
          <cell r="G227">
            <v>2677.5</v>
          </cell>
          <cell r="H227">
            <v>4.17</v>
          </cell>
          <cell r="I227">
            <v>1042.5</v>
          </cell>
          <cell r="J227">
            <v>34.07</v>
          </cell>
          <cell r="K227">
            <v>8517.5</v>
          </cell>
          <cell r="L227">
            <v>12237.5</v>
          </cell>
          <cell r="M227">
            <v>1.456E-3</v>
          </cell>
        </row>
        <row r="228">
          <cell r="A228" t="str">
            <v>6.2</v>
          </cell>
          <cell r="B228" t="str">
            <v>Impermeabilização</v>
          </cell>
          <cell r="C228">
            <v>0</v>
          </cell>
          <cell r="D228">
            <v>0</v>
          </cell>
          <cell r="E228">
            <v>0</v>
          </cell>
          <cell r="F228">
            <v>0</v>
          </cell>
          <cell r="G228">
            <v>0</v>
          </cell>
          <cell r="H228">
            <v>0</v>
          </cell>
          <cell r="I228">
            <v>0</v>
          </cell>
          <cell r="J228">
            <v>0</v>
          </cell>
          <cell r="K228">
            <v>0</v>
          </cell>
          <cell r="L228">
            <v>0</v>
          </cell>
          <cell r="M228">
            <v>0</v>
          </cell>
        </row>
        <row r="229">
          <cell r="A229" t="str">
            <v>6.2.1</v>
          </cell>
          <cell r="B229" t="str">
            <v>Aplicação de impermeabilização semi-flexível na laje de fundo e paredes, consumo de 2,5 kg/m2 de impermeabilizante semi-flexível, aplicado em duas demãos cruzadas, estruturada com tela de reforço em poliéster entre demãos  (Item 5.6 do MD )</v>
          </cell>
          <cell r="C229" t="str">
            <v>m2</v>
          </cell>
          <cell r="D229">
            <v>2000</v>
          </cell>
          <cell r="E229">
            <v>49.83</v>
          </cell>
          <cell r="F229">
            <v>13.32</v>
          </cell>
          <cell r="G229">
            <v>26640</v>
          </cell>
          <cell r="H229">
            <v>1.73</v>
          </cell>
          <cell r="I229">
            <v>3460</v>
          </cell>
          <cell r="J229">
            <v>34.78</v>
          </cell>
          <cell r="K229">
            <v>69560</v>
          </cell>
          <cell r="L229">
            <v>99660</v>
          </cell>
          <cell r="M229">
            <v>1.1861E-2</v>
          </cell>
        </row>
        <row r="230">
          <cell r="A230" t="str">
            <v>6.2.2</v>
          </cell>
          <cell r="B230" t="str">
            <v>Aplicação de impermeabilização semi-flexível interna à laje de tampa, uma demão, consumo de 2,0 kg/m2 de impermeabilizante, para proteção à corrosão.  (Item 5.6 do MD )</v>
          </cell>
          <cell r="C230" t="str">
            <v>m2</v>
          </cell>
          <cell r="D230">
            <v>1000</v>
          </cell>
          <cell r="E230">
            <v>30.04</v>
          </cell>
          <cell r="F230">
            <v>7.4499999999999993</v>
          </cell>
          <cell r="G230">
            <v>7450</v>
          </cell>
          <cell r="H230">
            <v>3.46</v>
          </cell>
          <cell r="I230">
            <v>3460</v>
          </cell>
          <cell r="J230">
            <v>19.13</v>
          </cell>
          <cell r="K230">
            <v>19130</v>
          </cell>
          <cell r="L230">
            <v>30040</v>
          </cell>
          <cell r="M230">
            <v>3.5750000000000001E-3</v>
          </cell>
        </row>
        <row r="231">
          <cell r="A231" t="str">
            <v>6.2.3</v>
          </cell>
          <cell r="B231" t="str">
            <v>Aplicação de impermeabilização flexível na laje de fundo e 1/3 paredes, consumo de 3,5 kg/m2 de impermeabilizante flexível, aplicado em duas demãos cruzadas, estruturada com tela de reforço em poliéster entre demãos  (Item 5.6 do MD )</v>
          </cell>
          <cell r="C231" t="str">
            <v>m2</v>
          </cell>
          <cell r="D231">
            <v>1400</v>
          </cell>
          <cell r="E231">
            <v>67.84</v>
          </cell>
          <cell r="F231">
            <v>33.06</v>
          </cell>
          <cell r="G231">
            <v>46284</v>
          </cell>
          <cell r="H231">
            <v>0</v>
          </cell>
          <cell r="I231">
            <v>0</v>
          </cell>
          <cell r="J231">
            <v>34.78</v>
          </cell>
          <cell r="K231">
            <v>48692</v>
          </cell>
          <cell r="L231">
            <v>94976</v>
          </cell>
          <cell r="M231">
            <v>1.1304E-2</v>
          </cell>
        </row>
        <row r="232">
          <cell r="A232">
            <v>0</v>
          </cell>
          <cell r="B232">
            <v>0</v>
          </cell>
          <cell r="C232">
            <v>0</v>
          </cell>
          <cell r="D232">
            <v>0</v>
          </cell>
          <cell r="E232">
            <v>0</v>
          </cell>
          <cell r="F232">
            <v>0</v>
          </cell>
          <cell r="G232">
            <v>0</v>
          </cell>
          <cell r="H232">
            <v>0</v>
          </cell>
          <cell r="I232">
            <v>0</v>
          </cell>
          <cell r="J232">
            <v>0</v>
          </cell>
          <cell r="K232">
            <v>0</v>
          </cell>
          <cell r="L232">
            <v>0</v>
          </cell>
          <cell r="M232">
            <v>0</v>
          </cell>
        </row>
        <row r="233">
          <cell r="A233" t="str">
            <v>7.0</v>
          </cell>
          <cell r="B233" t="str">
            <v>PINTURAS</v>
          </cell>
          <cell r="C233" t="str">
            <v>SUB-TOTAL</v>
          </cell>
          <cell r="D233">
            <v>0</v>
          </cell>
          <cell r="E233">
            <v>0</v>
          </cell>
          <cell r="F233">
            <v>756462.8</v>
          </cell>
          <cell r="G233">
            <v>756462.8</v>
          </cell>
          <cell r="H233">
            <v>245401.8</v>
          </cell>
          <cell r="I233">
            <v>245401.8</v>
          </cell>
          <cell r="J233">
            <v>1915515</v>
          </cell>
          <cell r="K233">
            <v>1915515</v>
          </cell>
          <cell r="L233">
            <v>2917379.5999999996</v>
          </cell>
          <cell r="M233">
            <v>0.347215</v>
          </cell>
        </row>
        <row r="234">
          <cell r="A234">
            <v>0</v>
          </cell>
          <cell r="B234">
            <v>0</v>
          </cell>
          <cell r="C234">
            <v>0</v>
          </cell>
          <cell r="D234">
            <v>0</v>
          </cell>
          <cell r="E234">
            <v>0</v>
          </cell>
          <cell r="F234">
            <v>0.259295</v>
          </cell>
          <cell r="G234" t="str">
            <v>sim</v>
          </cell>
          <cell r="H234">
            <v>8.4116999999999997E-2</v>
          </cell>
          <cell r="I234" t="str">
            <v>sim</v>
          </cell>
          <cell r="J234">
            <v>0.65658799999999995</v>
          </cell>
          <cell r="K234" t="str">
            <v>sim</v>
          </cell>
          <cell r="L234">
            <v>0</v>
          </cell>
          <cell r="M234">
            <v>0</v>
          </cell>
        </row>
        <row r="235">
          <cell r="A235" t="str">
            <v>7.1</v>
          </cell>
          <cell r="B235" t="str">
            <v>Preparação de superfícies para pintura, com retirada de limos, materiais soltos e desagregados (cascas de materiais cimentícios) através de hidrojateamento (Reservatório Apoiado e Edificações Térreas)(Item 5.7 do MD)</v>
          </cell>
          <cell r="C235" t="str">
            <v>m2</v>
          </cell>
          <cell r="D235">
            <v>1300</v>
          </cell>
          <cell r="E235">
            <v>3.71</v>
          </cell>
          <cell r="F235">
            <v>0</v>
          </cell>
          <cell r="G235">
            <v>0</v>
          </cell>
          <cell r="H235">
            <v>0.26</v>
          </cell>
          <cell r="I235">
            <v>338</v>
          </cell>
          <cell r="J235">
            <v>3.4499999999999997</v>
          </cell>
          <cell r="K235">
            <v>4485</v>
          </cell>
          <cell r="L235">
            <v>4823</v>
          </cell>
          <cell r="M235">
            <v>5.7399999999999997E-4</v>
          </cell>
        </row>
        <row r="236">
          <cell r="A236" t="str">
            <v>7.2</v>
          </cell>
          <cell r="B236" t="str">
            <v>Preparação de superfícies para pintura, com retirada de limos, materiais soltos e desagregados (cascas de materiais cimentícios) através de hidrojateamento (Reservatório Elevado)(Item 5.7 do MD)</v>
          </cell>
          <cell r="C236" t="str">
            <v>m2</v>
          </cell>
          <cell r="D236">
            <v>800</v>
          </cell>
          <cell r="E236">
            <v>5.15</v>
          </cell>
          <cell r="F236">
            <v>0</v>
          </cell>
          <cell r="G236">
            <v>0</v>
          </cell>
          <cell r="H236">
            <v>0.85000000000000009</v>
          </cell>
          <cell r="I236">
            <v>680</v>
          </cell>
          <cell r="J236">
            <v>4.3000000000000007</v>
          </cell>
          <cell r="K236">
            <v>3440</v>
          </cell>
          <cell r="L236">
            <v>4120</v>
          </cell>
          <cell r="M236">
            <v>4.8999999999999998E-4</v>
          </cell>
        </row>
        <row r="237">
          <cell r="A237" t="str">
            <v>7.3</v>
          </cell>
          <cell r="B237" t="str">
            <v>Emassamento de parede com massa acrílica para pintura látex com 1 demão (Item 5.7 do MD)</v>
          </cell>
          <cell r="C237" t="str">
            <v>m2</v>
          </cell>
          <cell r="D237">
            <v>600</v>
          </cell>
          <cell r="E237">
            <v>8.6900000000000013</v>
          </cell>
          <cell r="F237">
            <v>3.38</v>
          </cell>
          <cell r="G237">
            <v>2028</v>
          </cell>
          <cell r="H237">
            <v>0</v>
          </cell>
          <cell r="I237">
            <v>0</v>
          </cell>
          <cell r="J237">
            <v>5.3100000000000005</v>
          </cell>
          <cell r="K237">
            <v>3186</v>
          </cell>
          <cell r="L237">
            <v>5214</v>
          </cell>
          <cell r="M237">
            <v>6.2100000000000002E-4</v>
          </cell>
        </row>
        <row r="238">
          <cell r="A238" t="str">
            <v>7.4</v>
          </cell>
          <cell r="B238" t="str">
            <v>Esmalte com massa niveladora em esquadrias de madeira (Item 5.7 do MD)</v>
          </cell>
          <cell r="C238" t="str">
            <v>m2</v>
          </cell>
          <cell r="D238">
            <v>200</v>
          </cell>
          <cell r="E238">
            <v>38.19</v>
          </cell>
          <cell r="F238">
            <v>12.66</v>
          </cell>
          <cell r="G238">
            <v>2532</v>
          </cell>
          <cell r="H238">
            <v>0</v>
          </cell>
          <cell r="I238">
            <v>0</v>
          </cell>
          <cell r="J238">
            <v>25.529999999999998</v>
          </cell>
          <cell r="K238">
            <v>5106</v>
          </cell>
          <cell r="L238">
            <v>7638</v>
          </cell>
          <cell r="M238">
            <v>9.0899999999999998E-4</v>
          </cell>
        </row>
        <row r="239">
          <cell r="A239" t="str">
            <v>7.5</v>
          </cell>
          <cell r="B239" t="str">
            <v>Esmalte a base de água em esquadrias de ferro (Item 5.7 do MD)</v>
          </cell>
          <cell r="C239" t="str">
            <v>m2</v>
          </cell>
          <cell r="D239">
            <v>200</v>
          </cell>
          <cell r="E239">
            <v>28.72</v>
          </cell>
          <cell r="F239">
            <v>9.7899999999999991</v>
          </cell>
          <cell r="G239">
            <v>1958</v>
          </cell>
          <cell r="H239">
            <v>0</v>
          </cell>
          <cell r="I239">
            <v>0</v>
          </cell>
          <cell r="J239">
            <v>18.93</v>
          </cell>
          <cell r="K239">
            <v>3786</v>
          </cell>
          <cell r="L239">
            <v>5744</v>
          </cell>
          <cell r="M239">
            <v>6.8400000000000004E-4</v>
          </cell>
        </row>
        <row r="240">
          <cell r="A240" t="str">
            <v>7.6</v>
          </cell>
          <cell r="B240" t="str">
            <v>Fundo anti-oxidante em esquadrias (Item 5.7 do MD)</v>
          </cell>
          <cell r="C240" t="str">
            <v>m2</v>
          </cell>
          <cell r="D240">
            <v>600</v>
          </cell>
          <cell r="E240">
            <v>26.97</v>
          </cell>
          <cell r="F240">
            <v>8.0399999999999991</v>
          </cell>
          <cell r="G240">
            <v>4824</v>
          </cell>
          <cell r="H240">
            <v>0</v>
          </cell>
          <cell r="I240">
            <v>0</v>
          </cell>
          <cell r="J240">
            <v>18.93</v>
          </cell>
          <cell r="K240">
            <v>11358</v>
          </cell>
          <cell r="L240">
            <v>16182</v>
          </cell>
          <cell r="M240">
            <v>1.926E-3</v>
          </cell>
        </row>
        <row r="241">
          <cell r="A241" t="str">
            <v>7.7</v>
          </cell>
          <cell r="B241" t="str">
            <v>Pintura látex PVA em alvenaria em geral (Item 5.7 do MD)</v>
          </cell>
          <cell r="C241" t="str">
            <v>m2</v>
          </cell>
          <cell r="D241">
            <v>3000</v>
          </cell>
          <cell r="E241">
            <v>18.2</v>
          </cell>
          <cell r="F241">
            <v>5.4300000000000006</v>
          </cell>
          <cell r="G241">
            <v>16290</v>
          </cell>
          <cell r="H241">
            <v>0</v>
          </cell>
          <cell r="I241">
            <v>0</v>
          </cell>
          <cell r="J241">
            <v>12.77</v>
          </cell>
          <cell r="K241">
            <v>38310</v>
          </cell>
          <cell r="L241">
            <v>54600</v>
          </cell>
          <cell r="M241">
            <v>6.4980000000000003E-3</v>
          </cell>
        </row>
        <row r="242">
          <cell r="A242" t="str">
            <v>7.8</v>
          </cell>
          <cell r="B242" t="str">
            <v>Pintura látex acrílica em alvenaria em geral (Item 5.7 do MD)</v>
          </cell>
          <cell r="C242" t="str">
            <v>m2</v>
          </cell>
          <cell r="D242">
            <v>3700</v>
          </cell>
          <cell r="E242">
            <v>18.55</v>
          </cell>
          <cell r="F242">
            <v>5.78</v>
          </cell>
          <cell r="G242">
            <v>21386</v>
          </cell>
          <cell r="H242">
            <v>0</v>
          </cell>
          <cell r="I242">
            <v>0</v>
          </cell>
          <cell r="J242">
            <v>12.77</v>
          </cell>
          <cell r="K242">
            <v>47249</v>
          </cell>
          <cell r="L242">
            <v>68635</v>
          </cell>
          <cell r="M242">
            <v>8.1689999999999992E-3</v>
          </cell>
        </row>
        <row r="243">
          <cell r="A243" t="str">
            <v>7.9</v>
          </cell>
          <cell r="B243" t="str">
            <v>Pintura látex acrílica na cor branca em pilaretes e muretas  (Item 5.7 do MD)</v>
          </cell>
          <cell r="C243" t="str">
            <v>m2</v>
          </cell>
          <cell r="D243">
            <v>2500</v>
          </cell>
          <cell r="E243">
            <v>18.55</v>
          </cell>
          <cell r="F243">
            <v>5.78</v>
          </cell>
          <cell r="G243">
            <v>14450</v>
          </cell>
          <cell r="H243">
            <v>0</v>
          </cell>
          <cell r="I243">
            <v>0</v>
          </cell>
          <cell r="J243">
            <v>12.77</v>
          </cell>
          <cell r="K243">
            <v>31925</v>
          </cell>
          <cell r="L243">
            <v>46375</v>
          </cell>
          <cell r="M243">
            <v>5.5189999999999996E-3</v>
          </cell>
        </row>
        <row r="244">
          <cell r="A244" t="str">
            <v>7.10</v>
          </cell>
          <cell r="B244" t="str">
            <v>Pintura de sinalização horizontal para vaga acessível (acessibilidade) (Item 5.7 do MD)</v>
          </cell>
          <cell r="C244" t="str">
            <v>un</v>
          </cell>
          <cell r="D244">
            <v>100</v>
          </cell>
          <cell r="E244">
            <v>286.95</v>
          </cell>
          <cell r="F244">
            <v>84.07</v>
          </cell>
          <cell r="G244">
            <v>8407</v>
          </cell>
          <cell r="H244">
            <v>0</v>
          </cell>
          <cell r="I244">
            <v>0</v>
          </cell>
          <cell r="J244">
            <v>202.88</v>
          </cell>
          <cell r="K244">
            <v>20288</v>
          </cell>
          <cell r="L244">
            <v>28695</v>
          </cell>
          <cell r="M244">
            <v>3.4150000000000001E-3</v>
          </cell>
        </row>
        <row r="245">
          <cell r="A245" t="str">
            <v>7.11</v>
          </cell>
          <cell r="B245" t="str">
            <v>Pintura do reservatório de concreto em látex acrílico fosco na cor branca 02 (duas) demãos, com faixas azuis conforme Padrão SeMAE (Res. Elevado) (Item 5.7 do MD)</v>
          </cell>
          <cell r="C245" t="str">
            <v>m2</v>
          </cell>
          <cell r="D245">
            <v>32000</v>
          </cell>
          <cell r="E245">
            <v>27.03</v>
          </cell>
          <cell r="F245">
            <v>5.78</v>
          </cell>
          <cell r="G245">
            <v>184960</v>
          </cell>
          <cell r="H245">
            <v>2.5</v>
          </cell>
          <cell r="I245">
            <v>80000</v>
          </cell>
          <cell r="J245">
            <v>18.75</v>
          </cell>
          <cell r="K245">
            <v>600000</v>
          </cell>
          <cell r="L245">
            <v>864960</v>
          </cell>
          <cell r="M245">
            <v>0.10294399999999999</v>
          </cell>
        </row>
        <row r="246">
          <cell r="A246" t="str">
            <v>7.12</v>
          </cell>
          <cell r="B246" t="str">
            <v>Pintura do reservatório de concreto em látex acrílico fosco na cor branca 02 (duas) demãos, com faixas azuis conforme Padrão SeMAE (Res. Apoiado) (Item 5.7 do MD)</v>
          </cell>
          <cell r="C246" t="str">
            <v>m2</v>
          </cell>
          <cell r="D246">
            <v>25000</v>
          </cell>
          <cell r="E246">
            <v>20.23</v>
          </cell>
          <cell r="F246">
            <v>5.78</v>
          </cell>
          <cell r="G246">
            <v>144500</v>
          </cell>
          <cell r="H246">
            <v>0</v>
          </cell>
          <cell r="I246">
            <v>0</v>
          </cell>
          <cell r="J246">
            <v>14.45</v>
          </cell>
          <cell r="K246">
            <v>361250</v>
          </cell>
          <cell r="L246">
            <v>505750</v>
          </cell>
          <cell r="M246">
            <v>6.0192000000000002E-2</v>
          </cell>
        </row>
        <row r="247">
          <cell r="A247" t="str">
            <v>7.13</v>
          </cell>
          <cell r="B247" t="str">
            <v>Pintura do reservatório de concreto em látex acrílico fosco na cor branca 02 (duas) demãos, com faixas azuis conforme Padrão SeMAE (Res. Taça) (Item 5.7 do MD)</v>
          </cell>
          <cell r="C247" t="str">
            <v>m2</v>
          </cell>
          <cell r="D247">
            <v>8000</v>
          </cell>
          <cell r="E247">
            <v>31.959999999999997</v>
          </cell>
          <cell r="F247">
            <v>5.78</v>
          </cell>
          <cell r="G247">
            <v>46240</v>
          </cell>
          <cell r="H247">
            <v>3.13</v>
          </cell>
          <cell r="I247">
            <v>25040</v>
          </cell>
          <cell r="J247">
            <v>23.049999999999997</v>
          </cell>
          <cell r="K247">
            <v>184400</v>
          </cell>
          <cell r="L247">
            <v>255680</v>
          </cell>
          <cell r="M247">
            <v>3.0429999999999999E-2</v>
          </cell>
        </row>
        <row r="248">
          <cell r="A248" t="str">
            <v>7.14</v>
          </cell>
          <cell r="B248" t="str">
            <v>Pintura do reservatório metálico em esmalte alquídico na cor branca, com faixas azuis conforme Padrão SeMAE (Res. Elevado) (Item 5.7 do MD)</v>
          </cell>
          <cell r="C248" t="str">
            <v>m2</v>
          </cell>
          <cell r="D248">
            <v>5000</v>
          </cell>
          <cell r="E248">
            <v>43.349999999999994</v>
          </cell>
          <cell r="F248">
            <v>17.170000000000002</v>
          </cell>
          <cell r="G248">
            <v>85850</v>
          </cell>
          <cell r="H248">
            <v>3.13</v>
          </cell>
          <cell r="I248">
            <v>15650</v>
          </cell>
          <cell r="J248">
            <v>23.049999999999997</v>
          </cell>
          <cell r="K248">
            <v>115250</v>
          </cell>
          <cell r="L248">
            <v>216750</v>
          </cell>
          <cell r="M248">
            <v>2.5797E-2</v>
          </cell>
        </row>
        <row r="249">
          <cell r="A249" t="str">
            <v>7.15</v>
          </cell>
          <cell r="B249" t="str">
            <v>Pintura do reservatório metálico em esmalte alquídico na cor branca, com faixas azuis conforme Padrão SeMAE (Res. Apoiado) (Item 5.7 do MD)</v>
          </cell>
          <cell r="C249" t="str">
            <v>m2</v>
          </cell>
          <cell r="D249">
            <v>5000</v>
          </cell>
          <cell r="E249">
            <v>37.97</v>
          </cell>
          <cell r="F249">
            <v>18.299999999999997</v>
          </cell>
          <cell r="G249">
            <v>91500</v>
          </cell>
          <cell r="H249">
            <v>0</v>
          </cell>
          <cell r="I249">
            <v>0</v>
          </cell>
          <cell r="J249">
            <v>19.670000000000002</v>
          </cell>
          <cell r="K249">
            <v>98350</v>
          </cell>
          <cell r="L249">
            <v>189850</v>
          </cell>
          <cell r="M249">
            <v>2.2595000000000001E-2</v>
          </cell>
        </row>
        <row r="250">
          <cell r="A250" t="str">
            <v>7.16</v>
          </cell>
          <cell r="B250" t="str">
            <v>Pintura  de proteção em tubulação metálica aérea (tinta betuminosa alcatrão de hulha), incluindo conexões (Item 5.7 do MD)</v>
          </cell>
          <cell r="C250" t="str">
            <v>m2</v>
          </cell>
          <cell r="D250">
            <v>1000</v>
          </cell>
          <cell r="E250">
            <v>45.6</v>
          </cell>
          <cell r="F250">
            <v>0</v>
          </cell>
          <cell r="G250">
            <v>0</v>
          </cell>
          <cell r="H250">
            <v>45.6</v>
          </cell>
          <cell r="I250">
            <v>45600</v>
          </cell>
          <cell r="J250">
            <v>0</v>
          </cell>
          <cell r="K250">
            <v>0</v>
          </cell>
          <cell r="L250">
            <v>45600</v>
          </cell>
          <cell r="M250">
            <v>5.4270000000000004E-3</v>
          </cell>
        </row>
        <row r="251">
          <cell r="A251" t="str">
            <v>7.17</v>
          </cell>
          <cell r="B251" t="str">
            <v>Pintura em esmalte sintético AZUL FRANÇA sobre fundo anticorrosivo - 02 demãos (Item 5.7 do MD)</v>
          </cell>
          <cell r="C251" t="str">
            <v>m2</v>
          </cell>
          <cell r="D251">
            <v>600</v>
          </cell>
          <cell r="E251">
            <v>26.57</v>
          </cell>
          <cell r="F251">
            <v>9.64</v>
          </cell>
          <cell r="G251">
            <v>5784</v>
          </cell>
          <cell r="H251">
            <v>0</v>
          </cell>
          <cell r="I251">
            <v>0</v>
          </cell>
          <cell r="J251">
            <v>16.93</v>
          </cell>
          <cell r="K251">
            <v>10158</v>
          </cell>
          <cell r="L251">
            <v>15942</v>
          </cell>
          <cell r="M251">
            <v>1.897E-3</v>
          </cell>
        </row>
        <row r="252">
          <cell r="A252" t="str">
            <v>7.18</v>
          </cell>
          <cell r="B252" t="str">
            <v>Pintura de tubulações elevadas em esmalte sintético AZUL FRANÇA sobre fundo anticorrosivo 2 demãos (Item 5.7 do MD)</v>
          </cell>
          <cell r="C252" t="str">
            <v>m2</v>
          </cell>
          <cell r="D252">
            <v>500</v>
          </cell>
          <cell r="E252">
            <v>43.21</v>
          </cell>
          <cell r="F252">
            <v>9.01</v>
          </cell>
          <cell r="G252">
            <v>4505</v>
          </cell>
          <cell r="H252">
            <v>3.75</v>
          </cell>
          <cell r="I252">
            <v>1875</v>
          </cell>
          <cell r="J252">
            <v>30.45</v>
          </cell>
          <cell r="K252">
            <v>15225</v>
          </cell>
          <cell r="L252">
            <v>21605</v>
          </cell>
          <cell r="M252">
            <v>2.5709999999999999E-3</v>
          </cell>
        </row>
        <row r="253">
          <cell r="A253" t="str">
            <v>7.19</v>
          </cell>
          <cell r="B253" t="str">
            <v>Pintura em alambrado de tela eletro-soldada em esmalte sintético na cor BRANCA sob fundo anti-corrosivo (Item 5.7 do MD)</v>
          </cell>
          <cell r="C253" t="str">
            <v>m</v>
          </cell>
          <cell r="D253">
            <v>1000</v>
          </cell>
          <cell r="E253">
            <v>20.62</v>
          </cell>
          <cell r="F253">
            <v>5.410000000000001</v>
          </cell>
          <cell r="G253">
            <v>5410</v>
          </cell>
          <cell r="H253">
            <v>0</v>
          </cell>
          <cell r="I253">
            <v>0</v>
          </cell>
          <cell r="J253">
            <v>15.21</v>
          </cell>
          <cell r="K253">
            <v>15210</v>
          </cell>
          <cell r="L253">
            <v>20620</v>
          </cell>
          <cell r="M253">
            <v>2.454E-3</v>
          </cell>
        </row>
        <row r="254">
          <cell r="A254" t="str">
            <v>7.20</v>
          </cell>
          <cell r="B254" t="str">
            <v>Pintura da escada e gradil em esmalte sintético AZUL FRANÇA sobre fundo anticorrosivo - 02 demãos (Item 5.7 do MD)</v>
          </cell>
          <cell r="C254" t="str">
            <v>m2</v>
          </cell>
          <cell r="D254">
            <v>1200</v>
          </cell>
          <cell r="E254">
            <v>24.630000000000003</v>
          </cell>
          <cell r="F254">
            <v>7.55</v>
          </cell>
          <cell r="G254">
            <v>9060</v>
          </cell>
          <cell r="H254">
            <v>1.8699999999999999</v>
          </cell>
          <cell r="I254">
            <v>2244</v>
          </cell>
          <cell r="J254">
            <v>15.21</v>
          </cell>
          <cell r="K254">
            <v>18252</v>
          </cell>
          <cell r="L254">
            <v>29556</v>
          </cell>
          <cell r="M254">
            <v>3.5179999999999999E-3</v>
          </cell>
        </row>
        <row r="255">
          <cell r="A255" t="str">
            <v>7.21</v>
          </cell>
          <cell r="B255" t="str">
            <v>Pintura impermeabilizante interna para laje de forro com primer e 2 demãos de verniz acrílico incolor base água (Item 5.7 do MD)</v>
          </cell>
          <cell r="C255" t="str">
            <v>m2</v>
          </cell>
          <cell r="D255">
            <v>600</v>
          </cell>
          <cell r="E255">
            <v>27.54</v>
          </cell>
          <cell r="F255">
            <v>13.45</v>
          </cell>
          <cell r="G255">
            <v>8070</v>
          </cell>
          <cell r="H255">
            <v>0</v>
          </cell>
          <cell r="I255">
            <v>0</v>
          </cell>
          <cell r="J255">
            <v>14.09</v>
          </cell>
          <cell r="K255">
            <v>8454</v>
          </cell>
          <cell r="L255">
            <v>16524</v>
          </cell>
          <cell r="M255">
            <v>1.967E-3</v>
          </cell>
        </row>
        <row r="256">
          <cell r="A256" t="str">
            <v>7.22</v>
          </cell>
          <cell r="B256" t="str">
            <v>Pintura impermeabilizante externa para gradil corrimão de fibra de vidro com duas demãos de verniz acrílico incolor base silicone. (Item 5.7 do MD)</v>
          </cell>
          <cell r="C256" t="str">
            <v>m2</v>
          </cell>
          <cell r="D256">
            <v>800</v>
          </cell>
          <cell r="E256">
            <v>32.33</v>
          </cell>
          <cell r="F256">
            <v>26.080000000000002</v>
          </cell>
          <cell r="G256">
            <v>20864</v>
          </cell>
          <cell r="H256">
            <v>0</v>
          </cell>
          <cell r="I256">
            <v>0</v>
          </cell>
          <cell r="J256">
            <v>6.25</v>
          </cell>
          <cell r="K256">
            <v>5000</v>
          </cell>
          <cell r="L256">
            <v>25864</v>
          </cell>
          <cell r="M256">
            <v>3.078E-3</v>
          </cell>
        </row>
        <row r="257">
          <cell r="A257" t="str">
            <v>7.23</v>
          </cell>
          <cell r="B257" t="str">
            <v>Pintura do logotipo “SeMAE“ na face do reservatório.  (Item 5.7 do MD)</v>
          </cell>
          <cell r="C257" t="str">
            <v>un</v>
          </cell>
          <cell r="D257">
            <v>260</v>
          </cell>
          <cell r="E257">
            <v>861.68000000000006</v>
          </cell>
          <cell r="F257">
            <v>141.44</v>
          </cell>
          <cell r="G257">
            <v>36774.400000000001</v>
          </cell>
          <cell r="H257">
            <v>133.49</v>
          </cell>
          <cell r="I257">
            <v>34707.4</v>
          </cell>
          <cell r="J257">
            <v>586.75</v>
          </cell>
          <cell r="K257">
            <v>152555</v>
          </cell>
          <cell r="L257">
            <v>224036.8</v>
          </cell>
          <cell r="M257">
            <v>2.6664E-2</v>
          </cell>
        </row>
        <row r="258">
          <cell r="A258" t="str">
            <v>7.24</v>
          </cell>
          <cell r="B258" t="str">
            <v>Pintura da logomarca do Município de São José do Rio Preto (Item 5.7 do MD)</v>
          </cell>
          <cell r="C258" t="str">
            <v>un</v>
          </cell>
          <cell r="D258">
            <v>260</v>
          </cell>
          <cell r="E258">
            <v>861.68000000000006</v>
          </cell>
          <cell r="F258">
            <v>141.44</v>
          </cell>
          <cell r="G258">
            <v>36774.400000000001</v>
          </cell>
          <cell r="H258">
            <v>133.49</v>
          </cell>
          <cell r="I258">
            <v>34707.4</v>
          </cell>
          <cell r="J258">
            <v>586.75</v>
          </cell>
          <cell r="K258">
            <v>152555</v>
          </cell>
          <cell r="L258">
            <v>224036.8</v>
          </cell>
          <cell r="M258">
            <v>2.6664E-2</v>
          </cell>
        </row>
        <row r="259">
          <cell r="A259" t="str">
            <v>7.25</v>
          </cell>
          <cell r="B259" t="str">
            <v>Pintura de piso na cor grafite (Item 5.7 do MD)</v>
          </cell>
          <cell r="C259" t="str">
            <v>m2</v>
          </cell>
          <cell r="D259">
            <v>1000</v>
          </cell>
          <cell r="E259">
            <v>12.78</v>
          </cell>
          <cell r="F259">
            <v>4.17</v>
          </cell>
          <cell r="G259">
            <v>4170</v>
          </cell>
          <cell r="H259">
            <v>0</v>
          </cell>
          <cell r="I259">
            <v>0</v>
          </cell>
          <cell r="J259">
            <v>8.61</v>
          </cell>
          <cell r="K259">
            <v>8610</v>
          </cell>
          <cell r="L259">
            <v>12780</v>
          </cell>
          <cell r="M259">
            <v>1.521E-3</v>
          </cell>
        </row>
        <row r="260">
          <cell r="A260" t="str">
            <v>7.26</v>
          </cell>
          <cell r="B260" t="str">
            <v>Pintura tipo caiação de guias (Item 5.7 do MD)</v>
          </cell>
          <cell r="C260" t="str">
            <v>m</v>
          </cell>
          <cell r="D260">
            <v>700</v>
          </cell>
          <cell r="E260">
            <v>1.7699999999999998</v>
          </cell>
          <cell r="F260">
            <v>0.18000000000000002</v>
          </cell>
          <cell r="G260">
            <v>126</v>
          </cell>
          <cell r="H260">
            <v>0</v>
          </cell>
          <cell r="I260">
            <v>0</v>
          </cell>
          <cell r="J260">
            <v>1.5899999999999999</v>
          </cell>
          <cell r="K260">
            <v>1113</v>
          </cell>
          <cell r="L260">
            <v>1239</v>
          </cell>
          <cell r="M260">
            <v>1.47E-4</v>
          </cell>
        </row>
        <row r="261">
          <cell r="A261" t="str">
            <v>7.27</v>
          </cell>
          <cell r="B261" t="str">
            <v>Pintura  para proteção de tubulação enterrada galvanizada (tinta betuminosa), incluído conexões (Item 5.7 do MD)</v>
          </cell>
          <cell r="C261" t="str">
            <v>m2</v>
          </cell>
          <cell r="D261">
            <v>100</v>
          </cell>
          <cell r="E261">
            <v>45.6</v>
          </cell>
          <cell r="F261">
            <v>0</v>
          </cell>
          <cell r="G261">
            <v>0</v>
          </cell>
          <cell r="H261">
            <v>45.6</v>
          </cell>
          <cell r="I261">
            <v>4560</v>
          </cell>
          <cell r="J261">
            <v>0</v>
          </cell>
          <cell r="K261">
            <v>0</v>
          </cell>
          <cell r="L261">
            <v>4560</v>
          </cell>
          <cell r="M261">
            <v>5.4299999999999997E-4</v>
          </cell>
        </row>
        <row r="262">
          <cell r="A262">
            <v>0</v>
          </cell>
          <cell r="B262">
            <v>0</v>
          </cell>
          <cell r="C262">
            <v>0</v>
          </cell>
          <cell r="D262">
            <v>0</v>
          </cell>
          <cell r="E262">
            <v>0</v>
          </cell>
          <cell r="F262">
            <v>0</v>
          </cell>
          <cell r="G262">
            <v>0</v>
          </cell>
          <cell r="H262">
            <v>0</v>
          </cell>
          <cell r="I262">
            <v>0</v>
          </cell>
          <cell r="J262">
            <v>0</v>
          </cell>
          <cell r="K262">
            <v>0</v>
          </cell>
          <cell r="L262">
            <v>0</v>
          </cell>
          <cell r="M262">
            <v>0</v>
          </cell>
        </row>
        <row r="263">
          <cell r="A263" t="str">
            <v>8.0</v>
          </cell>
          <cell r="B263" t="str">
            <v>SERVIÇOS COMPLEMENTARES</v>
          </cell>
          <cell r="C263" t="str">
            <v>SUB-TOTAL</v>
          </cell>
          <cell r="D263">
            <v>0</v>
          </cell>
          <cell r="E263">
            <v>0</v>
          </cell>
          <cell r="F263">
            <v>342484.6</v>
          </cell>
          <cell r="G263">
            <v>342484.6</v>
          </cell>
          <cell r="H263">
            <v>32990.81</v>
          </cell>
          <cell r="I263">
            <v>32990.81</v>
          </cell>
          <cell r="J263">
            <v>202672.03999999998</v>
          </cell>
          <cell r="K263">
            <v>202672.03999999998</v>
          </cell>
          <cell r="L263">
            <v>578147.44999999995</v>
          </cell>
          <cell r="M263">
            <v>6.8808999999999995E-2</v>
          </cell>
        </row>
        <row r="264">
          <cell r="A264">
            <v>0</v>
          </cell>
          <cell r="B264">
            <v>0</v>
          </cell>
          <cell r="C264">
            <v>0</v>
          </cell>
          <cell r="D264">
            <v>0</v>
          </cell>
          <cell r="E264">
            <v>0</v>
          </cell>
          <cell r="F264">
            <v>0.59238299999999999</v>
          </cell>
          <cell r="G264" t="str">
            <v>sim</v>
          </cell>
          <cell r="H264">
            <v>5.7063000000000003E-2</v>
          </cell>
          <cell r="I264" t="str">
            <v>sim</v>
          </cell>
          <cell r="J264">
            <v>0.35055399999999998</v>
          </cell>
          <cell r="K264" t="str">
            <v>sim</v>
          </cell>
          <cell r="L264">
            <v>0</v>
          </cell>
          <cell r="M264">
            <v>0</v>
          </cell>
        </row>
        <row r="265">
          <cell r="A265" t="str">
            <v>8.1</v>
          </cell>
          <cell r="B265" t="str">
            <v>Esgotamento com bombas de superfície ou submersas (Item 5.8.1 do MD)</v>
          </cell>
          <cell r="C265" t="str">
            <v>h</v>
          </cell>
          <cell r="D265">
            <v>200</v>
          </cell>
          <cell r="E265">
            <v>4.2799999999999994</v>
          </cell>
          <cell r="F265">
            <v>0</v>
          </cell>
          <cell r="G265">
            <v>0</v>
          </cell>
          <cell r="H265">
            <v>2.25</v>
          </cell>
          <cell r="I265">
            <v>450</v>
          </cell>
          <cell r="J265">
            <v>2.0299999999999998</v>
          </cell>
          <cell r="K265">
            <v>406</v>
          </cell>
          <cell r="L265">
            <v>856</v>
          </cell>
          <cell r="M265">
            <v>1.02E-4</v>
          </cell>
        </row>
        <row r="266">
          <cell r="A266" t="str">
            <v>8.2</v>
          </cell>
          <cell r="B266" t="str">
            <v>Impermeabilização de calhas ou lajes com manta asfáltica pré fabricada e=4mm (Item 5.8.2 do MD)</v>
          </cell>
          <cell r="C266" t="str">
            <v>m2</v>
          </cell>
          <cell r="D266">
            <v>198</v>
          </cell>
          <cell r="E266">
            <v>97.79</v>
          </cell>
          <cell r="F266">
            <v>0</v>
          </cell>
          <cell r="G266">
            <v>0</v>
          </cell>
          <cell r="H266">
            <v>97.79</v>
          </cell>
          <cell r="I266">
            <v>19362.419999999998</v>
          </cell>
          <cell r="J266">
            <v>0</v>
          </cell>
          <cell r="K266">
            <v>0</v>
          </cell>
          <cell r="L266">
            <v>19362.419999999998</v>
          </cell>
          <cell r="M266">
            <v>2.3040000000000001E-3</v>
          </cell>
        </row>
        <row r="267">
          <cell r="A267" t="str">
            <v>8.3</v>
          </cell>
          <cell r="B267" t="str">
            <v>Locação de andaime metálico tipo fachadeiro - Inclusive montagem/desmontagem</v>
          </cell>
          <cell r="C267" t="str">
            <v>m2/mês</v>
          </cell>
          <cell r="D267">
            <v>250</v>
          </cell>
          <cell r="E267">
            <v>9.8800000000000008</v>
          </cell>
          <cell r="F267">
            <v>0</v>
          </cell>
          <cell r="G267">
            <v>0</v>
          </cell>
          <cell r="H267">
            <v>5.58</v>
          </cell>
          <cell r="I267">
            <v>1395</v>
          </cell>
          <cell r="J267">
            <v>4.3000000000000007</v>
          </cell>
          <cell r="K267">
            <v>1075</v>
          </cell>
          <cell r="L267">
            <v>2470</v>
          </cell>
          <cell r="M267">
            <v>2.9399999999999999E-4</v>
          </cell>
        </row>
        <row r="268">
          <cell r="A268" t="str">
            <v>8.4</v>
          </cell>
          <cell r="B268" t="str">
            <v>Locação de andaimes metálicos tipo torre (Item 5.8.3 do MD)</v>
          </cell>
          <cell r="C268" t="str">
            <v>m/mês</v>
          </cell>
          <cell r="D268">
            <v>300</v>
          </cell>
          <cell r="E268">
            <v>19.009999999999998</v>
          </cell>
          <cell r="F268">
            <v>0</v>
          </cell>
          <cell r="G268">
            <v>0</v>
          </cell>
          <cell r="H268">
            <v>19.009999999999998</v>
          </cell>
          <cell r="I268">
            <v>5703</v>
          </cell>
          <cell r="J268">
            <v>0</v>
          </cell>
          <cell r="K268">
            <v>0</v>
          </cell>
          <cell r="L268">
            <v>5703</v>
          </cell>
          <cell r="M268">
            <v>6.7900000000000002E-4</v>
          </cell>
        </row>
        <row r="269">
          <cell r="A269" t="str">
            <v>8.5</v>
          </cell>
          <cell r="B269" t="str">
            <v>Andaimes metálicos tipo torre - montagem e desmontagem (Item 5.8.3 do MD)</v>
          </cell>
          <cell r="C269" t="str">
            <v>m</v>
          </cell>
          <cell r="D269">
            <v>300</v>
          </cell>
          <cell r="E269">
            <v>8.57</v>
          </cell>
          <cell r="F269">
            <v>0</v>
          </cell>
          <cell r="G269">
            <v>0</v>
          </cell>
          <cell r="H269">
            <v>0</v>
          </cell>
          <cell r="I269">
            <v>0</v>
          </cell>
          <cell r="J269">
            <v>8.57</v>
          </cell>
          <cell r="K269">
            <v>2571</v>
          </cell>
          <cell r="L269">
            <v>2571</v>
          </cell>
          <cell r="M269">
            <v>3.0600000000000001E-4</v>
          </cell>
        </row>
        <row r="270">
          <cell r="A270" t="str">
            <v>8.6</v>
          </cell>
          <cell r="B270" t="str">
            <v>Banco de concreto Banco de concreto (BC-22 - FDE)  (Item 5.8.4 do MD)</v>
          </cell>
          <cell r="C270" t="str">
            <v>m</v>
          </cell>
          <cell r="D270">
            <v>200</v>
          </cell>
          <cell r="E270">
            <v>228.96999999999997</v>
          </cell>
          <cell r="F270">
            <v>100.69999999999997</v>
          </cell>
          <cell r="G270">
            <v>20140</v>
          </cell>
          <cell r="H270">
            <v>0</v>
          </cell>
          <cell r="I270">
            <v>0</v>
          </cell>
          <cell r="J270">
            <v>128.27000000000001</v>
          </cell>
          <cell r="K270">
            <v>25654</v>
          </cell>
          <cell r="L270">
            <v>45794</v>
          </cell>
          <cell r="M270">
            <v>5.45E-3</v>
          </cell>
        </row>
        <row r="271">
          <cell r="A271" t="str">
            <v>8.7</v>
          </cell>
          <cell r="B271" t="str">
            <v>Cimbramento de madeira (Item 5.8.5 do MD)</v>
          </cell>
          <cell r="C271" t="str">
            <v>m3</v>
          </cell>
          <cell r="D271">
            <v>200</v>
          </cell>
          <cell r="E271">
            <v>35.28</v>
          </cell>
          <cell r="F271">
            <v>18.830000000000002</v>
          </cell>
          <cell r="G271">
            <v>3766</v>
          </cell>
          <cell r="H271">
            <v>0</v>
          </cell>
          <cell r="I271">
            <v>0</v>
          </cell>
          <cell r="J271">
            <v>16.45</v>
          </cell>
          <cell r="K271">
            <v>3290</v>
          </cell>
          <cell r="L271">
            <v>7056</v>
          </cell>
          <cell r="M271">
            <v>8.4000000000000003E-4</v>
          </cell>
        </row>
        <row r="272">
          <cell r="A272" t="str">
            <v>8.8</v>
          </cell>
          <cell r="B272" t="str">
            <v>Taxa de mobilização de equipamento para estaca escavada</v>
          </cell>
          <cell r="C272" t="str">
            <v>un</v>
          </cell>
          <cell r="D272">
            <v>1</v>
          </cell>
          <cell r="E272">
            <v>1693.23</v>
          </cell>
          <cell r="F272">
            <v>0</v>
          </cell>
          <cell r="G272">
            <v>0</v>
          </cell>
          <cell r="H272">
            <v>1691.79</v>
          </cell>
          <cell r="I272">
            <v>1691.79</v>
          </cell>
          <cell r="J272">
            <v>1.4400000000000002</v>
          </cell>
          <cell r="K272">
            <v>1.44</v>
          </cell>
          <cell r="L272">
            <v>1693.23</v>
          </cell>
          <cell r="M272">
            <v>2.02E-4</v>
          </cell>
        </row>
        <row r="273">
          <cell r="A273" t="str">
            <v>8.9</v>
          </cell>
          <cell r="B273" t="str">
            <v>Estaca escavada mecanicamente - Diâmetro 25cm - Capacidade até 20 tf</v>
          </cell>
          <cell r="C273" t="str">
            <v>m</v>
          </cell>
          <cell r="D273">
            <v>240</v>
          </cell>
          <cell r="E273">
            <v>35.099999999999994</v>
          </cell>
          <cell r="F273">
            <v>16.75</v>
          </cell>
          <cell r="G273">
            <v>4020</v>
          </cell>
          <cell r="H273">
            <v>16.91</v>
          </cell>
          <cell r="I273">
            <v>4058.4</v>
          </cell>
          <cell r="J273">
            <v>1.4400000000000002</v>
          </cell>
          <cell r="K273">
            <v>345.6</v>
          </cell>
          <cell r="L273">
            <v>8424</v>
          </cell>
          <cell r="M273">
            <v>1.003E-3</v>
          </cell>
        </row>
        <row r="274">
          <cell r="A274" t="str">
            <v>8.10</v>
          </cell>
          <cell r="B274" t="str">
            <v>Estaca escavada mecanicamente - Diâmetro 30cm - Capacidade até 30 tf</v>
          </cell>
          <cell r="C274" t="str">
            <v>m</v>
          </cell>
          <cell r="D274">
            <v>120</v>
          </cell>
          <cell r="E274">
            <v>49.989999999999995</v>
          </cell>
          <cell r="F274">
            <v>18.39</v>
          </cell>
          <cell r="G274">
            <v>2206.8000000000002</v>
          </cell>
          <cell r="H274">
            <v>1.56</v>
          </cell>
          <cell r="I274">
            <v>187.2</v>
          </cell>
          <cell r="J274">
            <v>30.039999999999996</v>
          </cell>
          <cell r="K274">
            <v>3604.8</v>
          </cell>
          <cell r="L274">
            <v>5998.8</v>
          </cell>
          <cell r="M274">
            <v>7.1400000000000001E-4</v>
          </cell>
        </row>
        <row r="275">
          <cell r="A275" t="str">
            <v>8.11</v>
          </cell>
          <cell r="B275" t="str">
            <v>Pavimentação de concreto armado para pátio industrial, Fck = 25 MPa, e = 12 cm, sobre lastro de brita graduada e = 10 cm, capacidade para cargas de até 4 t/m² e empilhadeiras com cargas de até 1 t</v>
          </cell>
          <cell r="C275" t="str">
            <v>m2</v>
          </cell>
          <cell r="D275">
            <v>1400</v>
          </cell>
          <cell r="E275">
            <v>130.94999999999999</v>
          </cell>
          <cell r="F275">
            <v>106.57</v>
          </cell>
          <cell r="G275">
            <v>149198</v>
          </cell>
          <cell r="H275">
            <v>0</v>
          </cell>
          <cell r="I275">
            <v>0</v>
          </cell>
          <cell r="J275">
            <v>24.380000000000003</v>
          </cell>
          <cell r="K275">
            <v>34132</v>
          </cell>
          <cell r="L275">
            <v>183330</v>
          </cell>
          <cell r="M275">
            <v>2.1819000000000002E-2</v>
          </cell>
        </row>
        <row r="276">
          <cell r="A276" t="str">
            <v>8.12</v>
          </cell>
          <cell r="B276" t="str">
            <v>Guia pré-fabricada de concreto, assentada com concreto Fck=15MPa (Item 5.8.6 do MD)</v>
          </cell>
          <cell r="C276" t="str">
            <v>m</v>
          </cell>
          <cell r="D276">
            <v>300</v>
          </cell>
          <cell r="E276">
            <v>37.44</v>
          </cell>
          <cell r="F276">
            <v>30.589999999999996</v>
          </cell>
          <cell r="G276">
            <v>9177</v>
          </cell>
          <cell r="H276">
            <v>0.28000000000000003</v>
          </cell>
          <cell r="I276">
            <v>84</v>
          </cell>
          <cell r="J276">
            <v>6.57</v>
          </cell>
          <cell r="K276">
            <v>1971</v>
          </cell>
          <cell r="L276">
            <v>11232</v>
          </cell>
          <cell r="M276">
            <v>1.3370000000000001E-3</v>
          </cell>
        </row>
        <row r="277">
          <cell r="A277" t="str">
            <v>8.13</v>
          </cell>
          <cell r="B277" t="str">
            <v>Sarjeta de concreto incluindo preparo de caixa, concreto Fck=15MPa (Item 5.8.7 do MD)</v>
          </cell>
          <cell r="C277" t="str">
            <v>m3</v>
          </cell>
          <cell r="D277">
            <v>20</v>
          </cell>
          <cell r="E277">
            <v>453.05</v>
          </cell>
          <cell r="F277">
            <v>351.49</v>
          </cell>
          <cell r="G277">
            <v>7029.8</v>
          </cell>
          <cell r="H277">
            <v>2.95</v>
          </cell>
          <cell r="I277">
            <v>59</v>
          </cell>
          <cell r="J277">
            <v>98.61</v>
          </cell>
          <cell r="K277">
            <v>1972.2</v>
          </cell>
          <cell r="L277">
            <v>9061</v>
          </cell>
          <cell r="M277">
            <v>1.078E-3</v>
          </cell>
        </row>
        <row r="278">
          <cell r="A278" t="str">
            <v>8.14</v>
          </cell>
          <cell r="B278" t="str">
            <v>Recomposição de pavimentação em lajotas de concreto sextavado para pavimentação (30 x 30 e=10cm) rejuntado com areia , sem fornecimento da lajota (Item 5.8.8 do MD)</v>
          </cell>
          <cell r="C278" t="str">
            <v>m2</v>
          </cell>
          <cell r="D278">
            <v>1000</v>
          </cell>
          <cell r="E278">
            <v>34.949999999999996</v>
          </cell>
          <cell r="F278">
            <v>13.899999999999999</v>
          </cell>
          <cell r="G278">
            <v>13900</v>
          </cell>
          <cell r="H278">
            <v>0</v>
          </cell>
          <cell r="I278">
            <v>0</v>
          </cell>
          <cell r="J278">
            <v>21.049999999999997</v>
          </cell>
          <cell r="K278">
            <v>21050</v>
          </cell>
          <cell r="L278">
            <v>34950</v>
          </cell>
          <cell r="M278">
            <v>4.1599999999999996E-3</v>
          </cell>
        </row>
        <row r="279">
          <cell r="A279" t="str">
            <v>8.15</v>
          </cell>
          <cell r="B279" t="str">
            <v>Recomposição de pavimentação em lajotas de concreto sextavado para pavimentação (30 x 30 e=10cm) rejuntado com areia , com fornecimento da lajota (Item 5.8.8 do MD)</v>
          </cell>
          <cell r="C279" t="str">
            <v>m2</v>
          </cell>
          <cell r="D279">
            <v>700</v>
          </cell>
          <cell r="E279">
            <v>84.96</v>
          </cell>
          <cell r="F279">
            <v>68.55</v>
          </cell>
          <cell r="G279">
            <v>47985</v>
          </cell>
          <cell r="H279">
            <v>0</v>
          </cell>
          <cell r="I279">
            <v>0</v>
          </cell>
          <cell r="J279">
            <v>16.41</v>
          </cell>
          <cell r="K279">
            <v>11487</v>
          </cell>
          <cell r="L279">
            <v>59472</v>
          </cell>
          <cell r="M279">
            <v>7.0780000000000001E-3</v>
          </cell>
        </row>
        <row r="280">
          <cell r="A280" t="str">
            <v>8.16</v>
          </cell>
          <cell r="B280" t="str">
            <v>Recomposição de pavimentação em paralelepípedo com argamassa, sem fornecimento do paralelepípedo (Item 5.8.8 do MD)</v>
          </cell>
          <cell r="C280" t="str">
            <v>m2</v>
          </cell>
          <cell r="D280">
            <v>200</v>
          </cell>
          <cell r="E280">
            <v>36.53</v>
          </cell>
          <cell r="F280">
            <v>9.44</v>
          </cell>
          <cell r="G280">
            <v>1888</v>
          </cell>
          <cell r="H280">
            <v>0</v>
          </cell>
          <cell r="I280">
            <v>0</v>
          </cell>
          <cell r="J280">
            <v>27.09</v>
          </cell>
          <cell r="K280">
            <v>5418</v>
          </cell>
          <cell r="L280">
            <v>7306</v>
          </cell>
          <cell r="M280">
            <v>8.7000000000000001E-4</v>
          </cell>
        </row>
        <row r="281">
          <cell r="A281" t="str">
            <v>8.17</v>
          </cell>
          <cell r="B281" t="str">
            <v>Recomposição de pavimentação em paralelepípedo com argamassa, com fornecimento do paralelepípedo (Item 5.8.8 do MD)</v>
          </cell>
          <cell r="C281" t="str">
            <v>m2</v>
          </cell>
          <cell r="D281">
            <v>1000</v>
          </cell>
          <cell r="E281">
            <v>75.47</v>
          </cell>
          <cell r="F281">
            <v>48.379999999999995</v>
          </cell>
          <cell r="G281">
            <v>48380</v>
          </cell>
          <cell r="H281">
            <v>0</v>
          </cell>
          <cell r="I281">
            <v>0</v>
          </cell>
          <cell r="J281">
            <v>27.09</v>
          </cell>
          <cell r="K281">
            <v>27090</v>
          </cell>
          <cell r="L281">
            <v>75470</v>
          </cell>
          <cell r="M281">
            <v>8.9820000000000004E-3</v>
          </cell>
        </row>
        <row r="282">
          <cell r="A282" t="str">
            <v>8.18</v>
          </cell>
          <cell r="B282" t="str">
            <v>Recomposição de mosaico português, sem fornecimento do mosaico (Item 5.8.9 do MD)</v>
          </cell>
          <cell r="C282" t="str">
            <v>m2</v>
          </cell>
          <cell r="D282">
            <v>900</v>
          </cell>
          <cell r="E282">
            <v>38.700000000000003</v>
          </cell>
          <cell r="F282">
            <v>3.9200000000000004</v>
          </cell>
          <cell r="G282">
            <v>3528</v>
          </cell>
          <cell r="H282">
            <v>0</v>
          </cell>
          <cell r="I282">
            <v>0</v>
          </cell>
          <cell r="J282">
            <v>34.78</v>
          </cell>
          <cell r="K282">
            <v>31302</v>
          </cell>
          <cell r="L282">
            <v>34830</v>
          </cell>
          <cell r="M282">
            <v>4.1450000000000002E-3</v>
          </cell>
        </row>
        <row r="283">
          <cell r="A283" t="str">
            <v>8.19</v>
          </cell>
          <cell r="B283" t="str">
            <v>Recomposição de mosaico português, com fornecimento do mosaico (Item 5.8.9 do MD)</v>
          </cell>
          <cell r="C283" t="str">
            <v>m2</v>
          </cell>
          <cell r="D283">
            <v>900</v>
          </cell>
          <cell r="E283">
            <v>69.52000000000001</v>
          </cell>
          <cell r="F283">
            <v>34.74</v>
          </cell>
          <cell r="G283">
            <v>31266</v>
          </cell>
          <cell r="H283">
            <v>0</v>
          </cell>
          <cell r="I283">
            <v>0</v>
          </cell>
          <cell r="J283">
            <v>34.78</v>
          </cell>
          <cell r="K283">
            <v>31302</v>
          </cell>
          <cell r="L283">
            <v>62568</v>
          </cell>
          <cell r="M283">
            <v>7.4469999999999996E-3</v>
          </cell>
        </row>
        <row r="284">
          <cell r="A284">
            <v>0</v>
          </cell>
          <cell r="B284">
            <v>0</v>
          </cell>
          <cell r="C284">
            <v>0</v>
          </cell>
          <cell r="D284">
            <v>0</v>
          </cell>
          <cell r="E284">
            <v>0</v>
          </cell>
          <cell r="F284">
            <v>0</v>
          </cell>
          <cell r="G284">
            <v>0</v>
          </cell>
          <cell r="H284">
            <v>0</v>
          </cell>
          <cell r="I284">
            <v>0</v>
          </cell>
          <cell r="J284">
            <v>0</v>
          </cell>
          <cell r="K284">
            <v>0</v>
          </cell>
          <cell r="L284">
            <v>0</v>
          </cell>
          <cell r="M284">
            <v>0</v>
          </cell>
        </row>
        <row r="285">
          <cell r="A285" t="str">
            <v>TOTAL GERAL</v>
          </cell>
          <cell r="B285">
            <v>0</v>
          </cell>
          <cell r="C285">
            <v>0</v>
          </cell>
          <cell r="D285">
            <v>0</v>
          </cell>
          <cell r="E285">
            <v>0</v>
          </cell>
          <cell r="F285">
            <v>0</v>
          </cell>
          <cell r="G285">
            <v>0</v>
          </cell>
          <cell r="H285">
            <v>0</v>
          </cell>
          <cell r="I285">
            <v>0</v>
          </cell>
          <cell r="J285">
            <v>0</v>
          </cell>
          <cell r="K285">
            <v>0</v>
          </cell>
          <cell r="L285">
            <v>8402223.1400000006</v>
          </cell>
          <cell r="M285">
            <v>1</v>
          </cell>
        </row>
        <row r="286">
          <cell r="A286" t="str">
            <v>Total de materiais</v>
          </cell>
          <cell r="B286">
            <v>0</v>
          </cell>
          <cell r="C286">
            <v>0</v>
          </cell>
          <cell r="D286">
            <v>0</v>
          </cell>
          <cell r="E286">
            <v>0</v>
          </cell>
          <cell r="F286">
            <v>0</v>
          </cell>
          <cell r="G286">
            <v>0</v>
          </cell>
          <cell r="H286">
            <v>0</v>
          </cell>
          <cell r="I286">
            <v>0</v>
          </cell>
          <cell r="J286">
            <v>0</v>
          </cell>
          <cell r="K286">
            <v>0</v>
          </cell>
          <cell r="L286">
            <v>3576675.8800000004</v>
          </cell>
          <cell r="M286">
            <v>0.42568</v>
          </cell>
        </row>
        <row r="287">
          <cell r="A287" t="str">
            <v>Total de empreiteiros e serviços</v>
          </cell>
          <cell r="B287">
            <v>0</v>
          </cell>
          <cell r="C287">
            <v>0</v>
          </cell>
          <cell r="D287">
            <v>0</v>
          </cell>
          <cell r="E287">
            <v>0</v>
          </cell>
          <cell r="F287">
            <v>0</v>
          </cell>
          <cell r="G287">
            <v>0</v>
          </cell>
          <cell r="H287">
            <v>0</v>
          </cell>
          <cell r="I287">
            <v>0</v>
          </cell>
          <cell r="J287">
            <v>0</v>
          </cell>
          <cell r="K287">
            <v>0</v>
          </cell>
          <cell r="L287">
            <v>1009791.61</v>
          </cell>
          <cell r="M287">
            <v>0.12018</v>
          </cell>
        </row>
      </sheetData>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M"/>
      <sheetName val="Summary 2004$"/>
    </sheetNames>
    <sheetDataSet>
      <sheetData sheetId="0">
        <row r="32">
          <cell r="A32" t="str">
            <v>Empreitada por Preço Unitário ou Tarefa</v>
          </cell>
        </row>
      </sheetData>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ENCHIMENTO"/>
      <sheetName val="A II.A"/>
      <sheetName val="A II.A (2)"/>
      <sheetName val="A II.A.1 - OS 3"/>
      <sheetName val="A II.A.2 - OS 4"/>
      <sheetName val="A II.A.3 - OS 5"/>
      <sheetName val="Trechos"/>
      <sheetName val="Galeria"/>
      <sheetName val="LAJE"/>
      <sheetName val="Série Histórica IPCA"/>
      <sheetName val="A II.A.5 - OS 7 - REV"/>
      <sheetName val="A II.A.5 - OS 7"/>
      <sheetName val="A II.A.6 - OS 8"/>
      <sheetName val="A III.A"/>
      <sheetName val="A III.A.1 - OS 3"/>
      <sheetName val="A III.A.2 - OS 4"/>
      <sheetName val="A III.A.3 - OS 5"/>
      <sheetName val="A III.A.4 - OS 6"/>
      <sheetName val="A III.A.5 - OS 7"/>
      <sheetName val="A III.A.6 - OS 8"/>
      <sheetName val="A IV - COMP"/>
      <sheetName val="A V - I"/>
      <sheetName val="A VI - BDI-S"/>
      <sheetName val="A VII - BDI-M"/>
      <sheetName val="Acom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IV. ANALÍTICO PESQUISAR"/>
      <sheetName val="COMPOSIÇÕES AUXILIARES"/>
      <sheetName val="RESUMO"/>
      <sheetName val="GLOBAL GOM-A"/>
      <sheetName val="AUXILIAR"/>
      <sheetName val="GLOBAL GOM-E"/>
      <sheetName val="Mem Global"/>
      <sheetName val="AROEIRAS I"/>
      <sheetName val="ASTÚRIAS"/>
      <sheetName val="(03)"/>
      <sheetName val="ALTA VISTA"/>
      <sheetName val="BIANCO"/>
      <sheetName val="UNIVERSO"/>
      <sheetName val="AMÉRICAS"/>
      <sheetName val="VISTA BELA"/>
      <sheetName val="MARIA ZORITA"/>
      <sheetName val="SOLO II"/>
      <sheetName val="Abrigos"/>
      <sheetName val="SOLO PINHEIRO"/>
      <sheetName val="Alambrados"/>
      <sheetName val="Muros"/>
      <sheetName val="Quant"/>
      <sheetName val="Cont. Quant."/>
      <sheetName val="Pintura de Poços"/>
      <sheetName val="(18)"/>
      <sheetName val="(19)"/>
      <sheetName val="(20)"/>
      <sheetName val="(21)"/>
      <sheetName val="Cx 1"/>
      <sheetName val="Cx 2"/>
      <sheetName val="Cx 3"/>
      <sheetName val="Cx 4"/>
      <sheetName val="Cx 5"/>
      <sheetName val="Cx 6"/>
      <sheetName val="Cx 7"/>
      <sheetName val="Cx 8"/>
      <sheetName val="Cx 9"/>
      <sheetName val="Cx 1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Extenso"/>
      <sheetName val="Planilha1"/>
    </sheetNames>
    <sheetDataSet>
      <sheetData sheetId="0"/>
      <sheetData sheetId="1"/>
      <sheetData sheetId="2"/>
      <sheetData sheetId="3">
        <row r="23">
          <cell r="D23">
            <v>108.18</v>
          </cell>
        </row>
        <row r="35">
          <cell r="D35">
            <v>179.93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 IV. ANALÍTICO PESQUISAR"/>
      <sheetName val="COMPOSIÇÕES AUXILIARES"/>
      <sheetName val="RESUMO"/>
      <sheetName val="GLOBAL GOM-A"/>
      <sheetName val="AUXILIAR"/>
      <sheetName val="GLOBAL GOM-E"/>
      <sheetName val="Mem Global"/>
      <sheetName val="(01)"/>
      <sheetName val="(02)"/>
      <sheetName val="(03)"/>
      <sheetName val="Muros Demolição"/>
      <sheetName val="Muro PTB Novo"/>
      <sheetName val="Abrigos"/>
      <sheetName val="Casa de Cloro (01)"/>
      <sheetName val="Sem Remoção"/>
      <sheetName val="Casa de CLoro"/>
      <sheetName val="(08)"/>
      <sheetName val="(09)"/>
      <sheetName val="(10)"/>
      <sheetName val="(11)"/>
      <sheetName val="(12)"/>
      <sheetName val="(13)"/>
      <sheetName val="(14)"/>
      <sheetName val="(15)"/>
      <sheetName val="(16)"/>
      <sheetName val="(17)"/>
      <sheetName val="(18)"/>
      <sheetName val="(19)"/>
      <sheetName val="(20)"/>
      <sheetName val="(21)"/>
      <sheetName val="Cx 1"/>
      <sheetName val="Cx 2"/>
      <sheetName val="Cx 3"/>
      <sheetName val="Cx 4"/>
      <sheetName val="Cx 5"/>
      <sheetName val="Cx 6"/>
      <sheetName val="Cx 7"/>
      <sheetName val="Cx 8"/>
      <sheetName val="Cx 9"/>
      <sheetName val="Cx 1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Extenso"/>
    </sheetNames>
    <sheetDataSet>
      <sheetData sheetId="0"/>
      <sheetData sheetId="1"/>
      <sheetData sheetId="2"/>
      <sheetData sheetId="3"/>
      <sheetData sheetId="4"/>
      <sheetData sheetId="5"/>
      <sheetData sheetId="6">
        <row r="1074">
          <cell r="G1074">
            <v>2565</v>
          </cell>
        </row>
        <row r="1997">
          <cell r="G1997">
            <v>1882.1</v>
          </cell>
        </row>
        <row r="2105">
          <cell r="G2105">
            <v>31</v>
          </cell>
        </row>
        <row r="2430">
          <cell r="G2430">
            <v>79.5</v>
          </cell>
        </row>
        <row r="3295">
          <cell r="G3295">
            <v>5245.3</v>
          </cell>
        </row>
        <row r="3674">
          <cell r="G3674">
            <v>1333.6499999999999</v>
          </cell>
        </row>
        <row r="3944">
          <cell r="G3944">
            <v>1200</v>
          </cell>
        </row>
        <row r="3999">
          <cell r="G3999">
            <v>128.32499999999999</v>
          </cell>
        </row>
        <row r="4107">
          <cell r="G4107">
            <v>48.104999999999997</v>
          </cell>
        </row>
        <row r="4215">
          <cell r="G4215">
            <v>34.453500000000005</v>
          </cell>
        </row>
        <row r="4330">
          <cell r="K4330">
            <v>9930.42</v>
          </cell>
        </row>
        <row r="4331">
          <cell r="K4331">
            <v>2233.5</v>
          </cell>
        </row>
        <row r="4332">
          <cell r="K4332">
            <v>1994.3400000000001</v>
          </cell>
        </row>
        <row r="4333">
          <cell r="K4333">
            <v>744.5</v>
          </cell>
        </row>
        <row r="4487">
          <cell r="G4487">
            <v>3012</v>
          </cell>
        </row>
        <row r="5354">
          <cell r="G5354">
            <v>202.39999999999998</v>
          </cell>
        </row>
        <row r="6708">
          <cell r="G6708">
            <v>1207.2</v>
          </cell>
        </row>
        <row r="6762">
          <cell r="G6762">
            <v>525.20000000000005</v>
          </cell>
        </row>
        <row r="6924">
          <cell r="G6924">
            <v>10359.200000000001</v>
          </cell>
        </row>
        <row r="6978">
          <cell r="G6978">
            <v>254</v>
          </cell>
        </row>
        <row r="7680">
          <cell r="G7680">
            <v>279.60000000000002</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aptação 3"/>
      <sheetName val="Abrigos elétrica menor"/>
      <sheetName val="Abrigos elétrica maior"/>
      <sheetName val="Abrigo Viscarlos"/>
      <sheetName val="Casas C-F"/>
      <sheetName val="Casa Pipa"/>
      <sheetName val="Pintura Sede"/>
      <sheetName val="Caixas Macro"/>
      <sheetName val="Planilha7"/>
    </sheetNames>
    <sheetDataSet>
      <sheetData sheetId="0" refreshError="1">
        <row r="4">
          <cell r="O4">
            <v>28.380000000000003</v>
          </cell>
        </row>
        <row r="6">
          <cell r="O6">
            <v>84.6</v>
          </cell>
        </row>
      </sheetData>
      <sheetData sheetId="1" refreshError="1"/>
      <sheetData sheetId="2" refreshError="1">
        <row r="3">
          <cell r="R3">
            <v>5.4320000000000004</v>
          </cell>
        </row>
        <row r="20">
          <cell r="R20">
            <v>14.4</v>
          </cell>
        </row>
      </sheetData>
      <sheetData sheetId="3" refreshError="1"/>
      <sheetData sheetId="4" refreshError="1">
        <row r="3">
          <cell r="S3">
            <v>11.555999999999997</v>
          </cell>
        </row>
        <row r="8">
          <cell r="S8">
            <v>97.200000000000017</v>
          </cell>
        </row>
        <row r="10">
          <cell r="S10">
            <v>28.800000000000004</v>
          </cell>
        </row>
        <row r="24">
          <cell r="S24">
            <v>24</v>
          </cell>
        </row>
        <row r="25">
          <cell r="S25">
            <v>24</v>
          </cell>
        </row>
        <row r="28">
          <cell r="S28">
            <v>108</v>
          </cell>
        </row>
      </sheetData>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ronograma"/>
      <sheetName val="Cronograma de Pintura "/>
      <sheetName val="Pontos de Serviço"/>
      <sheetName val="Quant."/>
      <sheetName val="Produtividade"/>
      <sheetName val="Equipes"/>
      <sheetName val="Resumo dos Levantamentos"/>
      <sheetName val="Resumo"/>
      <sheetName val="Estimativa de Preços"/>
      <sheetName val="Resumo (2)"/>
      <sheetName val="Custo Aditivo 25%"/>
      <sheetName val="OS1-S"/>
      <sheetName val="OS1-C"/>
    </sheetNames>
    <sheetDataSet>
      <sheetData sheetId="0"/>
      <sheetData sheetId="1"/>
      <sheetData sheetId="2"/>
      <sheetData sheetId="3"/>
      <sheetData sheetId="4"/>
      <sheetData sheetId="5"/>
      <sheetData sheetId="6"/>
      <sheetData sheetId="7"/>
      <sheetData sheetId="8">
        <row r="9">
          <cell r="AH9">
            <v>1376.25</v>
          </cell>
        </row>
        <row r="10">
          <cell r="AH10">
            <v>65</v>
          </cell>
        </row>
        <row r="12">
          <cell r="AH12">
            <v>2355</v>
          </cell>
        </row>
        <row r="13">
          <cell r="AH13">
            <v>13708.75</v>
          </cell>
        </row>
        <row r="14">
          <cell r="AH14">
            <v>317.5</v>
          </cell>
        </row>
        <row r="15">
          <cell r="AH15">
            <v>4517.5</v>
          </cell>
        </row>
        <row r="17">
          <cell r="AH17">
            <v>17511.25</v>
          </cell>
        </row>
        <row r="18">
          <cell r="AH18">
            <v>7878.75</v>
          </cell>
        </row>
        <row r="19">
          <cell r="AH19">
            <v>5176.25</v>
          </cell>
        </row>
        <row r="20">
          <cell r="AH20">
            <v>437.5</v>
          </cell>
        </row>
        <row r="21">
          <cell r="AH21">
            <v>640</v>
          </cell>
        </row>
        <row r="24">
          <cell r="AH24">
            <v>73</v>
          </cell>
        </row>
        <row r="25">
          <cell r="AH25">
            <v>64</v>
          </cell>
        </row>
        <row r="26">
          <cell r="AH26">
            <v>3053.75</v>
          </cell>
        </row>
        <row r="27">
          <cell r="AH27">
            <v>4351.25</v>
          </cell>
        </row>
      </sheetData>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ENCHIMENTO"/>
      <sheetName val="Memória "/>
      <sheetName val="A IV."/>
      <sheetName val="A V."/>
      <sheetName val="A VI."/>
      <sheetName val="A VII."/>
      <sheetName val="A VIII."/>
      <sheetName val="A IX."/>
      <sheetName val="A X."/>
      <sheetName val="Comparativo"/>
    </sheetNames>
    <sheetDataSet>
      <sheetData sheetId="0"/>
      <sheetData sheetId="1"/>
      <sheetData sheetId="2">
        <row r="16">
          <cell r="D16">
            <v>1</v>
          </cell>
        </row>
        <row r="17">
          <cell r="D17">
            <v>90</v>
          </cell>
        </row>
        <row r="18">
          <cell r="D18">
            <v>8640</v>
          </cell>
        </row>
        <row r="19">
          <cell r="D19">
            <v>96</v>
          </cell>
        </row>
        <row r="20">
          <cell r="D20">
            <v>48</v>
          </cell>
        </row>
        <row r="25">
          <cell r="D25">
            <v>1000</v>
          </cell>
        </row>
        <row r="26">
          <cell r="D26">
            <v>2000</v>
          </cell>
        </row>
        <row r="27">
          <cell r="D27">
            <v>1200</v>
          </cell>
        </row>
        <row r="28">
          <cell r="D28">
            <v>20</v>
          </cell>
        </row>
        <row r="29">
          <cell r="D29">
            <v>64</v>
          </cell>
        </row>
        <row r="30">
          <cell r="D30">
            <v>100</v>
          </cell>
        </row>
        <row r="31">
          <cell r="D31">
            <v>3000</v>
          </cell>
        </row>
        <row r="33">
          <cell r="D33">
            <v>50</v>
          </cell>
        </row>
        <row r="34">
          <cell r="D34">
            <v>300</v>
          </cell>
        </row>
        <row r="35">
          <cell r="D35">
            <v>10500</v>
          </cell>
        </row>
        <row r="36">
          <cell r="D36">
            <v>350</v>
          </cell>
        </row>
        <row r="38">
          <cell r="D38">
            <v>12</v>
          </cell>
        </row>
        <row r="39">
          <cell r="D39">
            <v>3000</v>
          </cell>
        </row>
        <row r="40">
          <cell r="D40">
            <v>5</v>
          </cell>
        </row>
        <row r="41">
          <cell r="D41">
            <v>10</v>
          </cell>
        </row>
        <row r="46">
          <cell r="D46">
            <v>250</v>
          </cell>
        </row>
        <row r="47">
          <cell r="D47">
            <v>3500</v>
          </cell>
        </row>
        <row r="48">
          <cell r="D48">
            <v>40</v>
          </cell>
        </row>
        <row r="50">
          <cell r="D50">
            <v>3</v>
          </cell>
        </row>
        <row r="51">
          <cell r="D51">
            <v>80</v>
          </cell>
        </row>
        <row r="52">
          <cell r="D52">
            <v>100</v>
          </cell>
        </row>
        <row r="53">
          <cell r="D53">
            <v>1</v>
          </cell>
        </row>
        <row r="54">
          <cell r="D54">
            <v>1.5</v>
          </cell>
        </row>
        <row r="55">
          <cell r="D55">
            <v>5</v>
          </cell>
        </row>
        <row r="56">
          <cell r="D56">
            <v>75</v>
          </cell>
        </row>
        <row r="57">
          <cell r="D57">
            <v>90</v>
          </cell>
        </row>
        <row r="58">
          <cell r="D58">
            <v>10</v>
          </cell>
        </row>
        <row r="59">
          <cell r="D59">
            <v>50</v>
          </cell>
        </row>
        <row r="60">
          <cell r="D60">
            <v>29</v>
          </cell>
        </row>
        <row r="62">
          <cell r="D62">
            <v>100</v>
          </cell>
        </row>
        <row r="63">
          <cell r="D63">
            <v>25</v>
          </cell>
        </row>
        <row r="64">
          <cell r="D64">
            <v>25</v>
          </cell>
        </row>
        <row r="65">
          <cell r="D65">
            <v>50</v>
          </cell>
        </row>
        <row r="66">
          <cell r="D66">
            <v>50</v>
          </cell>
        </row>
        <row r="67">
          <cell r="D67">
            <v>50</v>
          </cell>
        </row>
        <row r="68">
          <cell r="D68">
            <v>7</v>
          </cell>
        </row>
        <row r="69">
          <cell r="D69">
            <v>3000</v>
          </cell>
        </row>
        <row r="70">
          <cell r="D70">
            <v>20</v>
          </cell>
        </row>
        <row r="72">
          <cell r="D72">
            <v>50</v>
          </cell>
        </row>
        <row r="73">
          <cell r="D73">
            <v>150</v>
          </cell>
        </row>
        <row r="74">
          <cell r="D74">
            <v>150</v>
          </cell>
        </row>
        <row r="75">
          <cell r="D75">
            <v>20</v>
          </cell>
        </row>
        <row r="76">
          <cell r="D76">
            <v>10</v>
          </cell>
        </row>
        <row r="77">
          <cell r="D77">
            <v>1200</v>
          </cell>
        </row>
        <row r="78">
          <cell r="D78">
            <v>46</v>
          </cell>
        </row>
        <row r="80">
          <cell r="D80">
            <v>100</v>
          </cell>
        </row>
        <row r="81">
          <cell r="D81">
            <v>500</v>
          </cell>
        </row>
        <row r="82">
          <cell r="D82">
            <v>2000</v>
          </cell>
        </row>
        <row r="83">
          <cell r="D83">
            <v>20</v>
          </cell>
        </row>
        <row r="84">
          <cell r="D84">
            <v>20</v>
          </cell>
        </row>
        <row r="86">
          <cell r="D86">
            <v>217</v>
          </cell>
        </row>
        <row r="87">
          <cell r="D87">
            <v>1000</v>
          </cell>
        </row>
        <row r="88">
          <cell r="D88">
            <v>5000</v>
          </cell>
        </row>
        <row r="90">
          <cell r="D90">
            <v>100</v>
          </cell>
        </row>
        <row r="92">
          <cell r="D92">
            <v>125</v>
          </cell>
        </row>
        <row r="93">
          <cell r="D93">
            <v>125</v>
          </cell>
        </row>
        <row r="94">
          <cell r="D94">
            <v>300</v>
          </cell>
        </row>
        <row r="96">
          <cell r="D96">
            <v>200</v>
          </cell>
        </row>
        <row r="97">
          <cell r="D97">
            <v>100</v>
          </cell>
        </row>
        <row r="98">
          <cell r="D98">
            <v>250</v>
          </cell>
        </row>
        <row r="99">
          <cell r="D99">
            <v>45</v>
          </cell>
        </row>
        <row r="101">
          <cell r="D101">
            <v>200</v>
          </cell>
        </row>
        <row r="102">
          <cell r="D102">
            <v>50</v>
          </cell>
        </row>
        <row r="103">
          <cell r="D103">
            <v>50</v>
          </cell>
        </row>
        <row r="104">
          <cell r="D104">
            <v>20</v>
          </cell>
        </row>
        <row r="105">
          <cell r="D105">
            <v>25</v>
          </cell>
        </row>
        <row r="106">
          <cell r="D106">
            <v>25</v>
          </cell>
        </row>
        <row r="108">
          <cell r="D108">
            <v>16</v>
          </cell>
        </row>
        <row r="109">
          <cell r="D109">
            <v>16</v>
          </cell>
        </row>
        <row r="110">
          <cell r="D110">
            <v>32</v>
          </cell>
        </row>
        <row r="114">
          <cell r="D114">
            <v>20</v>
          </cell>
        </row>
        <row r="115">
          <cell r="D115">
            <v>20</v>
          </cell>
        </row>
        <row r="116">
          <cell r="D116">
            <v>2</v>
          </cell>
        </row>
        <row r="117">
          <cell r="D117">
            <v>20</v>
          </cell>
        </row>
        <row r="118">
          <cell r="D118">
            <v>10</v>
          </cell>
        </row>
        <row r="119">
          <cell r="D119">
            <v>40</v>
          </cell>
        </row>
        <row r="120">
          <cell r="D120">
            <v>25</v>
          </cell>
        </row>
        <row r="121">
          <cell r="D121">
            <v>30</v>
          </cell>
        </row>
        <row r="122">
          <cell r="D122">
            <v>150</v>
          </cell>
        </row>
        <row r="123">
          <cell r="D123">
            <v>25</v>
          </cell>
        </row>
        <row r="124">
          <cell r="D124">
            <v>60</v>
          </cell>
        </row>
        <row r="128">
          <cell r="D128">
            <v>100</v>
          </cell>
        </row>
        <row r="129">
          <cell r="D129">
            <v>150</v>
          </cell>
        </row>
        <row r="130">
          <cell r="D130">
            <v>200</v>
          </cell>
        </row>
        <row r="131">
          <cell r="D131">
            <v>150</v>
          </cell>
        </row>
        <row r="132">
          <cell r="D132">
            <v>150</v>
          </cell>
        </row>
        <row r="137">
          <cell r="D137">
            <v>51300</v>
          </cell>
        </row>
        <row r="138">
          <cell r="D138">
            <v>118000</v>
          </cell>
        </row>
        <row r="139">
          <cell r="D139">
            <v>50</v>
          </cell>
        </row>
        <row r="140">
          <cell r="D140">
            <v>61100</v>
          </cell>
        </row>
        <row r="141">
          <cell r="D141">
            <v>10700</v>
          </cell>
        </row>
        <row r="142">
          <cell r="D142">
            <v>500</v>
          </cell>
        </row>
        <row r="143">
          <cell r="D143">
            <v>51300</v>
          </cell>
        </row>
        <row r="144">
          <cell r="D144">
            <v>6500</v>
          </cell>
        </row>
        <row r="145">
          <cell r="D145">
            <v>26700</v>
          </cell>
        </row>
        <row r="146">
          <cell r="D146">
            <v>3320</v>
          </cell>
        </row>
        <row r="147">
          <cell r="D147">
            <v>3330</v>
          </cell>
        </row>
        <row r="148">
          <cell r="D148">
            <v>100</v>
          </cell>
        </row>
        <row r="149">
          <cell r="D149">
            <v>300</v>
          </cell>
        </row>
        <row r="150">
          <cell r="D150">
            <v>210</v>
          </cell>
        </row>
        <row r="151">
          <cell r="D151">
            <v>210</v>
          </cell>
        </row>
        <row r="152">
          <cell r="D152">
            <v>42950</v>
          </cell>
        </row>
        <row r="153">
          <cell r="D153">
            <v>17500</v>
          </cell>
        </row>
        <row r="157">
          <cell r="D157">
            <v>150</v>
          </cell>
        </row>
        <row r="158">
          <cell r="D158">
            <v>70</v>
          </cell>
        </row>
        <row r="159">
          <cell r="D159">
            <v>50</v>
          </cell>
        </row>
        <row r="160">
          <cell r="D160">
            <v>224</v>
          </cell>
        </row>
        <row r="161">
          <cell r="D161">
            <v>125</v>
          </cell>
        </row>
        <row r="162">
          <cell r="D162">
            <v>100</v>
          </cell>
        </row>
        <row r="163">
          <cell r="D163">
            <v>2000</v>
          </cell>
        </row>
        <row r="164">
          <cell r="D164">
            <v>8000</v>
          </cell>
        </row>
        <row r="165">
          <cell r="D165">
            <v>200</v>
          </cell>
        </row>
        <row r="166">
          <cell r="D166">
            <v>12</v>
          </cell>
        </row>
        <row r="167">
          <cell r="D167">
            <v>1200</v>
          </cell>
        </row>
        <row r="168">
          <cell r="D168">
            <v>200</v>
          </cell>
        </row>
        <row r="169">
          <cell r="D169">
            <v>35</v>
          </cell>
        </row>
        <row r="170">
          <cell r="D170">
            <v>1300</v>
          </cell>
        </row>
        <row r="171">
          <cell r="D171">
            <v>1200</v>
          </cell>
        </row>
        <row r="172">
          <cell r="D172">
            <v>10</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0"/>
  <sheetViews>
    <sheetView tabSelected="1" view="pageBreakPreview" zoomScaleNormal="100" zoomScaleSheetLayoutView="100" workbookViewId="0">
      <selection sqref="A1:XFD1048576"/>
    </sheetView>
  </sheetViews>
  <sheetFormatPr defaultRowHeight="15" x14ac:dyDescent="0.25"/>
  <cols>
    <col min="1" max="2" width="4.7109375" style="238" customWidth="1"/>
    <col min="3" max="3" width="10.28515625" style="238" customWidth="1"/>
    <col min="4" max="16384" width="9.140625" style="238"/>
  </cols>
  <sheetData>
    <row r="1" spans="1:11" ht="28.5" customHeight="1" x14ac:dyDescent="0.25">
      <c r="A1" s="459"/>
      <c r="B1" s="459"/>
      <c r="C1" s="459"/>
      <c r="D1" s="459"/>
      <c r="E1" s="459"/>
      <c r="F1" s="459"/>
      <c r="G1" s="459"/>
      <c r="H1" s="459"/>
      <c r="I1" s="459"/>
      <c r="J1" s="459"/>
      <c r="K1" s="459"/>
    </row>
    <row r="2" spans="1:11" ht="15.75" thickBot="1" x14ac:dyDescent="0.3">
      <c r="A2" s="460"/>
      <c r="B2" s="460"/>
      <c r="C2" s="460"/>
      <c r="D2" s="460"/>
      <c r="E2" s="460"/>
      <c r="F2" s="460"/>
      <c r="G2" s="460"/>
      <c r="H2" s="460"/>
      <c r="I2" s="460"/>
      <c r="J2" s="460"/>
      <c r="K2" s="460"/>
    </row>
    <row r="3" spans="1:11" ht="23.25" customHeight="1" thickBot="1" x14ac:dyDescent="0.3">
      <c r="A3" s="461" t="s">
        <v>422</v>
      </c>
      <c r="B3" s="462"/>
      <c r="C3" s="462"/>
      <c r="D3" s="462"/>
      <c r="E3" s="462"/>
      <c r="F3" s="462"/>
      <c r="G3" s="462"/>
      <c r="H3" s="462"/>
      <c r="I3" s="462"/>
      <c r="J3" s="462"/>
      <c r="K3" s="463"/>
    </row>
    <row r="4" spans="1:11" ht="12" customHeight="1" x14ac:dyDescent="0.25"/>
    <row r="5" spans="1:11" ht="0.95" customHeight="1" x14ac:dyDescent="0.25"/>
    <row r="6" spans="1:11" x14ac:dyDescent="0.25">
      <c r="A6" s="238" t="s">
        <v>424</v>
      </c>
    </row>
    <row r="7" spans="1:11" x14ac:dyDescent="0.25">
      <c r="A7" s="239" t="s">
        <v>1217</v>
      </c>
      <c r="B7" s="239"/>
    </row>
    <row r="8" spans="1:11" x14ac:dyDescent="0.25">
      <c r="A8" s="239" t="s">
        <v>1218</v>
      </c>
      <c r="B8" s="239"/>
    </row>
    <row r="9" spans="1:11" x14ac:dyDescent="0.25">
      <c r="A9" s="239" t="s">
        <v>1219</v>
      </c>
      <c r="B9" s="239"/>
    </row>
    <row r="10" spans="1:11" x14ac:dyDescent="0.25">
      <c r="A10" s="239" t="s">
        <v>1220</v>
      </c>
      <c r="B10" s="239"/>
    </row>
    <row r="11" spans="1:11" x14ac:dyDescent="0.25">
      <c r="A11" s="239" t="s">
        <v>1221</v>
      </c>
      <c r="B11" s="239"/>
    </row>
    <row r="12" spans="1:11" x14ac:dyDescent="0.25">
      <c r="A12" s="239" t="s">
        <v>1222</v>
      </c>
      <c r="B12" s="239"/>
    </row>
    <row r="13" spans="1:11" ht="9.9499999999999993" customHeight="1" x14ac:dyDescent="0.25"/>
    <row r="14" spans="1:11" x14ac:dyDescent="0.25">
      <c r="A14" s="464" t="s">
        <v>425</v>
      </c>
      <c r="B14" s="464"/>
      <c r="C14" s="464"/>
      <c r="D14" s="464"/>
      <c r="E14" s="464"/>
      <c r="F14" s="464"/>
      <c r="G14" s="464"/>
      <c r="H14" s="464"/>
      <c r="I14" s="464"/>
      <c r="J14" s="464"/>
      <c r="K14" s="464"/>
    </row>
    <row r="15" spans="1:11" x14ac:dyDescent="0.25">
      <c r="A15" s="239" t="str">
        <f>A7</f>
        <v xml:space="preserve">  •    PLANILHA DE ORÇAMENTO – LICITANTE - ANEXO IV.A</v>
      </c>
      <c r="B15" s="239"/>
    </row>
    <row r="16" spans="1:11" x14ac:dyDescent="0.25">
      <c r="A16" s="239" t="str">
        <f>A9</f>
        <v xml:space="preserve">  •    PLANILHA DE COMPOSIÇÕES UNITÁRIAS DE SERVIÇOS – LICITANTE - ANEXO VI.A</v>
      </c>
      <c r="B16" s="239"/>
    </row>
    <row r="17" spans="1:11" x14ac:dyDescent="0.25">
      <c r="A17" s="239" t="str">
        <f>A10</f>
        <v xml:space="preserve">  •    TABELA DE CUSTOS UNITÁRIOS DE INSUMOS E SERVIÇOS - LICITANTE - ANEXO VII.A</v>
      </c>
      <c r="B17" s="239"/>
    </row>
    <row r="18" spans="1:11" x14ac:dyDescent="0.25">
      <c r="A18" s="239" t="str">
        <f>A11</f>
        <v xml:space="preserve">  •    COMPOSIÇÃO DAS TAXAS DE BDI – LICITANTE - ANEXO VII.A</v>
      </c>
      <c r="B18" s="239"/>
    </row>
    <row r="19" spans="1:11" x14ac:dyDescent="0.25">
      <c r="A19" s="239" t="str">
        <f>A12</f>
        <v xml:space="preserve">  •    COMPOSIÇÃO DOS ENCARGOS SOCIAIS E TRABALHISTAS  – LICITANTE - ANEXO IX.A</v>
      </c>
      <c r="B19" s="239"/>
    </row>
    <row r="20" spans="1:11" ht="9.9499999999999993" customHeight="1" x14ac:dyDescent="0.25">
      <c r="A20" s="240"/>
      <c r="B20" s="240"/>
    </row>
    <row r="21" spans="1:11" ht="15" customHeight="1" x14ac:dyDescent="0.25">
      <c r="A21" s="458" t="s">
        <v>426</v>
      </c>
      <c r="B21" s="458"/>
      <c r="C21" s="458"/>
      <c r="D21" s="458"/>
      <c r="E21" s="458"/>
      <c r="F21" s="458"/>
      <c r="G21" s="458"/>
      <c r="H21" s="458"/>
      <c r="I21" s="458"/>
      <c r="J21" s="458"/>
      <c r="K21" s="458"/>
    </row>
    <row r="22" spans="1:11" ht="15" customHeight="1" x14ac:dyDescent="0.25">
      <c r="A22" s="241"/>
      <c r="B22" s="458" t="s">
        <v>1223</v>
      </c>
      <c r="C22" s="458"/>
      <c r="D22" s="458"/>
      <c r="E22" s="458"/>
      <c r="F22" s="458"/>
      <c r="G22" s="458"/>
      <c r="H22" s="458"/>
      <c r="I22" s="458"/>
      <c r="J22" s="458"/>
      <c r="K22" s="458"/>
    </row>
    <row r="23" spans="1:11" ht="15" customHeight="1" x14ac:dyDescent="0.25">
      <c r="A23" s="241"/>
      <c r="B23" s="458"/>
      <c r="C23" s="458"/>
      <c r="D23" s="458"/>
      <c r="E23" s="458"/>
      <c r="F23" s="458"/>
      <c r="G23" s="458"/>
      <c r="H23" s="458"/>
      <c r="I23" s="458"/>
      <c r="J23" s="458"/>
      <c r="K23" s="458"/>
    </row>
    <row r="24" spans="1:11" ht="15" customHeight="1" x14ac:dyDescent="0.25">
      <c r="A24" s="241"/>
      <c r="B24" s="458"/>
      <c r="C24" s="458"/>
      <c r="D24" s="458"/>
      <c r="E24" s="458"/>
      <c r="F24" s="458"/>
      <c r="G24" s="458"/>
      <c r="H24" s="458"/>
      <c r="I24" s="458"/>
      <c r="J24" s="458"/>
      <c r="K24" s="458"/>
    </row>
    <row r="25" spans="1:11" x14ac:dyDescent="0.25">
      <c r="A25" s="242"/>
      <c r="B25" s="458"/>
      <c r="C25" s="458"/>
      <c r="D25" s="458"/>
      <c r="E25" s="458"/>
      <c r="F25" s="458"/>
      <c r="G25" s="458"/>
      <c r="H25" s="458"/>
      <c r="I25" s="458"/>
      <c r="J25" s="458"/>
      <c r="K25" s="458"/>
    </row>
    <row r="26" spans="1:11" ht="15" customHeight="1" x14ac:dyDescent="0.25">
      <c r="A26" s="241"/>
      <c r="B26" s="752" t="s">
        <v>1224</v>
      </c>
      <c r="C26" s="458"/>
      <c r="D26" s="458"/>
      <c r="E26" s="458"/>
      <c r="F26" s="458"/>
      <c r="G26" s="458"/>
      <c r="H26" s="458"/>
      <c r="I26" s="458"/>
      <c r="J26" s="458"/>
      <c r="K26" s="458"/>
    </row>
    <row r="27" spans="1:11" x14ac:dyDescent="0.25">
      <c r="A27" s="241"/>
      <c r="B27" s="458"/>
      <c r="C27" s="458"/>
      <c r="D27" s="458"/>
      <c r="E27" s="458"/>
      <c r="F27" s="458"/>
      <c r="G27" s="458"/>
      <c r="H27" s="458"/>
      <c r="I27" s="458"/>
      <c r="J27" s="458"/>
      <c r="K27" s="458"/>
    </row>
    <row r="28" spans="1:11" ht="15" customHeight="1" x14ac:dyDescent="0.25">
      <c r="A28" s="241"/>
      <c r="B28" s="458" t="s">
        <v>1225</v>
      </c>
      <c r="C28" s="458"/>
      <c r="D28" s="458"/>
      <c r="E28" s="458"/>
      <c r="F28" s="458"/>
      <c r="G28" s="458"/>
      <c r="H28" s="458"/>
      <c r="I28" s="458"/>
      <c r="J28" s="458"/>
      <c r="K28" s="458"/>
    </row>
    <row r="29" spans="1:11" x14ac:dyDescent="0.25">
      <c r="A29" s="241"/>
      <c r="B29" s="458"/>
      <c r="C29" s="458"/>
      <c r="D29" s="458"/>
      <c r="E29" s="458"/>
      <c r="F29" s="458"/>
      <c r="G29" s="458"/>
      <c r="H29" s="458"/>
      <c r="I29" s="458"/>
      <c r="J29" s="458"/>
      <c r="K29" s="458"/>
    </row>
    <row r="30" spans="1:11" x14ac:dyDescent="0.25">
      <c r="A30" s="241"/>
      <c r="B30" s="458"/>
      <c r="C30" s="458"/>
      <c r="D30" s="458"/>
      <c r="E30" s="458"/>
      <c r="F30" s="458"/>
      <c r="G30" s="458"/>
      <c r="H30" s="458"/>
      <c r="I30" s="458"/>
      <c r="J30" s="458"/>
      <c r="K30" s="458"/>
    </row>
    <row r="31" spans="1:11" x14ac:dyDescent="0.25">
      <c r="A31" s="241"/>
      <c r="B31" s="458"/>
      <c r="C31" s="458"/>
      <c r="D31" s="458"/>
      <c r="E31" s="458"/>
      <c r="F31" s="458"/>
      <c r="G31" s="458"/>
      <c r="H31" s="458"/>
      <c r="I31" s="458"/>
      <c r="J31" s="458"/>
      <c r="K31" s="458"/>
    </row>
    <row r="32" spans="1:11" ht="9.9499999999999993" customHeight="1" x14ac:dyDescent="0.25">
      <c r="A32" s="241"/>
      <c r="B32" s="241"/>
      <c r="C32" s="241"/>
      <c r="D32" s="241"/>
      <c r="E32" s="241"/>
      <c r="F32" s="241"/>
      <c r="G32" s="241"/>
      <c r="H32" s="241"/>
      <c r="I32" s="241"/>
      <c r="J32" s="241"/>
      <c r="K32" s="241"/>
    </row>
    <row r="33" spans="1:11" ht="15" customHeight="1" x14ac:dyDescent="0.25">
      <c r="A33" s="752" t="s">
        <v>1226</v>
      </c>
      <c r="B33" s="458"/>
      <c r="C33" s="458"/>
      <c r="D33" s="458"/>
      <c r="E33" s="458"/>
      <c r="F33" s="458"/>
      <c r="G33" s="458"/>
      <c r="H33" s="458"/>
      <c r="I33" s="458"/>
      <c r="J33" s="458"/>
      <c r="K33" s="458"/>
    </row>
    <row r="34" spans="1:11" x14ac:dyDescent="0.25">
      <c r="A34" s="458"/>
      <c r="B34" s="458"/>
      <c r="C34" s="458"/>
      <c r="D34" s="458"/>
      <c r="E34" s="458"/>
      <c r="F34" s="458"/>
      <c r="G34" s="458"/>
      <c r="H34" s="458"/>
      <c r="I34" s="458"/>
      <c r="J34" s="458"/>
      <c r="K34" s="458"/>
    </row>
    <row r="35" spans="1:11" x14ac:dyDescent="0.25">
      <c r="A35" s="241"/>
      <c r="B35" s="457"/>
      <c r="C35" s="457"/>
      <c r="D35" s="457"/>
      <c r="E35" s="457"/>
      <c r="F35" s="457"/>
      <c r="G35" s="457"/>
      <c r="H35" s="457"/>
      <c r="I35" s="457"/>
      <c r="J35" s="457"/>
      <c r="K35" s="457"/>
    </row>
    <row r="36" spans="1:11" x14ac:dyDescent="0.25">
      <c r="A36" s="464" t="s">
        <v>1227</v>
      </c>
      <c r="B36" s="464"/>
      <c r="C36" s="464"/>
      <c r="D36" s="464"/>
      <c r="E36" s="464"/>
      <c r="F36" s="464"/>
      <c r="G36" s="464"/>
      <c r="H36" s="464"/>
      <c r="I36" s="464"/>
      <c r="J36" s="464"/>
      <c r="K36" s="464"/>
    </row>
    <row r="37" spans="1:11" x14ac:dyDescent="0.25">
      <c r="A37" s="464"/>
      <c r="B37" s="464"/>
      <c r="C37" s="464"/>
      <c r="D37" s="464"/>
      <c r="E37" s="464"/>
      <c r="F37" s="464"/>
      <c r="G37" s="464"/>
      <c r="H37" s="464"/>
      <c r="I37" s="464"/>
      <c r="J37" s="464"/>
      <c r="K37" s="464"/>
    </row>
    <row r="38" spans="1:11" x14ac:dyDescent="0.25">
      <c r="A38" s="464"/>
      <c r="B38" s="464"/>
      <c r="C38" s="464"/>
      <c r="D38" s="464"/>
      <c r="E38" s="464"/>
      <c r="F38" s="464"/>
      <c r="G38" s="464"/>
      <c r="H38" s="464"/>
      <c r="I38" s="464"/>
      <c r="J38" s="464"/>
      <c r="K38" s="464"/>
    </row>
    <row r="39" spans="1:11" x14ac:dyDescent="0.25">
      <c r="A39" s="464"/>
      <c r="B39" s="464"/>
      <c r="C39" s="464"/>
      <c r="D39" s="464"/>
      <c r="E39" s="464"/>
      <c r="F39" s="464"/>
      <c r="G39" s="464"/>
      <c r="H39" s="464"/>
      <c r="I39" s="464"/>
      <c r="J39" s="464"/>
      <c r="K39" s="464"/>
    </row>
    <row r="40" spans="1:11" ht="12" customHeight="1" x14ac:dyDescent="0.25"/>
    <row r="41" spans="1:11" x14ac:dyDescent="0.25">
      <c r="A41" s="458" t="s">
        <v>427</v>
      </c>
      <c r="B41" s="458"/>
      <c r="C41" s="458"/>
      <c r="D41" s="458"/>
      <c r="E41" s="458"/>
      <c r="F41" s="458"/>
      <c r="G41" s="458"/>
      <c r="H41" s="458"/>
      <c r="I41" s="458"/>
      <c r="J41" s="458"/>
      <c r="K41" s="458"/>
    </row>
    <row r="42" spans="1:11" x14ac:dyDescent="0.25">
      <c r="A42" s="458"/>
      <c r="B42" s="458"/>
      <c r="C42" s="458"/>
      <c r="D42" s="458"/>
      <c r="E42" s="458"/>
      <c r="F42" s="458"/>
      <c r="G42" s="458"/>
      <c r="H42" s="458"/>
      <c r="I42" s="458"/>
      <c r="J42" s="458"/>
      <c r="K42" s="458"/>
    </row>
    <row r="43" spans="1:11" x14ac:dyDescent="0.25">
      <c r="A43" s="242"/>
      <c r="B43" s="242"/>
      <c r="C43" s="243"/>
      <c r="D43" s="243"/>
      <c r="E43" s="243"/>
      <c r="F43" s="243"/>
      <c r="G43" s="243"/>
      <c r="H43" s="243"/>
      <c r="I43" s="243"/>
      <c r="J43" s="243"/>
      <c r="K43" s="243"/>
    </row>
    <row r="44" spans="1:11" ht="15" customHeight="1" x14ac:dyDescent="0.25">
      <c r="A44" s="465" t="s">
        <v>423</v>
      </c>
      <c r="B44" s="465"/>
      <c r="C44" s="465"/>
      <c r="D44" s="465"/>
      <c r="E44" s="465"/>
      <c r="F44" s="465"/>
      <c r="G44" s="465"/>
      <c r="H44" s="465"/>
      <c r="I44" s="465"/>
      <c r="J44" s="465"/>
      <c r="K44" s="465"/>
    </row>
    <row r="45" spans="1:11" x14ac:dyDescent="0.25">
      <c r="A45" s="465"/>
      <c r="B45" s="465"/>
      <c r="C45" s="465"/>
      <c r="D45" s="465"/>
      <c r="E45" s="465"/>
      <c r="F45" s="465"/>
      <c r="G45" s="465"/>
      <c r="H45" s="465"/>
      <c r="I45" s="465"/>
      <c r="J45" s="465"/>
      <c r="K45" s="465"/>
    </row>
    <row r="46" spans="1:11" x14ac:dyDescent="0.25">
      <c r="A46" s="465"/>
      <c r="B46" s="465"/>
      <c r="C46" s="465"/>
      <c r="D46" s="465"/>
      <c r="E46" s="465"/>
      <c r="F46" s="465"/>
      <c r="G46" s="465"/>
      <c r="H46" s="465"/>
      <c r="I46" s="465"/>
      <c r="J46" s="465"/>
      <c r="K46" s="465"/>
    </row>
    <row r="47" spans="1:11" x14ac:dyDescent="0.25">
      <c r="A47" s="243"/>
      <c r="B47" s="243"/>
      <c r="C47" s="243"/>
      <c r="D47" s="243"/>
      <c r="E47" s="243"/>
      <c r="F47" s="243"/>
      <c r="G47" s="243"/>
      <c r="H47" s="243"/>
      <c r="I47" s="243"/>
      <c r="J47" s="243"/>
      <c r="K47" s="243"/>
    </row>
    <row r="48" spans="1:11" x14ac:dyDescent="0.25">
      <c r="A48" s="244"/>
      <c r="B48" s="244"/>
      <c r="C48" s="244"/>
      <c r="D48" s="244"/>
      <c r="E48" s="244"/>
      <c r="F48" s="244"/>
      <c r="G48" s="244"/>
      <c r="H48" s="244"/>
      <c r="I48" s="244"/>
      <c r="J48" s="244"/>
      <c r="K48" s="244"/>
    </row>
    <row r="49" spans="1:11" x14ac:dyDescent="0.25">
      <c r="A49" s="244"/>
      <c r="B49" s="244"/>
      <c r="C49" s="244"/>
      <c r="D49" s="244"/>
      <c r="E49" s="244"/>
      <c r="F49" s="244"/>
      <c r="G49" s="244"/>
      <c r="H49" s="244"/>
      <c r="I49" s="244"/>
      <c r="J49" s="244"/>
      <c r="K49" s="244"/>
    </row>
    <row r="50" spans="1:11" x14ac:dyDescent="0.25">
      <c r="A50" s="244"/>
      <c r="B50" s="244"/>
      <c r="C50" s="244"/>
      <c r="D50" s="244"/>
      <c r="E50" s="244"/>
      <c r="F50" s="244"/>
      <c r="G50" s="244"/>
      <c r="H50" s="244"/>
      <c r="I50" s="244"/>
      <c r="J50" s="244"/>
      <c r="K50" s="244"/>
    </row>
  </sheetData>
  <sheetProtection algorithmName="SHA-512" hashValue="tnvkg4UGiBwZhL/74OdU1g8h5fVMvcEj5IZN6gmz2+43MtQSuP6UPVe6VnEgg2PQfM5OgL+wGvDcsz2tALU+HA==" saltValue="eENixFWYnpGLxmpeWoSa3w==" spinCount="100000" sheet="1" selectLockedCells="1"/>
  <mergeCells count="11">
    <mergeCell ref="B28:K31"/>
    <mergeCell ref="A33:K34"/>
    <mergeCell ref="A36:K39"/>
    <mergeCell ref="A41:K42"/>
    <mergeCell ref="A44:K46"/>
    <mergeCell ref="B26:K27"/>
    <mergeCell ref="A1:K2"/>
    <mergeCell ref="A3:K3"/>
    <mergeCell ref="A14:K14"/>
    <mergeCell ref="A21:K21"/>
    <mergeCell ref="B22:K25"/>
  </mergeCells>
  <printOptions horizontalCentered="1"/>
  <pageMargins left="0.51181102362204722" right="0.51181102362204722" top="0.52" bottom="0.68" header="0.31496062992125984" footer="0.42"/>
  <pageSetup paperSize="9" scale="95" orientation="portrait" r:id="rId1"/>
  <headerFooter>
    <oddFooter>&amp;C&amp;"-,Negrito itálico"Página &amp;P /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379"/>
  <sheetViews>
    <sheetView view="pageBreakPreview" zoomScaleNormal="100" zoomScaleSheetLayoutView="100" workbookViewId="0">
      <selection activeCell="C22" sqref="C22"/>
    </sheetView>
  </sheetViews>
  <sheetFormatPr defaultRowHeight="12.75" x14ac:dyDescent="0.2"/>
  <cols>
    <col min="1" max="1" width="10.28515625" style="356" bestFit="1" customWidth="1"/>
    <col min="4" max="4" width="10.28515625" customWidth="1"/>
    <col min="12" max="12" width="32.140625" bestFit="1" customWidth="1"/>
  </cols>
  <sheetData>
    <row r="1" spans="1:12" ht="13.5" thickBot="1" x14ac:dyDescent="0.25">
      <c r="A1" s="490" t="s">
        <v>990</v>
      </c>
      <c r="B1" s="491"/>
      <c r="C1" s="491"/>
      <c r="D1" s="491"/>
      <c r="E1" s="491"/>
      <c r="F1" s="491"/>
      <c r="G1" s="491"/>
      <c r="H1" s="492"/>
      <c r="J1" s="261" t="s">
        <v>996</v>
      </c>
      <c r="K1">
        <v>1200</v>
      </c>
    </row>
    <row r="2" spans="1:12" ht="13.5" thickBot="1" x14ac:dyDescent="0.25">
      <c r="A2" s="348" t="str">
        <f>'A IV.A'!A14</f>
        <v>1.0</v>
      </c>
      <c r="B2" s="493" t="str">
        <f>'A IV.A'!B14</f>
        <v>CANTEIRO DE OBRAS</v>
      </c>
      <c r="C2" s="493"/>
      <c r="D2" s="493"/>
      <c r="E2" s="493"/>
      <c r="F2" s="493"/>
      <c r="G2" s="493"/>
      <c r="H2" s="494"/>
      <c r="J2" s="261" t="s">
        <v>1026</v>
      </c>
      <c r="K2">
        <v>1.6</v>
      </c>
      <c r="L2" s="261" t="s">
        <v>1</v>
      </c>
    </row>
    <row r="3" spans="1:12" ht="13.5" thickBot="1" x14ac:dyDescent="0.25">
      <c r="A3" s="342" t="str">
        <f>'A IV.A'!A16</f>
        <v>1.1</v>
      </c>
      <c r="B3" s="262" t="str">
        <f>VLOOKUP(A3,'A IV.A'!$A$14:$M$172,2)</f>
        <v>CANTEIRO DE OBRAS (ITEM 6.0 DO TERMO DE REFERÊNCIA)</v>
      </c>
      <c r="C3" s="263"/>
      <c r="D3" s="263"/>
      <c r="E3" s="263"/>
      <c r="F3" s="263"/>
      <c r="G3" s="263"/>
      <c r="H3" s="264"/>
    </row>
    <row r="4" spans="1:12" hidden="1" x14ac:dyDescent="0.2">
      <c r="A4" s="349"/>
      <c r="H4" s="265"/>
    </row>
    <row r="5" spans="1:12" hidden="1" x14ac:dyDescent="0.2">
      <c r="A5" s="349"/>
      <c r="H5" s="265"/>
    </row>
    <row r="6" spans="1:12" hidden="1" x14ac:dyDescent="0.2">
      <c r="A6" s="349"/>
      <c r="H6" s="265"/>
    </row>
    <row r="7" spans="1:12" hidden="1" x14ac:dyDescent="0.2">
      <c r="A7" s="349"/>
      <c r="H7" s="265"/>
    </row>
    <row r="8" spans="1:12" hidden="1" x14ac:dyDescent="0.2">
      <c r="A8" s="349"/>
      <c r="H8" s="265"/>
    </row>
    <row r="9" spans="1:12" hidden="1" x14ac:dyDescent="0.2">
      <c r="A9" s="349"/>
      <c r="H9" s="265"/>
    </row>
    <row r="10" spans="1:12" hidden="1" x14ac:dyDescent="0.2">
      <c r="A10" s="349"/>
      <c r="H10" s="265"/>
    </row>
    <row r="11" spans="1:12" hidden="1" x14ac:dyDescent="0.2">
      <c r="A11" s="349"/>
      <c r="H11" s="265"/>
    </row>
    <row r="12" spans="1:12" hidden="1" x14ac:dyDescent="0.2">
      <c r="A12" s="349"/>
      <c r="H12" s="265"/>
    </row>
    <row r="13" spans="1:12" hidden="1" x14ac:dyDescent="0.2">
      <c r="A13" s="349"/>
      <c r="H13" s="265"/>
    </row>
    <row r="14" spans="1:12" hidden="1" x14ac:dyDescent="0.2">
      <c r="A14" s="349"/>
      <c r="H14" s="265"/>
    </row>
    <row r="15" spans="1:12" hidden="1" x14ac:dyDescent="0.2">
      <c r="A15" s="349"/>
      <c r="H15" s="265"/>
    </row>
    <row r="16" spans="1:12" ht="13.5" hidden="1" thickBot="1" x14ac:dyDescent="0.25">
      <c r="A16" s="350"/>
      <c r="B16" s="266"/>
      <c r="C16" s="266"/>
      <c r="D16" s="266"/>
      <c r="E16" s="266"/>
      <c r="F16" s="266"/>
      <c r="G16" s="266"/>
      <c r="H16" s="267"/>
    </row>
    <row r="17" spans="1:8" x14ac:dyDescent="0.2">
      <c r="A17" s="342" t="str">
        <f>'A IV.A'!A17</f>
        <v>1.2</v>
      </c>
      <c r="B17" s="466" t="str">
        <f>VLOOKUP(A17,'A IV.A'!$A$14:$M$172,2)</f>
        <v>PLACA DE IDENTIFICAÇÃO DE OBRA, CONFORME PADRÃO SEMAE (ITEM 6.8 DO TERMO DE REFERÊNCIA)</v>
      </c>
      <c r="C17" s="466" t="str">
        <f>VLOOKUP(B17,'A IV.A'!$A$14:$M$172,2)</f>
        <v>SARJETA DE CONCRETO INCLUINDO PREPARO DE CAIXA, CONCRETO FCK=18MPA</v>
      </c>
      <c r="D17" s="466" t="str">
        <f>VLOOKUP(C17,'A IV.A'!$A$14:$M$172,2)</f>
        <v>SARJETA DE CONCRETO INCLUINDO PREPARO DE CAIXA, CONCRETO FCK=18MPA</v>
      </c>
      <c r="E17" s="466" t="str">
        <f>VLOOKUP(D17,'A IV.A'!$A$14:$M$172,2)</f>
        <v>SARJETA DE CONCRETO INCLUINDO PREPARO DE CAIXA, CONCRETO FCK=18MPA</v>
      </c>
      <c r="F17" s="466" t="str">
        <f>VLOOKUP(E17,'A IV.A'!$A$14:$M$172,2)</f>
        <v>SARJETA DE CONCRETO INCLUINDO PREPARO DE CAIXA, CONCRETO FCK=18MPA</v>
      </c>
      <c r="G17" s="466" t="str">
        <f>VLOOKUP(F17,'A IV.A'!$A$14:$M$172,2)</f>
        <v>SARJETA DE CONCRETO INCLUINDO PREPARO DE CAIXA, CONCRETO FCK=18MPA</v>
      </c>
      <c r="H17" s="467" t="str">
        <f>VLOOKUP(G17,'A IV.A'!$A$14:$M$172,2)</f>
        <v>SARJETA DE CONCRETO INCLUINDO PREPARO DE CAIXA, CONCRETO FCK=18MPA</v>
      </c>
    </row>
    <row r="18" spans="1:8" x14ac:dyDescent="0.2">
      <c r="A18" s="344"/>
      <c r="B18" s="468" t="e">
        <f>VLOOKUP(A18,'A IV.A'!$A$14:$M$172,2)</f>
        <v>#N/A</v>
      </c>
      <c r="C18" s="468" t="e">
        <f>VLOOKUP(B18,'A IV.A'!$A$14:$M$172,2)</f>
        <v>#N/A</v>
      </c>
      <c r="D18" s="468" t="e">
        <f>VLOOKUP(C18,'A IV.A'!$A$14:$M$172,2)</f>
        <v>#N/A</v>
      </c>
      <c r="E18" s="468" t="e">
        <f>VLOOKUP(D18,'A IV.A'!$A$14:$M$172,2)</f>
        <v>#N/A</v>
      </c>
      <c r="F18" s="468" t="e">
        <f>VLOOKUP(E18,'A IV.A'!$A$14:$M$172,2)</f>
        <v>#N/A</v>
      </c>
      <c r="G18" s="468" t="e">
        <f>VLOOKUP(F18,'A IV.A'!$A$14:$M$172,2)</f>
        <v>#N/A</v>
      </c>
      <c r="H18" s="469" t="e">
        <f>VLOOKUP(G18,'A IV.A'!$A$14:$M$172,2)</f>
        <v>#N/A</v>
      </c>
    </row>
    <row r="19" spans="1:8" x14ac:dyDescent="0.2">
      <c r="A19" s="349"/>
      <c r="H19" s="265"/>
    </row>
    <row r="20" spans="1:8" x14ac:dyDescent="0.2">
      <c r="A20" s="349"/>
      <c r="B20" s="261" t="s">
        <v>569</v>
      </c>
      <c r="C20" s="272">
        <v>1.5</v>
      </c>
      <c r="H20" s="265"/>
    </row>
    <row r="21" spans="1:8" x14ac:dyDescent="0.2">
      <c r="A21" s="349"/>
      <c r="B21" s="261" t="s">
        <v>570</v>
      </c>
      <c r="C21" s="272">
        <v>3</v>
      </c>
      <c r="H21" s="265"/>
    </row>
    <row r="22" spans="1:8" x14ac:dyDescent="0.2">
      <c r="A22" s="349"/>
      <c r="B22" s="261" t="s">
        <v>584</v>
      </c>
      <c r="C22" s="268">
        <v>20</v>
      </c>
      <c r="E22" t="s">
        <v>950</v>
      </c>
      <c r="H22" s="265"/>
    </row>
    <row r="23" spans="1:8" x14ac:dyDescent="0.2">
      <c r="A23" s="349"/>
      <c r="H23" s="265"/>
    </row>
    <row r="24" spans="1:8" x14ac:dyDescent="0.2">
      <c r="A24" s="349"/>
      <c r="H24" s="265"/>
    </row>
    <row r="25" spans="1:8" x14ac:dyDescent="0.2">
      <c r="A25" s="349"/>
      <c r="B25" s="261" t="s">
        <v>571</v>
      </c>
      <c r="C25" s="268">
        <f>C20*C21*C22</f>
        <v>90</v>
      </c>
      <c r="H25" s="265"/>
    </row>
    <row r="26" spans="1:8" ht="13.5" thickBot="1" x14ac:dyDescent="0.25">
      <c r="A26" s="349"/>
      <c r="H26" s="265"/>
    </row>
    <row r="27" spans="1:8" ht="13.5" thickBot="1" x14ac:dyDescent="0.25">
      <c r="A27" s="349"/>
      <c r="C27" s="269" t="s">
        <v>572</v>
      </c>
      <c r="D27" s="270">
        <f>C25</f>
        <v>90</v>
      </c>
      <c r="E27" s="271" t="s">
        <v>38</v>
      </c>
      <c r="H27" s="265"/>
    </row>
    <row r="28" spans="1:8" ht="13.5" thickBot="1" x14ac:dyDescent="0.25">
      <c r="A28" s="350"/>
      <c r="B28" s="266"/>
      <c r="C28" s="266"/>
      <c r="D28" s="266"/>
      <c r="E28" s="266"/>
      <c r="F28" s="266"/>
      <c r="G28" s="266"/>
      <c r="H28" s="267"/>
    </row>
    <row r="29" spans="1:8" ht="13.5" thickBot="1" x14ac:dyDescent="0.25">
      <c r="A29" s="342" t="str">
        <f>'A IV.A'!A22</f>
        <v>2.0</v>
      </c>
      <c r="B29" s="493" t="str">
        <f>VLOOKUP(A29,'A IV.A'!$A$14:$M$172,2)</f>
        <v>SERVIÇOS INICIAIS</v>
      </c>
      <c r="C29" s="493" t="str">
        <f>VLOOKUP(B29,'A IV.A'!$A$14:$M$172,2)</f>
        <v>SARJETA DE CONCRETO INCLUINDO PREPARO DE CAIXA, CONCRETO FCK=18MPA</v>
      </c>
      <c r="D29" s="493" t="str">
        <f>VLOOKUP(C29,'A IV.A'!$A$14:$M$172,2)</f>
        <v>SARJETA DE CONCRETO INCLUINDO PREPARO DE CAIXA, CONCRETO FCK=18MPA</v>
      </c>
      <c r="E29" s="493" t="str">
        <f>VLOOKUP(D29,'A IV.A'!$A$14:$M$172,2)</f>
        <v>SARJETA DE CONCRETO INCLUINDO PREPARO DE CAIXA, CONCRETO FCK=18MPA</v>
      </c>
      <c r="F29" s="493" t="str">
        <f>VLOOKUP(E29,'A IV.A'!$A$14:$M$172,2)</f>
        <v>SARJETA DE CONCRETO INCLUINDO PREPARO DE CAIXA, CONCRETO FCK=18MPA</v>
      </c>
      <c r="G29" s="493" t="str">
        <f>VLOOKUP(F29,'A IV.A'!$A$14:$M$172,2)</f>
        <v>SARJETA DE CONCRETO INCLUINDO PREPARO DE CAIXA, CONCRETO FCK=18MPA</v>
      </c>
      <c r="H29" s="494" t="str">
        <f>VLOOKUP(G29,'A IV.A'!$A$14:$M$172,2)</f>
        <v>SARJETA DE CONCRETO INCLUINDO PREPARO DE CAIXA, CONCRETO FCK=18MPA</v>
      </c>
    </row>
    <row r="30" spans="1:8" ht="13.5" thickBot="1" x14ac:dyDescent="0.25">
      <c r="A30" s="346" t="str">
        <f>'A IV.A'!A24</f>
        <v>2.1</v>
      </c>
      <c r="B30" s="470" t="str">
        <f>VLOOKUP(A30,'A IV.A'!$A$14:$M$172,2)</f>
        <v>RETIRADAS E DEMOLIÇÕES - ITEM 7.1 DO TERMO DE REFERÊNCIA</v>
      </c>
      <c r="C30" s="470"/>
      <c r="D30" s="470"/>
      <c r="E30" s="470"/>
      <c r="F30" s="470"/>
      <c r="G30" s="470"/>
      <c r="H30" s="471"/>
    </row>
    <row r="31" spans="1:8" x14ac:dyDescent="0.2">
      <c r="A31" s="342" t="str">
        <f>'A IV.A'!A25</f>
        <v>2.1.1</v>
      </c>
      <c r="B31" s="472" t="str">
        <f>VLOOKUP(A31,'A IV.A'!$A$14:$M$172,2)</f>
        <v>DEMOLIÇÃO MANUAL DE CALÇADAS E PISOS CIMENTADOS</v>
      </c>
      <c r="C31" s="472" t="str">
        <f>VLOOKUP(B31,'A IV.A'!$A$14:$M$172,2)</f>
        <v>SARJETA DE CONCRETO INCLUINDO PREPARO DE CAIXA, CONCRETO FCK=18MPA</v>
      </c>
      <c r="D31" s="472" t="str">
        <f>VLOOKUP(C31,'A IV.A'!$A$14:$M$172,2)</f>
        <v>SARJETA DE CONCRETO INCLUINDO PREPARO DE CAIXA, CONCRETO FCK=18MPA</v>
      </c>
      <c r="E31" s="472" t="str">
        <f>VLOOKUP(D31,'A IV.A'!$A$14:$M$172,2)</f>
        <v>SARJETA DE CONCRETO INCLUINDO PREPARO DE CAIXA, CONCRETO FCK=18MPA</v>
      </c>
      <c r="F31" s="472" t="str">
        <f>VLOOKUP(E31,'A IV.A'!$A$14:$M$172,2)</f>
        <v>SARJETA DE CONCRETO INCLUINDO PREPARO DE CAIXA, CONCRETO FCK=18MPA</v>
      </c>
      <c r="G31" s="472" t="str">
        <f>VLOOKUP(F31,'A IV.A'!$A$14:$M$172,2)</f>
        <v>SARJETA DE CONCRETO INCLUINDO PREPARO DE CAIXA, CONCRETO FCK=18MPA</v>
      </c>
      <c r="H31" s="473" t="str">
        <f>VLOOKUP(G31,'A IV.A'!$A$14:$M$172,2)</f>
        <v>SARJETA DE CONCRETO INCLUINDO PREPARO DE CAIXA, CONCRETO FCK=18MPA</v>
      </c>
    </row>
    <row r="32" spans="1:8" x14ac:dyDescent="0.2">
      <c r="A32" s="349"/>
      <c r="H32" s="265"/>
    </row>
    <row r="33" spans="1:10" x14ac:dyDescent="0.2">
      <c r="A33" s="349"/>
      <c r="B33" s="261"/>
      <c r="E33" s="261"/>
      <c r="H33" s="265"/>
    </row>
    <row r="34" spans="1:10" hidden="1" x14ac:dyDescent="0.2">
      <c r="A34" s="349"/>
      <c r="B34" s="261"/>
      <c r="E34" s="261"/>
      <c r="H34" s="265"/>
    </row>
    <row r="35" spans="1:10" hidden="1" x14ac:dyDescent="0.2">
      <c r="A35" s="349"/>
      <c r="H35" s="265"/>
    </row>
    <row r="36" spans="1:10" x14ac:dyDescent="0.2">
      <c r="A36" s="349"/>
      <c r="B36" s="261" t="s">
        <v>970</v>
      </c>
      <c r="D36" s="327">
        <v>150</v>
      </c>
      <c r="E36" s="261" t="s">
        <v>38</v>
      </c>
      <c r="H36" s="265"/>
    </row>
    <row r="37" spans="1:10" hidden="1" x14ac:dyDescent="0.2">
      <c r="A37" s="349"/>
      <c r="D37" s="268"/>
      <c r="H37" s="265"/>
    </row>
    <row r="38" spans="1:10" ht="13.5" thickBot="1" x14ac:dyDescent="0.25">
      <c r="A38" s="349"/>
      <c r="H38" s="265"/>
    </row>
    <row r="39" spans="1:10" ht="13.5" thickBot="1" x14ac:dyDescent="0.25">
      <c r="A39" s="349"/>
      <c r="C39" s="269" t="s">
        <v>572</v>
      </c>
      <c r="D39" s="270">
        <f>ROUNDUP(D36,0)</f>
        <v>150</v>
      </c>
      <c r="E39" s="271" t="s">
        <v>38</v>
      </c>
      <c r="H39" s="265"/>
    </row>
    <row r="40" spans="1:10" ht="13.5" thickBot="1" x14ac:dyDescent="0.25">
      <c r="A40" s="350"/>
      <c r="B40" s="266"/>
      <c r="C40" s="266"/>
      <c r="D40" s="266"/>
      <c r="E40" s="266"/>
      <c r="F40" s="266"/>
      <c r="G40" s="266"/>
      <c r="H40" s="267"/>
    </row>
    <row r="41" spans="1:10" x14ac:dyDescent="0.2">
      <c r="A41" s="342" t="str">
        <f>'A IV.A'!A26</f>
        <v>2.1.2</v>
      </c>
      <c r="B41" s="472" t="str">
        <f>'A IV.A'!B26</f>
        <v>DEMOLIÇÃO MECANIZADA DE CALÇADAS E PISOS CIMENTADOS</v>
      </c>
      <c r="C41" s="472" t="str">
        <f>VLOOKUP(B41,'A IV.A'!$A$14:$M$172,2)</f>
        <v>SARJETA DE CONCRETO INCLUINDO PREPARO DE CAIXA, CONCRETO FCK=18MPA</v>
      </c>
      <c r="D41" s="472" t="str">
        <f>VLOOKUP(C41,'A IV.A'!$A$14:$M$172,2)</f>
        <v>SARJETA DE CONCRETO INCLUINDO PREPARO DE CAIXA, CONCRETO FCK=18MPA</v>
      </c>
      <c r="E41" s="472" t="str">
        <f>VLOOKUP(D41,'A IV.A'!$A$14:$M$172,2)</f>
        <v>SARJETA DE CONCRETO INCLUINDO PREPARO DE CAIXA, CONCRETO FCK=18MPA</v>
      </c>
      <c r="F41" s="472" t="str">
        <f>VLOOKUP(E41,'A IV.A'!$A$14:$M$172,2)</f>
        <v>SARJETA DE CONCRETO INCLUINDO PREPARO DE CAIXA, CONCRETO FCK=18MPA</v>
      </c>
      <c r="G41" s="472" t="str">
        <f>VLOOKUP(F41,'A IV.A'!$A$14:$M$172,2)</f>
        <v>SARJETA DE CONCRETO INCLUINDO PREPARO DE CAIXA, CONCRETO FCK=18MPA</v>
      </c>
      <c r="H41" s="473" t="str">
        <f>VLOOKUP(G41,'A IV.A'!$A$14:$M$172,2)</f>
        <v>SARJETA DE CONCRETO INCLUINDO PREPARO DE CAIXA, CONCRETO FCK=18MPA</v>
      </c>
    </row>
    <row r="42" spans="1:10" x14ac:dyDescent="0.2">
      <c r="A42" s="349"/>
      <c r="H42" s="265"/>
    </row>
    <row r="43" spans="1:10" x14ac:dyDescent="0.2">
      <c r="A43" s="349"/>
      <c r="B43" s="261"/>
      <c r="E43" s="261"/>
      <c r="H43" s="265"/>
    </row>
    <row r="44" spans="1:10" x14ac:dyDescent="0.2">
      <c r="A44" s="349"/>
      <c r="B44" s="261"/>
      <c r="E44" s="261"/>
      <c r="H44" s="265"/>
    </row>
    <row r="45" spans="1:10" x14ac:dyDescent="0.2">
      <c r="A45" s="349"/>
      <c r="B45" s="261" t="s">
        <v>968</v>
      </c>
      <c r="D45">
        <v>500</v>
      </c>
      <c r="E45" s="261" t="s">
        <v>38</v>
      </c>
      <c r="H45" s="265"/>
      <c r="J45" s="268"/>
    </row>
    <row r="46" spans="1:10" hidden="1" x14ac:dyDescent="0.2">
      <c r="A46" s="349"/>
      <c r="H46" s="265"/>
    </row>
    <row r="47" spans="1:10" hidden="1" x14ac:dyDescent="0.2">
      <c r="A47" s="349"/>
      <c r="B47" s="261"/>
      <c r="H47" s="265"/>
    </row>
    <row r="48" spans="1:10" hidden="1" x14ac:dyDescent="0.2">
      <c r="A48" s="349"/>
      <c r="D48" s="268"/>
      <c r="H48" s="265"/>
    </row>
    <row r="49" spans="1:8" x14ac:dyDescent="0.2">
      <c r="A49" s="349"/>
      <c r="H49" s="265"/>
    </row>
    <row r="50" spans="1:8" ht="13.5" thickBot="1" x14ac:dyDescent="0.25">
      <c r="A50" s="349"/>
      <c r="H50" s="265"/>
    </row>
    <row r="51" spans="1:8" ht="13.5" thickBot="1" x14ac:dyDescent="0.25">
      <c r="A51" s="349"/>
      <c r="C51" s="269" t="s">
        <v>572</v>
      </c>
      <c r="D51" s="270">
        <f>D45</f>
        <v>500</v>
      </c>
      <c r="E51" s="271" t="s">
        <v>38</v>
      </c>
      <c r="H51" s="265"/>
    </row>
    <row r="52" spans="1:8" ht="13.5" thickBot="1" x14ac:dyDescent="0.25">
      <c r="A52" s="350"/>
      <c r="B52" s="266"/>
      <c r="C52" s="266"/>
      <c r="D52" s="266"/>
      <c r="E52" s="266"/>
      <c r="F52" s="266"/>
      <c r="G52" s="266"/>
      <c r="H52" s="267"/>
    </row>
    <row r="53" spans="1:8" ht="26.1" customHeight="1" x14ac:dyDescent="0.2">
      <c r="A53" s="342" t="e">
        <f>'A IV.A'!#REF!</f>
        <v>#REF!</v>
      </c>
      <c r="B53" s="474" t="e">
        <f>'A IV.A'!#REF!</f>
        <v>#REF!</v>
      </c>
      <c r="C53" s="474" t="e">
        <f>VLOOKUP(B53,'A IV.A'!$A$14:$M$172,2)</f>
        <v>#REF!</v>
      </c>
      <c r="D53" s="474" t="e">
        <f>VLOOKUP(C53,'A IV.A'!$A$14:$M$172,2)</f>
        <v>#REF!</v>
      </c>
      <c r="E53" s="474" t="e">
        <f>VLOOKUP(D53,'A IV.A'!$A$14:$M$172,2)</f>
        <v>#REF!</v>
      </c>
      <c r="F53" s="474" t="e">
        <f>VLOOKUP(E53,'A IV.A'!$A$14:$M$172,2)</f>
        <v>#REF!</v>
      </c>
      <c r="G53" s="474" t="e">
        <f>VLOOKUP(F53,'A IV.A'!$A$14:$M$172,2)</f>
        <v>#REF!</v>
      </c>
      <c r="H53" s="475" t="e">
        <f>VLOOKUP(G53,'A IV.A'!$A$14:$M$172,2)</f>
        <v>#REF!</v>
      </c>
    </row>
    <row r="54" spans="1:8" x14ac:dyDescent="0.2">
      <c r="A54" s="349"/>
      <c r="H54" s="265"/>
    </row>
    <row r="55" spans="1:8" hidden="1" x14ac:dyDescent="0.2">
      <c r="A55" s="349"/>
      <c r="B55" s="261"/>
      <c r="E55" s="261"/>
      <c r="H55" s="265"/>
    </row>
    <row r="56" spans="1:8" hidden="1" x14ac:dyDescent="0.2">
      <c r="A56" s="349"/>
      <c r="H56" s="265"/>
    </row>
    <row r="57" spans="1:8" hidden="1" x14ac:dyDescent="0.2">
      <c r="A57" s="349"/>
      <c r="B57" s="261"/>
      <c r="H57" s="265"/>
    </row>
    <row r="58" spans="1:8" hidden="1" x14ac:dyDescent="0.2">
      <c r="A58" s="349"/>
      <c r="D58" s="268"/>
      <c r="H58" s="265"/>
    </row>
    <row r="59" spans="1:8" x14ac:dyDescent="0.2">
      <c r="A59" s="349"/>
      <c r="D59" s="268"/>
      <c r="H59" s="265"/>
    </row>
    <row r="60" spans="1:8" x14ac:dyDescent="0.2">
      <c r="A60" s="349"/>
      <c r="B60" s="332" t="s">
        <v>970</v>
      </c>
      <c r="C60" s="328"/>
      <c r="D60" s="268">
        <v>47.8</v>
      </c>
      <c r="E60" s="327"/>
      <c r="H60" s="265"/>
    </row>
    <row r="61" spans="1:8" ht="13.5" thickBot="1" x14ac:dyDescent="0.25">
      <c r="A61" s="349"/>
      <c r="H61" s="265"/>
    </row>
    <row r="62" spans="1:8" ht="13.5" thickBot="1" x14ac:dyDescent="0.25">
      <c r="A62" s="349"/>
      <c r="C62" s="269" t="s">
        <v>572</v>
      </c>
      <c r="D62" s="270">
        <f>ROUND(D60,0)</f>
        <v>48</v>
      </c>
      <c r="E62" s="271" t="s">
        <v>39</v>
      </c>
      <c r="H62" s="265"/>
    </row>
    <row r="63" spans="1:8" ht="13.5" thickBot="1" x14ac:dyDescent="0.25">
      <c r="A63" s="350"/>
      <c r="B63" s="266"/>
      <c r="C63" s="266"/>
      <c r="D63" s="266"/>
      <c r="E63" s="266"/>
      <c r="F63" s="266"/>
      <c r="G63" s="266"/>
      <c r="H63" s="267"/>
    </row>
    <row r="64" spans="1:8" ht="26.1" customHeight="1" x14ac:dyDescent="0.2">
      <c r="A64" s="342" t="e">
        <f>'A IV.A'!#REF!</f>
        <v>#REF!</v>
      </c>
      <c r="B64" s="474" t="e">
        <f>'A IV.A'!#REF!</f>
        <v>#REF!</v>
      </c>
      <c r="C64" s="474" t="e">
        <f>VLOOKUP(B64,'A IV.A'!$A$14:$M$172,2)</f>
        <v>#REF!</v>
      </c>
      <c r="D64" s="474" t="e">
        <f>VLOOKUP(C64,'A IV.A'!$A$14:$M$172,2)</f>
        <v>#REF!</v>
      </c>
      <c r="E64" s="474" t="e">
        <f>VLOOKUP(D64,'A IV.A'!$A$14:$M$172,2)</f>
        <v>#REF!</v>
      </c>
      <c r="F64" s="474" t="e">
        <f>VLOOKUP(E64,'A IV.A'!$A$14:$M$172,2)</f>
        <v>#REF!</v>
      </c>
      <c r="G64" s="474" t="e">
        <f>VLOOKUP(F64,'A IV.A'!$A$14:$M$172,2)</f>
        <v>#REF!</v>
      </c>
      <c r="H64" s="475" t="e">
        <f>VLOOKUP(G64,'A IV.A'!$A$14:$M$172,2)</f>
        <v>#REF!</v>
      </c>
    </row>
    <row r="65" spans="1:8" x14ac:dyDescent="0.2">
      <c r="A65" s="349"/>
      <c r="H65" s="265"/>
    </row>
    <row r="66" spans="1:8" x14ac:dyDescent="0.2">
      <c r="A66" s="349"/>
      <c r="H66" s="265"/>
    </row>
    <row r="67" spans="1:8" x14ac:dyDescent="0.2">
      <c r="A67" s="349"/>
      <c r="D67" s="268"/>
      <c r="H67" s="265"/>
    </row>
    <row r="68" spans="1:8" x14ac:dyDescent="0.2">
      <c r="A68" s="349"/>
      <c r="B68" s="332" t="s">
        <v>970</v>
      </c>
      <c r="C68" s="328"/>
      <c r="D68" s="268">
        <f>170*1.8*0.15+200*1.5*0.15</f>
        <v>90.9</v>
      </c>
      <c r="E68" s="327"/>
      <c r="H68" s="265"/>
    </row>
    <row r="69" spans="1:8" ht="13.5" thickBot="1" x14ac:dyDescent="0.25">
      <c r="A69" s="349"/>
      <c r="H69" s="265"/>
    </row>
    <row r="70" spans="1:8" ht="13.5" thickBot="1" x14ac:dyDescent="0.25">
      <c r="A70" s="349"/>
      <c r="C70" s="269" t="s">
        <v>572</v>
      </c>
      <c r="D70" s="270">
        <f>ROUND(D68,0)</f>
        <v>91</v>
      </c>
      <c r="E70" s="271" t="s">
        <v>39</v>
      </c>
      <c r="H70" s="265"/>
    </row>
    <row r="71" spans="1:8" ht="13.5" thickBot="1" x14ac:dyDescent="0.25">
      <c r="A71" s="350"/>
      <c r="B71" s="266"/>
      <c r="C71" s="266"/>
      <c r="D71" s="266"/>
      <c r="E71" s="266"/>
      <c r="F71" s="266"/>
      <c r="G71" s="266"/>
      <c r="H71" s="267"/>
    </row>
    <row r="72" spans="1:8" ht="12.75" customHeight="1" x14ac:dyDescent="0.2">
      <c r="A72" s="342" t="e">
        <f>'A IV.A'!#REF!</f>
        <v>#REF!</v>
      </c>
      <c r="B72" s="262" t="e">
        <f>'A IV.A'!#REF!</f>
        <v>#REF!</v>
      </c>
      <c r="C72" s="262"/>
      <c r="D72" s="262"/>
      <c r="E72" s="262"/>
      <c r="F72" s="262"/>
      <c r="G72" s="262"/>
      <c r="H72" s="273"/>
    </row>
    <row r="73" spans="1:8" x14ac:dyDescent="0.2">
      <c r="A73" s="349"/>
      <c r="H73" s="265"/>
    </row>
    <row r="74" spans="1:8" x14ac:dyDescent="0.2">
      <c r="A74" s="349"/>
      <c r="B74" s="261" t="s">
        <v>970</v>
      </c>
      <c r="D74" s="268">
        <f>20</f>
        <v>20</v>
      </c>
      <c r="E74" s="261" t="s">
        <v>39</v>
      </c>
      <c r="H74" s="265"/>
    </row>
    <row r="75" spans="1:8" x14ac:dyDescent="0.2">
      <c r="A75" s="349"/>
      <c r="H75" s="265"/>
    </row>
    <row r="76" spans="1:8" ht="13.5" thickBot="1" x14ac:dyDescent="0.25">
      <c r="A76" s="349"/>
      <c r="D76" s="268"/>
      <c r="H76" s="265"/>
    </row>
    <row r="77" spans="1:8" ht="13.5" thickBot="1" x14ac:dyDescent="0.25">
      <c r="A77" s="349"/>
      <c r="C77" s="269" t="s">
        <v>572</v>
      </c>
      <c r="D77" s="270">
        <f>D74</f>
        <v>20</v>
      </c>
      <c r="E77" s="271" t="s">
        <v>39</v>
      </c>
      <c r="H77" s="265"/>
    </row>
    <row r="78" spans="1:8" ht="13.5" thickBot="1" x14ac:dyDescent="0.25">
      <c r="A78" s="350"/>
      <c r="B78" s="266"/>
      <c r="C78" s="266"/>
      <c r="D78" s="266"/>
      <c r="E78" s="266"/>
      <c r="F78" s="266"/>
      <c r="G78" s="266"/>
      <c r="H78" s="267"/>
    </row>
    <row r="79" spans="1:8" x14ac:dyDescent="0.2">
      <c r="A79" s="342" t="e">
        <f>'A IV.A'!#REF!</f>
        <v>#REF!</v>
      </c>
      <c r="B79" s="466" t="e">
        <f>'A IV.A'!#REF!</f>
        <v>#REF!</v>
      </c>
      <c r="C79" s="466"/>
      <c r="D79" s="466"/>
      <c r="E79" s="466"/>
      <c r="F79" s="466"/>
      <c r="G79" s="466"/>
      <c r="H79" s="467"/>
    </row>
    <row r="80" spans="1:8" x14ac:dyDescent="0.2">
      <c r="A80" s="344"/>
      <c r="B80" s="468"/>
      <c r="C80" s="468"/>
      <c r="D80" s="468"/>
      <c r="E80" s="468"/>
      <c r="F80" s="468"/>
      <c r="G80" s="468"/>
      <c r="H80" s="469"/>
    </row>
    <row r="81" spans="1:8" x14ac:dyDescent="0.2">
      <c r="A81" s="349"/>
      <c r="H81" s="265"/>
    </row>
    <row r="82" spans="1:8" x14ac:dyDescent="0.2">
      <c r="A82" s="349"/>
      <c r="B82" s="261"/>
      <c r="E82" s="261"/>
      <c r="H82" s="265"/>
    </row>
    <row r="83" spans="1:8" x14ac:dyDescent="0.2">
      <c r="A83" s="349"/>
      <c r="H83" s="265"/>
    </row>
    <row r="84" spans="1:8" x14ac:dyDescent="0.2">
      <c r="A84" s="349"/>
      <c r="B84" s="261" t="s">
        <v>970</v>
      </c>
      <c r="D84" s="268">
        <v>20</v>
      </c>
      <c r="H84" s="265"/>
    </row>
    <row r="85" spans="1:8" x14ac:dyDescent="0.2">
      <c r="A85" s="349"/>
      <c r="D85" s="268"/>
      <c r="H85" s="265"/>
    </row>
    <row r="86" spans="1:8" ht="13.5" thickBot="1" x14ac:dyDescent="0.25">
      <c r="A86" s="349"/>
      <c r="D86" s="268"/>
      <c r="H86" s="265"/>
    </row>
    <row r="87" spans="1:8" ht="13.5" thickBot="1" x14ac:dyDescent="0.25">
      <c r="A87" s="349"/>
      <c r="C87" s="269" t="s">
        <v>572</v>
      </c>
      <c r="D87" s="270">
        <f>D84</f>
        <v>20</v>
      </c>
      <c r="E87" s="271" t="s">
        <v>39</v>
      </c>
      <c r="H87" s="265"/>
    </row>
    <row r="88" spans="1:8" ht="13.5" thickBot="1" x14ac:dyDescent="0.25">
      <c r="A88" s="350"/>
      <c r="B88" s="266"/>
      <c r="C88" s="266"/>
      <c r="D88" s="266"/>
      <c r="E88" s="266"/>
      <c r="F88" s="266"/>
      <c r="G88" s="266"/>
      <c r="H88" s="267"/>
    </row>
    <row r="89" spans="1:8" x14ac:dyDescent="0.2">
      <c r="A89" s="342" t="e">
        <f>'A IV.A'!#REF!</f>
        <v>#REF!</v>
      </c>
      <c r="B89" s="466" t="e">
        <f>'A IV.A'!#REF!</f>
        <v>#REF!</v>
      </c>
      <c r="C89" s="466"/>
      <c r="D89" s="466"/>
      <c r="E89" s="466"/>
      <c r="F89" s="466"/>
      <c r="G89" s="466"/>
      <c r="H89" s="467"/>
    </row>
    <row r="90" spans="1:8" x14ac:dyDescent="0.2">
      <c r="A90" s="344"/>
      <c r="B90" s="468"/>
      <c r="C90" s="468"/>
      <c r="D90" s="468"/>
      <c r="E90" s="468"/>
      <c r="F90" s="468"/>
      <c r="G90" s="468"/>
      <c r="H90" s="469"/>
    </row>
    <row r="91" spans="1:8" x14ac:dyDescent="0.2">
      <c r="A91" s="349"/>
      <c r="H91" s="265"/>
    </row>
    <row r="92" spans="1:8" x14ac:dyDescent="0.2">
      <c r="A92" s="349"/>
      <c r="H92" s="265"/>
    </row>
    <row r="93" spans="1:8" x14ac:dyDescent="0.2">
      <c r="A93" s="349"/>
      <c r="B93" s="261" t="s">
        <v>968</v>
      </c>
      <c r="D93">
        <v>50</v>
      </c>
      <c r="H93" s="265"/>
    </row>
    <row r="94" spans="1:8" ht="13.5" thickBot="1" x14ac:dyDescent="0.25">
      <c r="A94" s="349"/>
      <c r="D94" s="268"/>
      <c r="H94" s="265"/>
    </row>
    <row r="95" spans="1:8" ht="13.5" thickBot="1" x14ac:dyDescent="0.25">
      <c r="A95" s="349"/>
      <c r="C95" s="269" t="s">
        <v>572</v>
      </c>
      <c r="D95" s="270">
        <f>D93</f>
        <v>50</v>
      </c>
      <c r="E95" s="271" t="s">
        <v>38</v>
      </c>
      <c r="H95" s="265"/>
    </row>
    <row r="96" spans="1:8" ht="13.5" thickBot="1" x14ac:dyDescent="0.25">
      <c r="A96" s="350"/>
      <c r="B96" s="266"/>
      <c r="C96" s="266"/>
      <c r="D96" s="266"/>
      <c r="E96" s="266"/>
      <c r="F96" s="266"/>
      <c r="G96" s="266"/>
      <c r="H96" s="267"/>
    </row>
    <row r="97" spans="1:8" x14ac:dyDescent="0.2">
      <c r="A97" s="342" t="str">
        <f>'A IV.A'!A27</f>
        <v>2.1.3</v>
      </c>
      <c r="B97" s="466" t="str">
        <f>'A IV.A'!B27</f>
        <v>REMOÇÃO MANUAL DE GUIAS EM CONCRETO, COM OU SEM REAPROVEITAMENTO</v>
      </c>
      <c r="C97" s="466"/>
      <c r="D97" s="466"/>
      <c r="E97" s="466"/>
      <c r="F97" s="466"/>
      <c r="G97" s="466"/>
      <c r="H97" s="467"/>
    </row>
    <row r="98" spans="1:8" x14ac:dyDescent="0.2">
      <c r="A98" s="344"/>
      <c r="B98" s="468"/>
      <c r="C98" s="468"/>
      <c r="D98" s="468"/>
      <c r="E98" s="468"/>
      <c r="F98" s="468"/>
      <c r="G98" s="468"/>
      <c r="H98" s="469"/>
    </row>
    <row r="99" spans="1:8" x14ac:dyDescent="0.2">
      <c r="A99" s="349"/>
      <c r="H99" s="265"/>
    </row>
    <row r="100" spans="1:8" x14ac:dyDescent="0.2">
      <c r="A100" s="349"/>
      <c r="B100" s="261" t="s">
        <v>969</v>
      </c>
      <c r="D100" s="275">
        <v>100</v>
      </c>
      <c r="E100" s="261" t="s">
        <v>36</v>
      </c>
      <c r="H100" s="265"/>
    </row>
    <row r="101" spans="1:8" x14ac:dyDescent="0.2">
      <c r="A101" s="349"/>
      <c r="H101" s="265"/>
    </row>
    <row r="102" spans="1:8" ht="13.5" thickBot="1" x14ac:dyDescent="0.25">
      <c r="A102" s="349"/>
      <c r="H102" s="265"/>
    </row>
    <row r="103" spans="1:8" ht="13.5" thickBot="1" x14ac:dyDescent="0.25">
      <c r="A103" s="349"/>
      <c r="C103" s="269" t="s">
        <v>572</v>
      </c>
      <c r="D103" s="270">
        <f>D100</f>
        <v>100</v>
      </c>
      <c r="E103" s="271" t="s">
        <v>36</v>
      </c>
      <c r="H103" s="265"/>
    </row>
    <row r="104" spans="1:8" ht="13.5" thickBot="1" x14ac:dyDescent="0.25">
      <c r="A104" s="350"/>
      <c r="B104" s="266"/>
      <c r="C104" s="266"/>
      <c r="D104" s="266"/>
      <c r="E104" s="266"/>
      <c r="F104" s="266"/>
      <c r="G104" s="266"/>
      <c r="H104" s="267"/>
    </row>
    <row r="105" spans="1:8" x14ac:dyDescent="0.2">
      <c r="A105" s="342" t="str">
        <f>'A IV.A'!A28</f>
        <v>2.1.4</v>
      </c>
      <c r="B105" s="262" t="str">
        <f>'A IV.A'!B28</f>
        <v>DEMOLIÇÃO DE SARJETAS EM CONCRETO</v>
      </c>
      <c r="C105" s="262"/>
      <c r="D105" s="262"/>
      <c r="E105" s="262"/>
      <c r="F105" s="262"/>
      <c r="G105" s="262"/>
      <c r="H105" s="273"/>
    </row>
    <row r="106" spans="1:8" x14ac:dyDescent="0.2">
      <c r="A106" s="349"/>
      <c r="H106" s="265"/>
    </row>
    <row r="107" spans="1:8" x14ac:dyDescent="0.2">
      <c r="A107" s="349"/>
      <c r="B107" s="261" t="s">
        <v>970</v>
      </c>
      <c r="D107" s="268">
        <f>100*0.3</f>
        <v>30</v>
      </c>
      <c r="E107" s="261" t="s">
        <v>38</v>
      </c>
      <c r="H107" s="265"/>
    </row>
    <row r="108" spans="1:8" x14ac:dyDescent="0.2">
      <c r="A108" s="349"/>
      <c r="B108" s="261"/>
      <c r="H108" s="265"/>
    </row>
    <row r="109" spans="1:8" ht="13.5" thickBot="1" x14ac:dyDescent="0.25">
      <c r="A109" s="349"/>
      <c r="H109" s="265"/>
    </row>
    <row r="110" spans="1:8" ht="13.5" thickBot="1" x14ac:dyDescent="0.25">
      <c r="A110" s="349"/>
      <c r="C110" s="269" t="s">
        <v>572</v>
      </c>
      <c r="D110" s="270">
        <v>30</v>
      </c>
      <c r="E110" s="271" t="s">
        <v>38</v>
      </c>
      <c r="H110" s="265"/>
    </row>
    <row r="111" spans="1:8" ht="13.5" thickBot="1" x14ac:dyDescent="0.25">
      <c r="A111" s="350"/>
      <c r="B111" s="266"/>
      <c r="C111" s="266"/>
      <c r="D111" s="266"/>
      <c r="E111" s="266"/>
      <c r="F111" s="266"/>
      <c r="G111" s="266"/>
      <c r="H111" s="267"/>
    </row>
    <row r="112" spans="1:8" x14ac:dyDescent="0.2">
      <c r="A112" s="342" t="e">
        <f>'A IV.A'!#REF!</f>
        <v>#REF!</v>
      </c>
      <c r="B112" s="262" t="e">
        <f>'A IV.A'!#REF!</f>
        <v>#REF!</v>
      </c>
      <c r="C112" s="262"/>
      <c r="D112" s="262"/>
      <c r="E112" s="262"/>
      <c r="F112" s="262"/>
      <c r="G112" s="262"/>
      <c r="H112" s="273"/>
    </row>
    <row r="113" spans="1:8" x14ac:dyDescent="0.2">
      <c r="A113" s="349"/>
      <c r="H113" s="265"/>
    </row>
    <row r="114" spans="1:8" x14ac:dyDescent="0.2">
      <c r="A114" s="349"/>
      <c r="B114" s="261" t="s">
        <v>615</v>
      </c>
      <c r="H114" s="265"/>
    </row>
    <row r="115" spans="1:8" x14ac:dyDescent="0.2">
      <c r="A115" s="349"/>
      <c r="H115" s="265"/>
    </row>
    <row r="116" spans="1:8" x14ac:dyDescent="0.2">
      <c r="A116" s="349">
        <v>0.8</v>
      </c>
      <c r="B116" s="261" t="s">
        <v>574</v>
      </c>
      <c r="C116">
        <v>2.1</v>
      </c>
      <c r="D116" s="261" t="s">
        <v>585</v>
      </c>
      <c r="E116">
        <v>3</v>
      </c>
      <c r="F116" s="261" t="s">
        <v>616</v>
      </c>
      <c r="G116">
        <f>A116*C116*E116</f>
        <v>5.0400000000000009</v>
      </c>
      <c r="H116" s="284" t="s">
        <v>38</v>
      </c>
    </row>
    <row r="117" spans="1:8" ht="13.5" thickBot="1" x14ac:dyDescent="0.25">
      <c r="A117" s="349"/>
      <c r="H117" s="265"/>
    </row>
    <row r="118" spans="1:8" ht="13.5" thickBot="1" x14ac:dyDescent="0.25">
      <c r="A118" s="349"/>
      <c r="C118" s="269" t="s">
        <v>572</v>
      </c>
      <c r="D118" s="270">
        <f>ROUNDUP(G116,0)</f>
        <v>6</v>
      </c>
      <c r="E118" s="271" t="s">
        <v>38</v>
      </c>
      <c r="H118" s="265"/>
    </row>
    <row r="119" spans="1:8" ht="13.5" thickBot="1" x14ac:dyDescent="0.25">
      <c r="A119" s="350"/>
      <c r="B119" s="266"/>
      <c r="C119" s="266"/>
      <c r="D119" s="266"/>
      <c r="E119" s="266"/>
      <c r="F119" s="266"/>
      <c r="G119" s="266"/>
      <c r="H119" s="267"/>
    </row>
    <row r="120" spans="1:8" x14ac:dyDescent="0.2">
      <c r="A120" s="342" t="e">
        <f>'A IV.A'!#REF!</f>
        <v>#REF!</v>
      </c>
      <c r="B120" s="262" t="e">
        <f>'A IV.A'!#REF!</f>
        <v>#REF!</v>
      </c>
      <c r="C120" s="262"/>
      <c r="D120" s="262"/>
      <c r="E120" s="262"/>
      <c r="F120" s="262"/>
      <c r="G120" s="262"/>
      <c r="H120" s="273"/>
    </row>
    <row r="121" spans="1:8" x14ac:dyDescent="0.2">
      <c r="A121" s="349"/>
      <c r="H121" s="265"/>
    </row>
    <row r="122" spans="1:8" x14ac:dyDescent="0.2">
      <c r="A122" s="349"/>
      <c r="B122" s="261" t="s">
        <v>967</v>
      </c>
      <c r="D122" s="275">
        <v>3</v>
      </c>
      <c r="H122" s="265"/>
    </row>
    <row r="123" spans="1:8" x14ac:dyDescent="0.2">
      <c r="A123" s="349"/>
      <c r="H123" s="265"/>
    </row>
    <row r="124" spans="1:8" x14ac:dyDescent="0.2">
      <c r="A124" s="349"/>
      <c r="B124" s="261" t="s">
        <v>617</v>
      </c>
      <c r="H124" s="265"/>
    </row>
    <row r="125" spans="1:8" x14ac:dyDescent="0.2">
      <c r="A125" s="349"/>
      <c r="H125" s="265"/>
    </row>
    <row r="126" spans="1:8" x14ac:dyDescent="0.2">
      <c r="A126" s="349">
        <v>1.5</v>
      </c>
      <c r="B126" s="261" t="s">
        <v>574</v>
      </c>
      <c r="C126">
        <v>1</v>
      </c>
      <c r="D126" s="261" t="s">
        <v>585</v>
      </c>
      <c r="E126">
        <v>3</v>
      </c>
      <c r="F126" s="261" t="s">
        <v>616</v>
      </c>
      <c r="G126">
        <f>A126*C126*E126</f>
        <v>4.5</v>
      </c>
      <c r="H126" s="284" t="s">
        <v>38</v>
      </c>
    </row>
    <row r="127" spans="1:8" x14ac:dyDescent="0.2">
      <c r="A127" s="349"/>
      <c r="H127" s="265"/>
    </row>
    <row r="128" spans="1:8" x14ac:dyDescent="0.2">
      <c r="A128" s="349"/>
      <c r="C128" s="261" t="s">
        <v>573</v>
      </c>
      <c r="D128" s="275">
        <f>G126+D122</f>
        <v>7.5</v>
      </c>
      <c r="H128" s="265"/>
    </row>
    <row r="129" spans="1:8" ht="13.5" thickBot="1" x14ac:dyDescent="0.25">
      <c r="A129" s="349"/>
      <c r="H129" s="265"/>
    </row>
    <row r="130" spans="1:8" ht="13.5" thickBot="1" x14ac:dyDescent="0.25">
      <c r="A130" s="349"/>
      <c r="C130" s="269" t="s">
        <v>572</v>
      </c>
      <c r="D130" s="270">
        <f>ROUNDUP(D128,0)</f>
        <v>8</v>
      </c>
      <c r="E130" s="271" t="s">
        <v>38</v>
      </c>
      <c r="H130" s="265"/>
    </row>
    <row r="131" spans="1:8" ht="13.5" thickBot="1" x14ac:dyDescent="0.25">
      <c r="A131" s="350"/>
      <c r="B131" s="266"/>
      <c r="C131" s="266"/>
      <c r="D131" s="266"/>
      <c r="E131" s="266"/>
      <c r="F131" s="266"/>
      <c r="G131" s="266"/>
      <c r="H131" s="267"/>
    </row>
    <row r="132" spans="1:8" ht="12.75" customHeight="1" x14ac:dyDescent="0.2">
      <c r="A132" s="342" t="str">
        <f>'A IV.A'!A29</f>
        <v>2.1.5</v>
      </c>
      <c r="B132" s="466" t="str">
        <f>'A IV.A'!B29</f>
        <v>REMOÇÃO MANUAL DE PORTÃO, GRADE DE PROTEÇÃO E ESQUADRIAS METÁLICAS EM GERAL, COM OU SEM REAPROVEITAMENTO</v>
      </c>
      <c r="C132" s="466"/>
      <c r="D132" s="466"/>
      <c r="E132" s="466"/>
      <c r="F132" s="466"/>
      <c r="G132" s="466"/>
      <c r="H132" s="467"/>
    </row>
    <row r="133" spans="1:8" x14ac:dyDescent="0.2">
      <c r="A133" s="344"/>
      <c r="B133" s="468"/>
      <c r="C133" s="468"/>
      <c r="D133" s="468"/>
      <c r="E133" s="468"/>
      <c r="F133" s="468"/>
      <c r="G133" s="468"/>
      <c r="H133" s="469"/>
    </row>
    <row r="134" spans="1:8" x14ac:dyDescent="0.2">
      <c r="A134" s="344"/>
      <c r="B134" s="468"/>
      <c r="C134" s="468"/>
      <c r="D134" s="468"/>
      <c r="E134" s="468"/>
      <c r="F134" s="468"/>
      <c r="G134" s="468"/>
      <c r="H134" s="469"/>
    </row>
    <row r="135" spans="1:8" x14ac:dyDescent="0.2">
      <c r="A135" s="349"/>
      <c r="H135" s="265"/>
    </row>
    <row r="136" spans="1:8" x14ac:dyDescent="0.2">
      <c r="A136" s="349"/>
      <c r="B136" s="261" t="s">
        <v>970</v>
      </c>
      <c r="D136" s="268">
        <f>4*2*8</f>
        <v>64</v>
      </c>
      <c r="E136" s="261" t="s">
        <v>38</v>
      </c>
      <c r="H136" s="265"/>
    </row>
    <row r="137" spans="1:8" x14ac:dyDescent="0.2">
      <c r="A137" s="349"/>
      <c r="H137" s="265"/>
    </row>
    <row r="138" spans="1:8" x14ac:dyDescent="0.2">
      <c r="A138" s="349"/>
      <c r="C138" s="261"/>
      <c r="D138" s="268"/>
      <c r="H138" s="265"/>
    </row>
    <row r="139" spans="1:8" ht="13.5" thickBot="1" x14ac:dyDescent="0.25">
      <c r="A139" s="349"/>
      <c r="H139" s="265"/>
    </row>
    <row r="140" spans="1:8" ht="13.5" thickBot="1" x14ac:dyDescent="0.25">
      <c r="A140" s="349"/>
      <c r="C140" s="269" t="s">
        <v>572</v>
      </c>
      <c r="D140" s="270">
        <f>D136</f>
        <v>64</v>
      </c>
      <c r="E140" s="271" t="s">
        <v>38</v>
      </c>
      <c r="H140" s="265"/>
    </row>
    <row r="141" spans="1:8" ht="13.5" thickBot="1" x14ac:dyDescent="0.25">
      <c r="A141" s="350"/>
      <c r="B141" s="266"/>
      <c r="C141" s="266"/>
      <c r="D141" s="266"/>
      <c r="E141" s="266"/>
      <c r="F141" s="266"/>
      <c r="G141" s="266"/>
      <c r="H141" s="267"/>
    </row>
    <row r="142" spans="1:8" x14ac:dyDescent="0.2">
      <c r="A142" s="342" t="e">
        <f>'A IV.A'!#REF!</f>
        <v>#REF!</v>
      </c>
      <c r="B142" s="262" t="e">
        <f>'A IV.A'!#REF!</f>
        <v>#REF!</v>
      </c>
      <c r="C142" s="262"/>
      <c r="D142" s="262"/>
      <c r="E142" s="262"/>
      <c r="F142" s="262"/>
      <c r="G142" s="262"/>
      <c r="H142" s="273"/>
    </row>
    <row r="143" spans="1:8" x14ac:dyDescent="0.2">
      <c r="A143" s="349"/>
      <c r="H143" s="265"/>
    </row>
    <row r="144" spans="1:8" x14ac:dyDescent="0.2">
      <c r="A144" s="349"/>
      <c r="B144" s="261" t="s">
        <v>971</v>
      </c>
      <c r="D144" s="268">
        <f>'[8]GLOBAL GOM-A'!$D$35+(40*2)</f>
        <v>259.93</v>
      </c>
      <c r="E144" s="261" t="s">
        <v>38</v>
      </c>
      <c r="H144" s="265"/>
    </row>
    <row r="145" spans="1:8" x14ac:dyDescent="0.2">
      <c r="A145" s="349"/>
      <c r="H145" s="265"/>
    </row>
    <row r="146" spans="1:8" x14ac:dyDescent="0.2">
      <c r="A146" s="349"/>
      <c r="H146" s="265"/>
    </row>
    <row r="147" spans="1:8" ht="13.5" thickBot="1" x14ac:dyDescent="0.25">
      <c r="A147" s="349"/>
      <c r="H147" s="265"/>
    </row>
    <row r="148" spans="1:8" ht="13.5" thickBot="1" x14ac:dyDescent="0.25">
      <c r="A148" s="349"/>
      <c r="C148" s="269" t="s">
        <v>572</v>
      </c>
      <c r="D148" s="270">
        <f>ROUNDUP(D144,0)</f>
        <v>260</v>
      </c>
      <c r="E148" s="271" t="s">
        <v>38</v>
      </c>
      <c r="H148" s="265"/>
    </row>
    <row r="149" spans="1:8" ht="13.5" thickBot="1" x14ac:dyDescent="0.25">
      <c r="A149" s="350"/>
      <c r="B149" s="266"/>
      <c r="C149" s="266"/>
      <c r="D149" s="266"/>
      <c r="E149" s="266"/>
      <c r="F149" s="266"/>
      <c r="G149" s="266"/>
      <c r="H149" s="267"/>
    </row>
    <row r="150" spans="1:8" x14ac:dyDescent="0.2">
      <c r="A150" s="342" t="e">
        <f>'A IV.A'!#REF!</f>
        <v>#REF!</v>
      </c>
      <c r="B150" s="262" t="e">
        <f>'A IV.A'!#REF!</f>
        <v>#REF!</v>
      </c>
      <c r="C150" s="262"/>
      <c r="D150" s="262"/>
      <c r="E150" s="262"/>
      <c r="F150" s="262"/>
      <c r="G150" s="262"/>
      <c r="H150" s="273"/>
    </row>
    <row r="151" spans="1:8" x14ac:dyDescent="0.2">
      <c r="A151" s="349"/>
      <c r="H151" s="265"/>
    </row>
    <row r="152" spans="1:8" x14ac:dyDescent="0.2">
      <c r="A152" s="349"/>
      <c r="B152" s="261" t="s">
        <v>972</v>
      </c>
      <c r="H152" s="265"/>
    </row>
    <row r="153" spans="1:8" ht="13.5" thickBot="1" x14ac:dyDescent="0.25">
      <c r="A153" s="349"/>
      <c r="H153" s="265"/>
    </row>
    <row r="154" spans="1:8" ht="13.5" thickBot="1" x14ac:dyDescent="0.25">
      <c r="A154" s="349"/>
      <c r="C154" s="269" t="s">
        <v>572</v>
      </c>
      <c r="D154" s="270">
        <f>D148*3</f>
        <v>780</v>
      </c>
      <c r="E154" s="271" t="s">
        <v>36</v>
      </c>
      <c r="H154" s="265"/>
    </row>
    <row r="155" spans="1:8" ht="13.5" thickBot="1" x14ac:dyDescent="0.25">
      <c r="A155" s="350"/>
      <c r="B155" s="266"/>
      <c r="C155" s="266"/>
      <c r="D155" s="266"/>
      <c r="E155" s="266"/>
      <c r="F155" s="266"/>
      <c r="G155" s="266"/>
      <c r="H155" s="267"/>
    </row>
    <row r="156" spans="1:8" x14ac:dyDescent="0.2">
      <c r="A156" s="342" t="e">
        <f>'A IV.A'!#REF!</f>
        <v>#REF!</v>
      </c>
      <c r="B156" s="262" t="e">
        <f>'A IV.A'!#REF!</f>
        <v>#REF!</v>
      </c>
      <c r="C156" s="262"/>
      <c r="D156" s="262"/>
      <c r="E156" s="262"/>
      <c r="F156" s="262"/>
      <c r="G156" s="262"/>
      <c r="H156" s="273"/>
    </row>
    <row r="157" spans="1:8" x14ac:dyDescent="0.2">
      <c r="A157" s="349"/>
      <c r="H157" s="265"/>
    </row>
    <row r="158" spans="1:8" x14ac:dyDescent="0.2">
      <c r="A158" s="349"/>
      <c r="B158" s="261" t="s">
        <v>579</v>
      </c>
      <c r="H158" s="265"/>
    </row>
    <row r="159" spans="1:8" ht="13.5" thickBot="1" x14ac:dyDescent="0.25">
      <c r="A159" s="349"/>
      <c r="H159" s="265"/>
    </row>
    <row r="160" spans="1:8" ht="13.5" thickBot="1" x14ac:dyDescent="0.25">
      <c r="A160" s="349"/>
      <c r="C160" s="269" t="s">
        <v>572</v>
      </c>
      <c r="D160" s="270">
        <v>50</v>
      </c>
      <c r="E160" s="271" t="s">
        <v>38</v>
      </c>
      <c r="H160" s="265"/>
    </row>
    <row r="161" spans="1:8" ht="13.5" thickBot="1" x14ac:dyDescent="0.25">
      <c r="A161" s="350"/>
      <c r="B161" s="266"/>
      <c r="C161" s="266"/>
      <c r="D161" s="266"/>
      <c r="E161" s="266"/>
      <c r="F161" s="266"/>
      <c r="G161" s="266"/>
      <c r="H161" s="267"/>
    </row>
    <row r="162" spans="1:8" x14ac:dyDescent="0.2">
      <c r="A162" s="342" t="e">
        <f>'A IV.A'!#REF!</f>
        <v>#REF!</v>
      </c>
      <c r="B162" s="262" t="e">
        <f>'A IV.A'!#REF!</f>
        <v>#REF!</v>
      </c>
      <c r="C162" s="262"/>
      <c r="D162" s="262"/>
      <c r="E162" s="262"/>
      <c r="F162" s="262"/>
      <c r="G162" s="262"/>
      <c r="H162" s="273"/>
    </row>
    <row r="163" spans="1:8" x14ac:dyDescent="0.2">
      <c r="A163" s="349"/>
      <c r="H163" s="265"/>
    </row>
    <row r="164" spans="1:8" x14ac:dyDescent="0.2">
      <c r="A164" s="349"/>
      <c r="B164" s="261" t="s">
        <v>579</v>
      </c>
      <c r="H164" s="265"/>
    </row>
    <row r="165" spans="1:8" ht="13.5" thickBot="1" x14ac:dyDescent="0.25">
      <c r="A165" s="349"/>
      <c r="H165" s="265"/>
    </row>
    <row r="166" spans="1:8" ht="13.5" thickBot="1" x14ac:dyDescent="0.25">
      <c r="A166" s="349"/>
      <c r="C166" s="269" t="s">
        <v>572</v>
      </c>
      <c r="D166" s="270">
        <v>50</v>
      </c>
      <c r="E166" s="271" t="s">
        <v>38</v>
      </c>
      <c r="H166" s="265"/>
    </row>
    <row r="167" spans="1:8" ht="13.5" thickBot="1" x14ac:dyDescent="0.25">
      <c r="A167" s="350"/>
      <c r="B167" s="266"/>
      <c r="C167" s="266"/>
      <c r="D167" s="266"/>
      <c r="E167" s="266"/>
      <c r="F167" s="266"/>
      <c r="G167" s="266"/>
      <c r="H167" s="267"/>
    </row>
    <row r="168" spans="1:8" x14ac:dyDescent="0.2">
      <c r="A168" s="342" t="str">
        <f>'A IV.A'!A30</f>
        <v>2.1.6</v>
      </c>
      <c r="B168" s="466" t="str">
        <f>'A IV.A'!B30</f>
        <v>REMOÇÃO DE CALHAS, RUFOS, PINGADEIRAS E CONDUTORES VERTICAIS</v>
      </c>
      <c r="C168" s="466"/>
      <c r="D168" s="466"/>
      <c r="E168" s="466"/>
      <c r="F168" s="466"/>
      <c r="G168" s="466"/>
      <c r="H168" s="467"/>
    </row>
    <row r="169" spans="1:8" x14ac:dyDescent="0.2">
      <c r="A169" s="344"/>
      <c r="B169" s="468"/>
      <c r="C169" s="468"/>
      <c r="D169" s="468"/>
      <c r="E169" s="468"/>
      <c r="F169" s="468"/>
      <c r="G169" s="468"/>
      <c r="H169" s="469"/>
    </row>
    <row r="170" spans="1:8" x14ac:dyDescent="0.2">
      <c r="A170" s="349"/>
      <c r="H170" s="265"/>
    </row>
    <row r="171" spans="1:8" x14ac:dyDescent="0.2">
      <c r="A171" s="349"/>
      <c r="B171" s="261" t="s">
        <v>579</v>
      </c>
      <c r="H171" s="265"/>
    </row>
    <row r="172" spans="1:8" ht="13.5" thickBot="1" x14ac:dyDescent="0.25">
      <c r="A172" s="349"/>
      <c r="H172" s="265"/>
    </row>
    <row r="173" spans="1:8" ht="13.5" thickBot="1" x14ac:dyDescent="0.25">
      <c r="A173" s="349"/>
      <c r="C173" s="269" t="s">
        <v>572</v>
      </c>
      <c r="D173" s="270">
        <v>100</v>
      </c>
      <c r="E173" s="271" t="s">
        <v>36</v>
      </c>
      <c r="H173" s="265"/>
    </row>
    <row r="174" spans="1:8" ht="13.5" thickBot="1" x14ac:dyDescent="0.25">
      <c r="A174" s="350"/>
      <c r="B174" s="266"/>
      <c r="C174" s="266"/>
      <c r="D174" s="266"/>
      <c r="E174" s="266"/>
      <c r="F174" s="266"/>
      <c r="G174" s="266"/>
      <c r="H174" s="267"/>
    </row>
    <row r="175" spans="1:8" x14ac:dyDescent="0.2">
      <c r="A175" s="342" t="str">
        <f>'A IV.A'!A31</f>
        <v>2.1.7</v>
      </c>
      <c r="B175" s="262" t="str">
        <f>'A IV.A'!B31</f>
        <v>REMOÇÃO COMPLETA DE CERCA DE ALAMBRADO COM OU SEM REAPROVEITAMENTO</v>
      </c>
      <c r="C175" s="262"/>
      <c r="D175" s="262"/>
      <c r="E175" s="262"/>
      <c r="F175" s="262"/>
      <c r="G175" s="262"/>
      <c r="H175" s="273"/>
    </row>
    <row r="176" spans="1:8" x14ac:dyDescent="0.2">
      <c r="A176" s="349"/>
      <c r="H176" s="265"/>
    </row>
    <row r="177" spans="1:8" x14ac:dyDescent="0.2">
      <c r="A177" s="349"/>
      <c r="B177" s="261" t="s">
        <v>967</v>
      </c>
      <c r="D177" s="327">
        <f>'[9]Mem Global'!$G$1074</f>
        <v>2565</v>
      </c>
      <c r="E177" s="261" t="s">
        <v>36</v>
      </c>
      <c r="H177" s="265"/>
    </row>
    <row r="178" spans="1:8" ht="13.5" thickBot="1" x14ac:dyDescent="0.25">
      <c r="A178" s="349"/>
      <c r="B178" s="261"/>
      <c r="D178" s="327"/>
      <c r="E178" s="261"/>
      <c r="H178" s="265"/>
    </row>
    <row r="179" spans="1:8" ht="13.5" thickBot="1" x14ac:dyDescent="0.25">
      <c r="A179" s="349"/>
      <c r="C179" s="269" t="s">
        <v>572</v>
      </c>
      <c r="D179" s="270">
        <f>ROUNDUP(D177,0)</f>
        <v>2565</v>
      </c>
      <c r="E179" s="271" t="s">
        <v>36</v>
      </c>
      <c r="H179" s="265"/>
    </row>
    <row r="180" spans="1:8" ht="13.5" thickBot="1" x14ac:dyDescent="0.25">
      <c r="A180" s="350"/>
      <c r="B180" s="266"/>
      <c r="C180" s="266"/>
      <c r="D180" s="266"/>
      <c r="E180" s="266"/>
      <c r="F180" s="266"/>
      <c r="G180" s="266"/>
      <c r="H180" s="267"/>
    </row>
    <row r="181" spans="1:8" ht="12.75" customHeight="1" x14ac:dyDescent="0.2">
      <c r="A181" s="342" t="e">
        <f>'A IV.A'!#REF!</f>
        <v>#REF!</v>
      </c>
      <c r="B181" s="466" t="e">
        <f>'A IV.A'!#REF!</f>
        <v>#REF!</v>
      </c>
      <c r="C181" s="466"/>
      <c r="D181" s="466"/>
      <c r="E181" s="466"/>
      <c r="F181" s="466"/>
      <c r="G181" s="466"/>
      <c r="H181" s="467"/>
    </row>
    <row r="182" spans="1:8" x14ac:dyDescent="0.2">
      <c r="A182" s="344"/>
      <c r="B182" s="468"/>
      <c r="C182" s="468"/>
      <c r="D182" s="468"/>
      <c r="E182" s="468"/>
      <c r="F182" s="468"/>
      <c r="G182" s="468"/>
      <c r="H182" s="469"/>
    </row>
    <row r="183" spans="1:8" x14ac:dyDescent="0.2">
      <c r="A183" s="344"/>
      <c r="B183" s="468"/>
      <c r="C183" s="468"/>
      <c r="D183" s="468"/>
      <c r="E183" s="468"/>
      <c r="F183" s="468"/>
      <c r="G183" s="468"/>
      <c r="H183" s="469"/>
    </row>
    <row r="184" spans="1:8" x14ac:dyDescent="0.2">
      <c r="A184" s="349"/>
      <c r="H184" s="265"/>
    </row>
    <row r="185" spans="1:8" x14ac:dyDescent="0.2">
      <c r="A185" s="349"/>
      <c r="B185" s="261"/>
      <c r="F185" s="261"/>
      <c r="H185" s="265"/>
    </row>
    <row r="186" spans="1:8" x14ac:dyDescent="0.2">
      <c r="A186" s="349"/>
      <c r="B186" s="261"/>
      <c r="E186" s="261"/>
      <c r="H186" s="265"/>
    </row>
    <row r="187" spans="1:8" x14ac:dyDescent="0.2">
      <c r="A187" s="349"/>
      <c r="B187" s="261" t="s">
        <v>977</v>
      </c>
      <c r="E187">
        <v>150</v>
      </c>
      <c r="F187" s="261" t="s">
        <v>38</v>
      </c>
      <c r="H187" s="265"/>
    </row>
    <row r="188" spans="1:8" ht="13.5" thickBot="1" x14ac:dyDescent="0.25">
      <c r="A188" s="349"/>
      <c r="H188" s="265"/>
    </row>
    <row r="189" spans="1:8" ht="13.5" thickBot="1" x14ac:dyDescent="0.25">
      <c r="A189" s="349"/>
      <c r="C189" s="269" t="s">
        <v>572</v>
      </c>
      <c r="D189" s="270">
        <v>150</v>
      </c>
      <c r="E189" s="271" t="s">
        <v>38</v>
      </c>
      <c r="H189" s="265"/>
    </row>
    <row r="190" spans="1:8" ht="13.5" thickBot="1" x14ac:dyDescent="0.25">
      <c r="A190" s="350"/>
      <c r="B190" s="266"/>
      <c r="C190" s="266"/>
      <c r="D190" s="266"/>
      <c r="E190" s="266"/>
      <c r="F190" s="266"/>
      <c r="G190" s="266"/>
      <c r="H190" s="267"/>
    </row>
    <row r="191" spans="1:8" ht="12.75" customHeight="1" x14ac:dyDescent="0.2">
      <c r="A191" s="342" t="e">
        <f>'A IV.A'!#REF!</f>
        <v>#REF!</v>
      </c>
      <c r="B191" s="466" t="e">
        <f>'A IV.A'!#REF!</f>
        <v>#REF!</v>
      </c>
      <c r="C191" s="466"/>
      <c r="D191" s="466"/>
      <c r="E191" s="466"/>
      <c r="F191" s="466"/>
      <c r="G191" s="466"/>
      <c r="H191" s="467"/>
    </row>
    <row r="192" spans="1:8" x14ac:dyDescent="0.2">
      <c r="A192" s="344"/>
      <c r="B192" s="468"/>
      <c r="C192" s="468"/>
      <c r="D192" s="468"/>
      <c r="E192" s="468"/>
      <c r="F192" s="468"/>
      <c r="G192" s="468"/>
      <c r="H192" s="469"/>
    </row>
    <row r="193" spans="1:8" x14ac:dyDescent="0.2">
      <c r="A193" s="349"/>
      <c r="B193" s="285"/>
      <c r="C193" s="285"/>
      <c r="D193" s="285"/>
      <c r="E193" s="285"/>
      <c r="F193" s="285"/>
      <c r="G193" s="285"/>
      <c r="H193" s="286"/>
    </row>
    <row r="194" spans="1:8" x14ac:dyDescent="0.2">
      <c r="A194" s="349"/>
      <c r="B194" s="261" t="s">
        <v>970</v>
      </c>
      <c r="D194" s="268">
        <v>50</v>
      </c>
      <c r="E194" s="261" t="s">
        <v>38</v>
      </c>
      <c r="H194" s="265"/>
    </row>
    <row r="195" spans="1:8" ht="13.5" thickBot="1" x14ac:dyDescent="0.25">
      <c r="A195" s="349"/>
      <c r="H195" s="265"/>
    </row>
    <row r="196" spans="1:8" ht="13.5" thickBot="1" x14ac:dyDescent="0.25">
      <c r="A196" s="349"/>
      <c r="C196" s="269" t="s">
        <v>572</v>
      </c>
      <c r="D196" s="270">
        <v>50</v>
      </c>
      <c r="E196" s="271" t="s">
        <v>38</v>
      </c>
      <c r="H196" s="265"/>
    </row>
    <row r="197" spans="1:8" ht="13.5" thickBot="1" x14ac:dyDescent="0.25">
      <c r="A197" s="350"/>
      <c r="B197" s="266"/>
      <c r="C197" s="266"/>
      <c r="D197" s="266"/>
      <c r="E197" s="266"/>
      <c r="F197" s="266"/>
      <c r="G197" s="266"/>
      <c r="H197" s="267"/>
    </row>
    <row r="198" spans="1:8" ht="25.5" customHeight="1" thickBot="1" x14ac:dyDescent="0.25">
      <c r="A198" s="346" t="str">
        <f>'A IV.A'!A32</f>
        <v>2.2</v>
      </c>
      <c r="B198" s="476" t="str">
        <f>'A IV.A'!B32:M32</f>
        <v>CARGA, TRANSPORTE E DESCARGA - ITEM 7.2 DO TERMO DE REFERÊNCIA</v>
      </c>
      <c r="C198" s="476"/>
      <c r="D198" s="476"/>
      <c r="E198" s="476"/>
      <c r="F198" s="476"/>
      <c r="G198" s="476"/>
      <c r="H198" s="483"/>
    </row>
    <row r="199" spans="1:8" x14ac:dyDescent="0.2">
      <c r="A199" s="342" t="str">
        <f>'A IV.A'!A33</f>
        <v>2.2.1</v>
      </c>
      <c r="B199" s="466" t="str">
        <f>'A IV.A'!B33</f>
        <v>CARGA MANUAL DE MATERIAIS PROVENIENTES DE DEMOLIÇÕES EM GERAL</v>
      </c>
      <c r="C199" s="466"/>
      <c r="D199" s="466"/>
      <c r="E199" s="466"/>
      <c r="F199" s="466"/>
      <c r="G199" s="466"/>
      <c r="H199" s="467"/>
    </row>
    <row r="200" spans="1:8" x14ac:dyDescent="0.2">
      <c r="A200" s="344"/>
      <c r="B200" s="468"/>
      <c r="C200" s="468"/>
      <c r="D200" s="468"/>
      <c r="E200" s="468"/>
      <c r="F200" s="468"/>
      <c r="G200" s="468"/>
      <c r="H200" s="469"/>
    </row>
    <row r="201" spans="1:8" x14ac:dyDescent="0.2">
      <c r="A201" s="349"/>
      <c r="H201" s="265"/>
    </row>
    <row r="202" spans="1:8" x14ac:dyDescent="0.2">
      <c r="A202" s="351" t="s">
        <v>691</v>
      </c>
      <c r="C202" s="261"/>
      <c r="D202" s="268"/>
      <c r="E202" s="274" t="s">
        <v>1034</v>
      </c>
      <c r="F202" s="274"/>
      <c r="G202" s="261" t="s">
        <v>575</v>
      </c>
      <c r="H202" s="278">
        <f>D62/4</f>
        <v>12</v>
      </c>
    </row>
    <row r="203" spans="1:8" x14ac:dyDescent="0.2">
      <c r="A203" s="351" t="s">
        <v>693</v>
      </c>
      <c r="D203" s="268"/>
      <c r="E203" s="261"/>
      <c r="F203" s="268"/>
      <c r="G203" s="261" t="s">
        <v>575</v>
      </c>
      <c r="H203" s="278">
        <f>D77</f>
        <v>20</v>
      </c>
    </row>
    <row r="204" spans="1:8" x14ac:dyDescent="0.2">
      <c r="A204" s="351" t="s">
        <v>695</v>
      </c>
      <c r="D204" s="268">
        <f>D95</f>
        <v>50</v>
      </c>
      <c r="E204" s="261" t="s">
        <v>574</v>
      </c>
      <c r="F204" s="268">
        <v>7.0000000000000007E-2</v>
      </c>
      <c r="G204" s="261" t="s">
        <v>575</v>
      </c>
      <c r="H204" s="278">
        <f>D204*F204</f>
        <v>3.5000000000000004</v>
      </c>
    </row>
    <row r="205" spans="1:8" x14ac:dyDescent="0.2">
      <c r="A205" s="351"/>
      <c r="D205" s="268"/>
      <c r="E205" s="261"/>
      <c r="F205" s="268"/>
      <c r="G205" s="261"/>
      <c r="H205" s="278"/>
    </row>
    <row r="206" spans="1:8" x14ac:dyDescent="0.2">
      <c r="A206" s="351"/>
      <c r="D206" s="268"/>
      <c r="E206" s="261"/>
      <c r="F206" s="268"/>
      <c r="G206" s="261"/>
      <c r="H206" s="278">
        <f>SUM(H202:H205)</f>
        <v>35.5</v>
      </c>
    </row>
    <row r="207" spans="1:8" ht="13.5" thickBot="1" x14ac:dyDescent="0.25">
      <c r="A207" s="351"/>
      <c r="D207" s="268"/>
      <c r="E207" s="261"/>
      <c r="F207" s="268"/>
      <c r="G207" s="261"/>
      <c r="H207" s="278"/>
    </row>
    <row r="208" spans="1:8" x14ac:dyDescent="0.2">
      <c r="A208" s="351"/>
      <c r="C208" s="269" t="s">
        <v>572</v>
      </c>
      <c r="D208" s="270">
        <f>ROUNDUP(H206,0)</f>
        <v>36</v>
      </c>
      <c r="E208" s="271" t="s">
        <v>39</v>
      </c>
      <c r="F208" s="268"/>
      <c r="G208" s="261"/>
      <c r="H208" s="278"/>
    </row>
    <row r="209" spans="1:8" ht="13.5" thickBot="1" x14ac:dyDescent="0.25">
      <c r="A209" s="350"/>
      <c r="B209" s="266"/>
      <c r="C209" s="266"/>
      <c r="D209" s="266"/>
      <c r="E209" s="266"/>
      <c r="F209" s="266"/>
      <c r="G209" s="266"/>
      <c r="H209" s="267"/>
    </row>
    <row r="210" spans="1:8" x14ac:dyDescent="0.2">
      <c r="A210" s="342" t="str">
        <f>'A IV.A'!A34</f>
        <v>2.2.2</v>
      </c>
      <c r="B210" s="466" t="str">
        <f>'A IV.A'!B34</f>
        <v>CARGA MECANIZADA DE MATERIAIS PROVENIENTES DE DEMOLIÇÕES EM GERAL</v>
      </c>
      <c r="C210" s="466"/>
      <c r="D210" s="466"/>
      <c r="E210" s="466"/>
      <c r="F210" s="466"/>
      <c r="G210" s="466"/>
      <c r="H210" s="467"/>
    </row>
    <row r="211" spans="1:8" x14ac:dyDescent="0.2">
      <c r="A211" s="344"/>
      <c r="B211" s="468"/>
      <c r="C211" s="468"/>
      <c r="D211" s="468"/>
      <c r="E211" s="468"/>
      <c r="F211" s="468"/>
      <c r="G211" s="468"/>
      <c r="H211" s="469"/>
    </row>
    <row r="212" spans="1:8" x14ac:dyDescent="0.2">
      <c r="A212" s="349"/>
      <c r="H212" s="265"/>
    </row>
    <row r="213" spans="1:8" x14ac:dyDescent="0.2">
      <c r="A213" s="351" t="s">
        <v>689</v>
      </c>
      <c r="D213" s="268">
        <f>D39</f>
        <v>150</v>
      </c>
      <c r="E213" s="261" t="s">
        <v>574</v>
      </c>
      <c r="F213" s="268">
        <v>0.1</v>
      </c>
      <c r="G213" s="261" t="s">
        <v>575</v>
      </c>
      <c r="H213" s="278">
        <f>D213*F213</f>
        <v>15</v>
      </c>
    </row>
    <row r="214" spans="1:8" x14ac:dyDescent="0.2">
      <c r="A214" s="351" t="s">
        <v>690</v>
      </c>
      <c r="C214" s="268"/>
      <c r="D214" s="268">
        <f>D51</f>
        <v>500</v>
      </c>
      <c r="E214" s="261" t="s">
        <v>574</v>
      </c>
      <c r="F214" s="268">
        <v>0.1</v>
      </c>
      <c r="G214" s="261" t="s">
        <v>575</v>
      </c>
      <c r="H214" s="278">
        <f>D214*F214</f>
        <v>50</v>
      </c>
    </row>
    <row r="215" spans="1:8" x14ac:dyDescent="0.2">
      <c r="A215" s="351" t="s">
        <v>691</v>
      </c>
      <c r="E215" s="261" t="s">
        <v>1035</v>
      </c>
      <c r="G215" s="261" t="s">
        <v>575</v>
      </c>
      <c r="H215" s="278">
        <f>D62/4*3</f>
        <v>36</v>
      </c>
    </row>
    <row r="216" spans="1:8" x14ac:dyDescent="0.2">
      <c r="A216" s="351" t="s">
        <v>692</v>
      </c>
      <c r="D216" s="268"/>
      <c r="E216" s="261"/>
      <c r="G216" s="261" t="s">
        <v>575</v>
      </c>
      <c r="H216" s="278">
        <f>D70</f>
        <v>91</v>
      </c>
    </row>
    <row r="217" spans="1:8" x14ac:dyDescent="0.2">
      <c r="A217" s="351" t="s">
        <v>694</v>
      </c>
      <c r="B217" s="268"/>
      <c r="C217" s="261"/>
      <c r="D217" s="268"/>
      <c r="E217" s="261"/>
      <c r="F217" s="268"/>
      <c r="G217" s="261" t="s">
        <v>575</v>
      </c>
      <c r="H217" s="278">
        <f>D87</f>
        <v>20</v>
      </c>
    </row>
    <row r="218" spans="1:8" x14ac:dyDescent="0.2">
      <c r="A218" s="351" t="s">
        <v>696</v>
      </c>
      <c r="B218" s="268">
        <f>D103</f>
        <v>100</v>
      </c>
      <c r="C218" s="261" t="s">
        <v>574</v>
      </c>
      <c r="D218" s="268">
        <v>0.15</v>
      </c>
      <c r="E218" s="261" t="s">
        <v>574</v>
      </c>
      <c r="F218" s="268">
        <v>0.3</v>
      </c>
      <c r="G218" s="261" t="s">
        <v>575</v>
      </c>
      <c r="H218" s="278">
        <f>F218*D218*B218</f>
        <v>4.5</v>
      </c>
    </row>
    <row r="219" spans="1:8" x14ac:dyDescent="0.2">
      <c r="A219" s="351" t="s">
        <v>697</v>
      </c>
      <c r="B219" s="268"/>
      <c r="C219" s="261"/>
      <c r="D219" s="268">
        <f>D110</f>
        <v>30</v>
      </c>
      <c r="E219" s="261" t="s">
        <v>574</v>
      </c>
      <c r="F219" s="268">
        <v>0.15</v>
      </c>
      <c r="G219" s="261" t="s">
        <v>575</v>
      </c>
      <c r="H219" s="278">
        <f>F219*D219</f>
        <v>4.5</v>
      </c>
    </row>
    <row r="220" spans="1:8" x14ac:dyDescent="0.2">
      <c r="A220" s="351" t="s">
        <v>698</v>
      </c>
      <c r="B220" s="268"/>
      <c r="C220" s="261"/>
      <c r="D220" s="268">
        <f>D179</f>
        <v>2565</v>
      </c>
      <c r="E220" s="261" t="s">
        <v>574</v>
      </c>
      <c r="F220" s="268">
        <v>0.05</v>
      </c>
      <c r="G220" s="261" t="s">
        <v>575</v>
      </c>
      <c r="H220" s="278">
        <f>F220*D220</f>
        <v>128.25</v>
      </c>
    </row>
    <row r="221" spans="1:8" x14ac:dyDescent="0.2">
      <c r="A221" s="351" t="s">
        <v>699</v>
      </c>
      <c r="B221" s="268"/>
      <c r="C221" s="261"/>
      <c r="D221" s="268">
        <f>D189</f>
        <v>150</v>
      </c>
      <c r="E221" s="261" t="s">
        <v>574</v>
      </c>
      <c r="F221" s="268">
        <v>0.1</v>
      </c>
      <c r="G221" s="261" t="s">
        <v>575</v>
      </c>
      <c r="H221" s="278">
        <f>F221*D221</f>
        <v>15</v>
      </c>
    </row>
    <row r="222" spans="1:8" x14ac:dyDescent="0.2">
      <c r="A222" s="351" t="s">
        <v>700</v>
      </c>
      <c r="B222" s="268"/>
      <c r="C222" s="261"/>
      <c r="D222" s="268">
        <f>D196</f>
        <v>50</v>
      </c>
      <c r="E222" s="261" t="s">
        <v>574</v>
      </c>
      <c r="F222" s="268">
        <v>0.1</v>
      </c>
      <c r="G222" s="261" t="s">
        <v>575</v>
      </c>
      <c r="H222" s="278">
        <f>F222*D222</f>
        <v>5</v>
      </c>
    </row>
    <row r="223" spans="1:8" x14ac:dyDescent="0.2">
      <c r="A223" s="351"/>
      <c r="B223" s="268"/>
      <c r="C223" s="261"/>
      <c r="D223" s="268"/>
      <c r="E223" s="261"/>
      <c r="F223" s="274"/>
      <c r="G223" s="261"/>
      <c r="H223" s="278"/>
    </row>
    <row r="224" spans="1:8" x14ac:dyDescent="0.2">
      <c r="A224" s="351"/>
      <c r="B224" s="268"/>
      <c r="C224" s="261"/>
      <c r="D224" s="268"/>
      <c r="E224" s="261"/>
      <c r="F224" s="268"/>
      <c r="G224" s="261"/>
      <c r="H224" s="278"/>
    </row>
    <row r="225" spans="1:8" x14ac:dyDescent="0.2">
      <c r="A225" s="349"/>
      <c r="H225" s="278">
        <f>SUM(H213:H223)</f>
        <v>369.25</v>
      </c>
    </row>
    <row r="226" spans="1:8" ht="13.5" thickBot="1" x14ac:dyDescent="0.25">
      <c r="A226" s="349"/>
      <c r="H226" s="265"/>
    </row>
    <row r="227" spans="1:8" ht="13.5" thickBot="1" x14ac:dyDescent="0.25">
      <c r="A227" s="349"/>
      <c r="C227" s="269" t="s">
        <v>572</v>
      </c>
      <c r="D227" s="270">
        <f>ROUNDUP(H225,0)</f>
        <v>370</v>
      </c>
      <c r="E227" s="271" t="s">
        <v>39</v>
      </c>
      <c r="H227" s="265"/>
    </row>
    <row r="228" spans="1:8" ht="13.5" thickBot="1" x14ac:dyDescent="0.25">
      <c r="A228" s="350"/>
      <c r="B228" s="266"/>
      <c r="C228" s="266"/>
      <c r="D228" s="266"/>
      <c r="E228" s="266"/>
      <c r="F228" s="266"/>
      <c r="G228" s="266"/>
      <c r="H228" s="267"/>
    </row>
    <row r="229" spans="1:8" x14ac:dyDescent="0.2">
      <c r="A229" s="342" t="str">
        <f>'A IV.A'!A35</f>
        <v>2.2.3</v>
      </c>
      <c r="B229" s="466" t="str">
        <f>'A IV.A'!B35</f>
        <v>BOTA-FORA E DESCARGA DE MATERIAIS PROVENIENTES DE DEMOLIÇÕES EM GERAL</v>
      </c>
      <c r="C229" s="466"/>
      <c r="D229" s="466"/>
      <c r="E229" s="466"/>
      <c r="F229" s="466"/>
      <c r="G229" s="466"/>
      <c r="H229" s="467"/>
    </row>
    <row r="230" spans="1:8" x14ac:dyDescent="0.2">
      <c r="A230" s="344"/>
      <c r="B230" s="468"/>
      <c r="C230" s="468"/>
      <c r="D230" s="468"/>
      <c r="E230" s="468"/>
      <c r="F230" s="468"/>
      <c r="G230" s="468"/>
      <c r="H230" s="469"/>
    </row>
    <row r="231" spans="1:8" x14ac:dyDescent="0.2">
      <c r="A231" s="349"/>
      <c r="H231" s="265"/>
    </row>
    <row r="232" spans="1:8" x14ac:dyDescent="0.2">
      <c r="A232" s="351" t="s">
        <v>701</v>
      </c>
      <c r="C232" s="268">
        <f>D208</f>
        <v>36</v>
      </c>
      <c r="D232" s="261" t="s">
        <v>574</v>
      </c>
      <c r="E232" s="268">
        <v>30</v>
      </c>
      <c r="F232" s="261" t="s">
        <v>575</v>
      </c>
      <c r="G232" s="268">
        <f>C232*E232</f>
        <v>1080</v>
      </c>
      <c r="H232" s="265"/>
    </row>
    <row r="233" spans="1:8" x14ac:dyDescent="0.2">
      <c r="A233" s="351" t="s">
        <v>702</v>
      </c>
      <c r="C233" s="268">
        <f>D227</f>
        <v>370</v>
      </c>
      <c r="D233" s="261" t="s">
        <v>574</v>
      </c>
      <c r="E233" s="268">
        <v>30</v>
      </c>
      <c r="F233" s="261" t="s">
        <v>575</v>
      </c>
      <c r="G233" s="268">
        <f>C233*E233</f>
        <v>11100</v>
      </c>
      <c r="H233" s="265"/>
    </row>
    <row r="234" spans="1:8" x14ac:dyDescent="0.2">
      <c r="A234" s="349"/>
      <c r="G234" s="268">
        <f>SUM(G232:G233)</f>
        <v>12180</v>
      </c>
      <c r="H234" s="265"/>
    </row>
    <row r="235" spans="1:8" ht="13.5" thickBot="1" x14ac:dyDescent="0.25">
      <c r="A235" s="349"/>
      <c r="H235" s="265"/>
    </row>
    <row r="236" spans="1:8" ht="13.5" thickBot="1" x14ac:dyDescent="0.25">
      <c r="A236" s="349"/>
      <c r="D236" s="269" t="s">
        <v>572</v>
      </c>
      <c r="E236" s="276">
        <f>G234</f>
        <v>12180</v>
      </c>
      <c r="F236" s="271" t="s">
        <v>619</v>
      </c>
      <c r="H236" s="265"/>
    </row>
    <row r="237" spans="1:8" ht="13.5" thickBot="1" x14ac:dyDescent="0.25">
      <c r="A237" s="350"/>
      <c r="B237" s="266"/>
      <c r="C237" s="266"/>
      <c r="D237" s="266"/>
      <c r="E237" s="266"/>
      <c r="F237" s="266"/>
      <c r="G237" s="266"/>
      <c r="H237" s="267"/>
    </row>
    <row r="238" spans="1:8" ht="13.5" thickBot="1" x14ac:dyDescent="0.25">
      <c r="A238" s="346" t="str">
        <f>'A IV.A'!A37</f>
        <v>2.3</v>
      </c>
      <c r="B238" s="276" t="str">
        <f>'A IV.A'!B37:M37</f>
        <v>SINALIZAÇÃO DE TRÂNSITO - ITEM 7.3 DO TERMO DE REFERÊNCIA</v>
      </c>
      <c r="C238" s="279"/>
      <c r="D238" s="279"/>
      <c r="E238" s="279"/>
      <c r="F238" s="279"/>
      <c r="G238" s="279"/>
      <c r="H238" s="271"/>
    </row>
    <row r="239" spans="1:8" x14ac:dyDescent="0.2">
      <c r="A239" s="342" t="str">
        <f>'A IV.A'!A38</f>
        <v>2.3.1</v>
      </c>
      <c r="B239" s="466" t="str">
        <f>'A IV.A'!B38</f>
        <v>SINALIZAÇÃO DE OBRA COM CONE DE PVC COM PINTURA REFLEXIVA H = 0,70 M</v>
      </c>
      <c r="C239" s="466"/>
      <c r="D239" s="466"/>
      <c r="E239" s="466"/>
      <c r="F239" s="466"/>
      <c r="G239" s="466"/>
      <c r="H239" s="467"/>
    </row>
    <row r="240" spans="1:8" x14ac:dyDescent="0.2">
      <c r="A240" s="344"/>
      <c r="B240" s="468"/>
      <c r="C240" s="468"/>
      <c r="D240" s="468"/>
      <c r="E240" s="468"/>
      <c r="F240" s="468"/>
      <c r="G240" s="468"/>
      <c r="H240" s="469"/>
    </row>
    <row r="241" spans="1:8" x14ac:dyDescent="0.2">
      <c r="A241" s="349"/>
      <c r="H241" s="265"/>
    </row>
    <row r="242" spans="1:8" x14ac:dyDescent="0.2">
      <c r="A242" s="349"/>
      <c r="B242" s="495" t="s">
        <v>1009</v>
      </c>
      <c r="C242" s="495"/>
      <c r="D242" s="495"/>
      <c r="E242" s="495"/>
      <c r="F242" s="495"/>
      <c r="G242" s="495"/>
      <c r="H242" s="496"/>
    </row>
    <row r="243" spans="1:8" x14ac:dyDescent="0.2">
      <c r="A243" s="349"/>
      <c r="B243" s="495"/>
      <c r="C243" s="495"/>
      <c r="D243" s="495"/>
      <c r="E243" s="495"/>
      <c r="F243" s="495"/>
      <c r="G243" s="495"/>
      <c r="H243" s="496"/>
    </row>
    <row r="244" spans="1:8" x14ac:dyDescent="0.2">
      <c r="A244" s="349"/>
      <c r="B244" s="296"/>
      <c r="C244" s="296"/>
      <c r="D244" s="296"/>
      <c r="E244" s="296"/>
      <c r="F244" s="296"/>
      <c r="G244" s="296"/>
      <c r="H244" s="297"/>
    </row>
    <row r="245" spans="1:8" ht="13.5" thickBot="1" x14ac:dyDescent="0.25">
      <c r="A245" s="349"/>
      <c r="H245" s="265"/>
    </row>
    <row r="246" spans="1:8" ht="13.5" thickBot="1" x14ac:dyDescent="0.25">
      <c r="A246" s="349"/>
      <c r="C246" s="269" t="s">
        <v>572</v>
      </c>
      <c r="D246" s="270">
        <v>12</v>
      </c>
      <c r="E246" s="271" t="s">
        <v>448</v>
      </c>
      <c r="H246" s="265"/>
    </row>
    <row r="247" spans="1:8" ht="13.5" thickBot="1" x14ac:dyDescent="0.25">
      <c r="A247" s="350"/>
      <c r="B247" s="266"/>
      <c r="C247" s="266"/>
      <c r="D247" s="266"/>
      <c r="E247" s="266"/>
      <c r="F247" s="266"/>
      <c r="G247" s="266"/>
      <c r="H247" s="267"/>
    </row>
    <row r="248" spans="1:8" x14ac:dyDescent="0.2">
      <c r="A248" s="342" t="str">
        <f>'A IV.A'!A39</f>
        <v>2.3.2</v>
      </c>
      <c r="B248" s="474" t="str">
        <f>'A IV.A'!B39</f>
        <v>ISOLAMENTO DE OBRA COM TELA PLÁSTICA COM MALHA DE 5 MM</v>
      </c>
      <c r="C248" s="474"/>
      <c r="D248" s="474"/>
      <c r="E248" s="474"/>
      <c r="F248" s="474"/>
      <c r="G248" s="474"/>
      <c r="H248" s="475"/>
    </row>
    <row r="249" spans="1:8" x14ac:dyDescent="0.2">
      <c r="A249" s="344"/>
      <c r="B249" s="498"/>
      <c r="C249" s="498"/>
      <c r="D249" s="498"/>
      <c r="E249" s="498"/>
      <c r="F249" s="498"/>
      <c r="G249" s="498"/>
      <c r="H249" s="499"/>
    </row>
    <row r="250" spans="1:8" x14ac:dyDescent="0.2">
      <c r="A250" s="349"/>
      <c r="H250" s="265"/>
    </row>
    <row r="251" spans="1:8" x14ac:dyDescent="0.2">
      <c r="A251" s="349"/>
      <c r="B251" s="261" t="s">
        <v>970</v>
      </c>
      <c r="D251" s="268">
        <v>150</v>
      </c>
      <c r="E251" s="261" t="s">
        <v>36</v>
      </c>
      <c r="H251" s="265"/>
    </row>
    <row r="252" spans="1:8" x14ac:dyDescent="0.2">
      <c r="A252" s="349"/>
      <c r="B252" s="261"/>
      <c r="E252" s="261"/>
      <c r="H252" s="265"/>
    </row>
    <row r="253" spans="1:8" ht="13.5" thickBot="1" x14ac:dyDescent="0.25">
      <c r="A253" s="349"/>
      <c r="H253" s="265"/>
    </row>
    <row r="254" spans="1:8" ht="13.5" thickBot="1" x14ac:dyDescent="0.25">
      <c r="A254" s="349"/>
      <c r="C254" s="269" t="s">
        <v>572</v>
      </c>
      <c r="D254" s="270">
        <v>150</v>
      </c>
      <c r="E254" s="271" t="s">
        <v>36</v>
      </c>
      <c r="H254" s="265"/>
    </row>
    <row r="255" spans="1:8" ht="13.5" thickBot="1" x14ac:dyDescent="0.25">
      <c r="A255" s="349"/>
      <c r="H255" s="265"/>
    </row>
    <row r="256" spans="1:8" x14ac:dyDescent="0.2">
      <c r="A256" s="342" t="str">
        <f>'A IV.A'!A40</f>
        <v>2.3.3</v>
      </c>
      <c r="B256" s="466" t="str">
        <f>'A IV.A'!B40</f>
        <v>FORNECIMENTO E MONTAGEM/INSTALAÇÃO DE PLACAS DE SINALIZAÇÃO COM PINTURA REFLETIVA PARA APROVEITAMENTO</v>
      </c>
      <c r="C256" s="466"/>
      <c r="D256" s="466"/>
      <c r="E256" s="466"/>
      <c r="F256" s="466"/>
      <c r="G256" s="466"/>
      <c r="H256" s="467"/>
    </row>
    <row r="257" spans="1:8" x14ac:dyDescent="0.2">
      <c r="A257" s="344"/>
      <c r="B257" s="468"/>
      <c r="C257" s="468"/>
      <c r="D257" s="468"/>
      <c r="E257" s="468"/>
      <c r="F257" s="468"/>
      <c r="G257" s="468"/>
      <c r="H257" s="469"/>
    </row>
    <row r="258" spans="1:8" x14ac:dyDescent="0.2">
      <c r="A258" s="349"/>
      <c r="H258" s="265"/>
    </row>
    <row r="259" spans="1:8" ht="13.5" thickBot="1" x14ac:dyDescent="0.25">
      <c r="A259" s="349"/>
      <c r="B259" t="s">
        <v>579</v>
      </c>
      <c r="H259" s="265"/>
    </row>
    <row r="260" spans="1:8" ht="13.5" thickBot="1" x14ac:dyDescent="0.25">
      <c r="A260" s="349"/>
      <c r="C260" s="269" t="s">
        <v>572</v>
      </c>
      <c r="D260" s="270">
        <v>5</v>
      </c>
      <c r="E260" s="271" t="s">
        <v>38</v>
      </c>
      <c r="H260" s="265"/>
    </row>
    <row r="261" spans="1:8" x14ac:dyDescent="0.2">
      <c r="A261" s="350"/>
      <c r="B261" s="266"/>
      <c r="C261" s="266"/>
      <c r="D261" s="266"/>
      <c r="E261" s="266"/>
      <c r="F261" s="266"/>
      <c r="G261" s="266"/>
      <c r="H261" s="267"/>
    </row>
    <row r="262" spans="1:8" x14ac:dyDescent="0.2">
      <c r="A262" s="342" t="str">
        <f>'A IV.A'!A41</f>
        <v>2.3.4</v>
      </c>
      <c r="B262" s="474" t="str">
        <f>'A IV.A'!B41</f>
        <v>SINALIZAÇÃO DE TRÂNSITO COM CAVALETE DE MADEIRA SIMPLES</v>
      </c>
      <c r="C262" s="474"/>
      <c r="D262" s="474"/>
      <c r="E262" s="474"/>
      <c r="F262" s="474"/>
      <c r="G262" s="474"/>
      <c r="H262" s="475"/>
    </row>
    <row r="263" spans="1:8" x14ac:dyDescent="0.2">
      <c r="A263" s="344"/>
      <c r="B263" s="498"/>
      <c r="C263" s="498"/>
      <c r="D263" s="498"/>
      <c r="E263" s="498"/>
      <c r="F263" s="498"/>
      <c r="G263" s="498"/>
      <c r="H263" s="499"/>
    </row>
    <row r="264" spans="1:8" ht="13.5" thickBot="1" x14ac:dyDescent="0.25">
      <c r="A264" s="349"/>
      <c r="B264" t="s">
        <v>579</v>
      </c>
      <c r="H264" s="265"/>
    </row>
    <row r="265" spans="1:8" ht="13.5" thickBot="1" x14ac:dyDescent="0.25">
      <c r="A265" s="349"/>
      <c r="C265" s="269" t="s">
        <v>572</v>
      </c>
      <c r="D265" s="270">
        <v>10</v>
      </c>
      <c r="E265" s="271" t="s">
        <v>448</v>
      </c>
      <c r="H265" s="265"/>
    </row>
    <row r="266" spans="1:8" ht="13.5" thickBot="1" x14ac:dyDescent="0.25">
      <c r="A266" s="350"/>
      <c r="B266" s="266"/>
      <c r="C266" s="266"/>
      <c r="D266" s="266"/>
      <c r="E266" s="266"/>
      <c r="F266" s="266"/>
      <c r="G266" s="266"/>
      <c r="H266" s="267"/>
    </row>
    <row r="267" spans="1:8" ht="13.5" thickBot="1" x14ac:dyDescent="0.25">
      <c r="A267" s="345" t="str">
        <f>'A IV.A'!A43</f>
        <v>3.0</v>
      </c>
      <c r="B267" s="497" t="str">
        <f>'A IV.A'!B43</f>
        <v>FECHAMENTOS, PROTEÇÕES E ALVENARIAS EM GERAL</v>
      </c>
      <c r="C267" s="493"/>
      <c r="D267" s="493"/>
      <c r="E267" s="493"/>
      <c r="F267" s="493"/>
      <c r="G267" s="493"/>
      <c r="H267" s="494"/>
    </row>
    <row r="268" spans="1:8" ht="26.25" customHeight="1" thickBot="1" x14ac:dyDescent="0.25">
      <c r="A268" s="346" t="str">
        <f>'A IV.A'!A45</f>
        <v>3.1</v>
      </c>
      <c r="B268" s="476" t="str">
        <f>'A IV.A'!B45:M45</f>
        <v>PROTEÇÃO DE ÁREA DE RESERVATÓRIO - PORTÕES, ALAMBRADOS E ITENS CONSTITUINTES - ITENS 8.1.1 A 8.1.8 DO TERMO DE REFERÊNCIA</v>
      </c>
      <c r="C268" s="476"/>
      <c r="D268" s="476"/>
      <c r="E268" s="476"/>
      <c r="F268" s="476"/>
      <c r="G268" s="476"/>
      <c r="H268" s="483"/>
    </row>
    <row r="269" spans="1:8" x14ac:dyDescent="0.2">
      <c r="A269" s="343" t="str">
        <f>'A IV.A'!A46</f>
        <v>3.1.1</v>
      </c>
      <c r="B269" s="474" t="str">
        <f>'A IV.A'!B46</f>
        <v>ALAMBRADO COM TELA DE ARAME GALVANIZADO, FIXADA EM MOURÃO DE CONCRETO ARMADO, INCLUINDO MURETA DE CONCRETO</v>
      </c>
      <c r="C269" s="474"/>
      <c r="D269" s="474"/>
      <c r="E269" s="474"/>
      <c r="F269" s="474"/>
      <c r="G269" s="474"/>
      <c r="H269" s="475"/>
    </row>
    <row r="270" spans="1:8" x14ac:dyDescent="0.2">
      <c r="A270" s="344"/>
      <c r="B270" s="498"/>
      <c r="C270" s="498"/>
      <c r="D270" s="498"/>
      <c r="E270" s="498"/>
      <c r="F270" s="498"/>
      <c r="G270" s="498"/>
      <c r="H270" s="499"/>
    </row>
    <row r="271" spans="1:8" x14ac:dyDescent="0.2">
      <c r="A271" s="344"/>
      <c r="B271" s="498"/>
      <c r="C271" s="498"/>
      <c r="D271" s="498"/>
      <c r="E271" s="498"/>
      <c r="F271" s="498"/>
      <c r="G271" s="498"/>
      <c r="H271" s="499"/>
    </row>
    <row r="272" spans="1:8" x14ac:dyDescent="0.2">
      <c r="A272" s="349"/>
      <c r="H272" s="265"/>
    </row>
    <row r="273" spans="1:10" x14ac:dyDescent="0.2">
      <c r="A273" s="349"/>
      <c r="B273" s="261" t="s">
        <v>968</v>
      </c>
      <c r="D273" s="275">
        <f>20*4*2</f>
        <v>160</v>
      </c>
      <c r="E273" s="261" t="s">
        <v>36</v>
      </c>
      <c r="H273" s="265"/>
    </row>
    <row r="274" spans="1:10" x14ac:dyDescent="0.2">
      <c r="A274" s="349"/>
      <c r="H274" s="265"/>
    </row>
    <row r="275" spans="1:10" x14ac:dyDescent="0.2">
      <c r="A275" s="349"/>
      <c r="B275" s="261"/>
      <c r="C275" s="329" t="s">
        <v>973</v>
      </c>
      <c r="D275" s="268"/>
      <c r="E275" s="261" t="s">
        <v>36</v>
      </c>
      <c r="H275" s="265"/>
    </row>
    <row r="276" spans="1:10" x14ac:dyDescent="0.2">
      <c r="A276" s="349"/>
      <c r="E276" s="261"/>
      <c r="H276" s="265"/>
    </row>
    <row r="277" spans="1:10" x14ac:dyDescent="0.2">
      <c r="A277" s="349"/>
      <c r="B277" s="495" t="s">
        <v>1036</v>
      </c>
      <c r="C277" s="495"/>
      <c r="D277" s="495"/>
      <c r="E277" s="495"/>
      <c r="F277" s="495"/>
      <c r="G277" s="495"/>
      <c r="H277" s="496"/>
    </row>
    <row r="278" spans="1:10" x14ac:dyDescent="0.2">
      <c r="A278" s="349"/>
      <c r="B278" s="495"/>
      <c r="C278" s="495"/>
      <c r="D278" s="495"/>
      <c r="E278" s="495"/>
      <c r="F278" s="495"/>
      <c r="G278" s="495"/>
      <c r="H278" s="496"/>
    </row>
    <row r="279" spans="1:10" ht="13.5" thickBot="1" x14ac:dyDescent="0.25">
      <c r="A279" s="349"/>
      <c r="H279" s="265"/>
    </row>
    <row r="280" spans="1:10" ht="13.5" thickBot="1" x14ac:dyDescent="0.25">
      <c r="A280" s="349"/>
      <c r="C280" s="269" t="s">
        <v>572</v>
      </c>
      <c r="D280" s="270">
        <f>ROUNDUP(D273,0)</f>
        <v>160</v>
      </c>
      <c r="E280" s="271" t="s">
        <v>36</v>
      </c>
      <c r="H280" s="265"/>
      <c r="J280" s="261" t="s">
        <v>635</v>
      </c>
    </row>
    <row r="281" spans="1:10" ht="13.5" thickBot="1" x14ac:dyDescent="0.25">
      <c r="A281" s="350"/>
      <c r="B281" s="266"/>
      <c r="C281" s="266"/>
      <c r="D281" s="266"/>
      <c r="E281" s="266"/>
      <c r="F281" s="266"/>
      <c r="G281" s="266"/>
      <c r="H281" s="267"/>
    </row>
    <row r="282" spans="1:10" ht="12.75" customHeight="1" x14ac:dyDescent="0.2">
      <c r="A282" s="343" t="e">
        <f>'A IV.A'!#REF!</f>
        <v>#REF!</v>
      </c>
      <c r="B282" s="466" t="e">
        <f>'A IV.A'!#REF!</f>
        <v>#REF!</v>
      </c>
      <c r="C282" s="466"/>
      <c r="D282" s="466"/>
      <c r="E282" s="466"/>
      <c r="F282" s="466"/>
      <c r="G282" s="466"/>
      <c r="H282" s="467"/>
    </row>
    <row r="283" spans="1:10" x14ac:dyDescent="0.2">
      <c r="A283" s="349"/>
      <c r="H283" s="265"/>
    </row>
    <row r="284" spans="1:10" x14ac:dyDescent="0.2">
      <c r="A284" s="349"/>
      <c r="B284" s="261" t="s">
        <v>971</v>
      </c>
      <c r="D284" s="268">
        <f>80*2</f>
        <v>160</v>
      </c>
      <c r="E284" s="261" t="s">
        <v>36</v>
      </c>
      <c r="H284" s="265"/>
    </row>
    <row r="285" spans="1:10" x14ac:dyDescent="0.2">
      <c r="A285" s="349"/>
      <c r="H285" s="265"/>
    </row>
    <row r="286" spans="1:10" x14ac:dyDescent="0.2">
      <c r="A286" s="349"/>
      <c r="B286" s="261"/>
      <c r="C286" s="329" t="s">
        <v>973</v>
      </c>
      <c r="E286" s="261" t="s">
        <v>36</v>
      </c>
      <c r="H286" s="265"/>
      <c r="J286" s="261" t="s">
        <v>637</v>
      </c>
    </row>
    <row r="287" spans="1:10" x14ac:dyDescent="0.2">
      <c r="A287" s="349"/>
      <c r="H287" s="265"/>
    </row>
    <row r="288" spans="1:10" x14ac:dyDescent="0.2">
      <c r="A288" s="349"/>
      <c r="B288" s="261"/>
      <c r="H288" s="265"/>
    </row>
    <row r="289" spans="1:10" ht="13.5" thickBot="1" x14ac:dyDescent="0.25">
      <c r="A289" s="349"/>
      <c r="H289" s="265"/>
    </row>
    <row r="290" spans="1:10" ht="13.5" thickBot="1" x14ac:dyDescent="0.25">
      <c r="A290" s="349"/>
      <c r="C290" s="269" t="s">
        <v>572</v>
      </c>
      <c r="D290" s="270">
        <f>ROUNDUP(D284,0)</f>
        <v>160</v>
      </c>
      <c r="E290" s="271" t="s">
        <v>36</v>
      </c>
      <c r="H290" s="265"/>
    </row>
    <row r="291" spans="1:10" ht="13.5" thickBot="1" x14ac:dyDescent="0.25">
      <c r="A291" s="350"/>
      <c r="B291" s="266"/>
      <c r="C291" s="266"/>
      <c r="D291" s="266"/>
      <c r="E291" s="266"/>
      <c r="F291" s="266"/>
      <c r="G291" s="266"/>
      <c r="H291" s="267"/>
    </row>
    <row r="292" spans="1:10" ht="12.75" customHeight="1" x14ac:dyDescent="0.2">
      <c r="A292" s="343" t="e">
        <f>'A IV.A'!#REF!</f>
        <v>#REF!</v>
      </c>
      <c r="B292" s="466" t="e">
        <f>'A IV.A'!#REF!</f>
        <v>#REF!</v>
      </c>
      <c r="C292" s="466"/>
      <c r="D292" s="466"/>
      <c r="E292" s="466"/>
      <c r="F292" s="466"/>
      <c r="G292" s="466"/>
      <c r="H292" s="467"/>
    </row>
    <row r="293" spans="1:10" x14ac:dyDescent="0.2">
      <c r="A293" s="344"/>
      <c r="B293" s="468"/>
      <c r="C293" s="468"/>
      <c r="D293" s="468"/>
      <c r="E293" s="468"/>
      <c r="F293" s="468"/>
      <c r="G293" s="468"/>
      <c r="H293" s="469"/>
    </row>
    <row r="294" spans="1:10" x14ac:dyDescent="0.2">
      <c r="A294" s="344"/>
      <c r="B294" s="468"/>
      <c r="C294" s="468"/>
      <c r="D294" s="468"/>
      <c r="E294" s="468"/>
      <c r="F294" s="468"/>
      <c r="G294" s="468"/>
      <c r="H294" s="469"/>
    </row>
    <row r="295" spans="1:10" x14ac:dyDescent="0.2">
      <c r="A295" s="349"/>
      <c r="H295" s="265"/>
    </row>
    <row r="296" spans="1:10" x14ac:dyDescent="0.2">
      <c r="A296" s="349"/>
      <c r="B296" s="261" t="s">
        <v>579</v>
      </c>
      <c r="D296" s="268">
        <f>D284*3</f>
        <v>480</v>
      </c>
      <c r="H296" s="265"/>
      <c r="J296" s="261" t="s">
        <v>638</v>
      </c>
    </row>
    <row r="297" spans="1:10" x14ac:dyDescent="0.2">
      <c r="A297" s="349"/>
      <c r="B297" s="261"/>
      <c r="H297" s="265"/>
      <c r="J297" s="261"/>
    </row>
    <row r="298" spans="1:10" ht="13.5" thickBot="1" x14ac:dyDescent="0.25">
      <c r="A298" s="349"/>
      <c r="B298" s="261"/>
      <c r="H298" s="265"/>
      <c r="J298" s="261"/>
    </row>
    <row r="299" spans="1:10" ht="13.5" thickBot="1" x14ac:dyDescent="0.25">
      <c r="A299" s="349"/>
      <c r="C299" s="269" t="s">
        <v>572</v>
      </c>
      <c r="D299" s="270">
        <f>D296</f>
        <v>480</v>
      </c>
      <c r="E299" s="271" t="s">
        <v>36</v>
      </c>
      <c r="H299" s="265"/>
    </row>
    <row r="300" spans="1:10" ht="13.5" thickBot="1" x14ac:dyDescent="0.25">
      <c r="A300" s="350"/>
      <c r="B300" s="266"/>
      <c r="C300" s="266"/>
      <c r="D300" s="266"/>
      <c r="E300" s="266"/>
      <c r="F300" s="266"/>
      <c r="G300" s="266"/>
      <c r="H300" s="267"/>
    </row>
    <row r="301" spans="1:10" ht="12.75" customHeight="1" x14ac:dyDescent="0.2">
      <c r="A301" s="343" t="str">
        <f>'A IV.A'!A47</f>
        <v>3.1.2</v>
      </c>
      <c r="B301" s="466" t="str">
        <f>'A IV.A'!B47</f>
        <v>ALTEAMENTO DE PROTEÇÃO EM ARAME COM LÂMINAS - CONCERTINA AÇO GALVANIZADO - FORNECIMENTO E INSTALAÇÃO</v>
      </c>
      <c r="C301" s="466"/>
      <c r="D301" s="466"/>
      <c r="E301" s="466"/>
      <c r="F301" s="466"/>
      <c r="G301" s="466"/>
      <c r="H301" s="467"/>
    </row>
    <row r="302" spans="1:10" x14ac:dyDescent="0.2">
      <c r="A302" s="344"/>
      <c r="B302" s="468"/>
      <c r="C302" s="468"/>
      <c r="D302" s="468"/>
      <c r="E302" s="468"/>
      <c r="F302" s="468"/>
      <c r="G302" s="468"/>
      <c r="H302" s="469"/>
    </row>
    <row r="303" spans="1:10" x14ac:dyDescent="0.2">
      <c r="A303" s="349"/>
      <c r="H303" s="265"/>
    </row>
    <row r="304" spans="1:10" x14ac:dyDescent="0.2">
      <c r="A304" s="349"/>
      <c r="B304" s="261"/>
      <c r="C304" s="329" t="s">
        <v>974</v>
      </c>
      <c r="D304" s="268">
        <f>'[9]Mem Global'!$G$1997</f>
        <v>1882.1</v>
      </c>
      <c r="E304" s="261" t="s">
        <v>36</v>
      </c>
      <c r="H304" s="265"/>
    </row>
    <row r="305" spans="1:8" ht="13.5" thickBot="1" x14ac:dyDescent="0.25">
      <c r="A305" s="349"/>
      <c r="H305" s="265"/>
    </row>
    <row r="306" spans="1:8" ht="13.5" thickBot="1" x14ac:dyDescent="0.25">
      <c r="A306" s="349"/>
      <c r="C306" s="269" t="s">
        <v>572</v>
      </c>
      <c r="D306" s="270">
        <f>ROUNDUP(D304,0)</f>
        <v>1883</v>
      </c>
      <c r="E306" s="271" t="s">
        <v>36</v>
      </c>
      <c r="H306" s="265"/>
    </row>
    <row r="307" spans="1:8" ht="13.5" thickBot="1" x14ac:dyDescent="0.25">
      <c r="A307" s="350"/>
      <c r="B307" s="266"/>
      <c r="C307" s="266"/>
      <c r="D307" s="266"/>
      <c r="E307" s="266"/>
      <c r="F307" s="266"/>
      <c r="G307" s="266"/>
      <c r="H307" s="267"/>
    </row>
    <row r="308" spans="1:8" x14ac:dyDescent="0.2">
      <c r="A308" s="343" t="e">
        <f>'A IV.A'!#REF!</f>
        <v>#REF!</v>
      </c>
      <c r="B308" s="466" t="e">
        <f>'A IV.A'!#REF!</f>
        <v>#REF!</v>
      </c>
      <c r="C308" s="466"/>
      <c r="D308" s="466"/>
      <c r="E308" s="466"/>
      <c r="F308" s="466"/>
      <c r="G308" s="466"/>
      <c r="H308" s="467"/>
    </row>
    <row r="309" spans="1:8" x14ac:dyDescent="0.2">
      <c r="A309" s="344"/>
      <c r="B309" s="468"/>
      <c r="C309" s="468"/>
      <c r="D309" s="468"/>
      <c r="E309" s="468"/>
      <c r="F309" s="468"/>
      <c r="G309" s="468"/>
      <c r="H309" s="469"/>
    </row>
    <row r="310" spans="1:8" x14ac:dyDescent="0.2">
      <c r="A310" s="349"/>
      <c r="H310" s="265"/>
    </row>
    <row r="311" spans="1:8" x14ac:dyDescent="0.2">
      <c r="A311" s="349"/>
      <c r="H311" s="265"/>
    </row>
    <row r="312" spans="1:8" x14ac:dyDescent="0.2">
      <c r="A312" s="349"/>
      <c r="B312" s="261" t="s">
        <v>639</v>
      </c>
      <c r="H312" s="265"/>
    </row>
    <row r="313" spans="1:8" x14ac:dyDescent="0.2">
      <c r="A313" s="349"/>
      <c r="H313" s="265"/>
    </row>
    <row r="314" spans="1:8" x14ac:dyDescent="0.2">
      <c r="A314" s="349"/>
      <c r="B314" s="261" t="s">
        <v>975</v>
      </c>
      <c r="F314" s="268">
        <f>(2*4*2)</f>
        <v>16</v>
      </c>
      <c r="H314" s="265"/>
    </row>
    <row r="315" spans="1:8" ht="13.5" thickBot="1" x14ac:dyDescent="0.25">
      <c r="A315" s="349"/>
      <c r="H315" s="265"/>
    </row>
    <row r="316" spans="1:8" ht="13.5" thickBot="1" x14ac:dyDescent="0.25">
      <c r="A316" s="349"/>
      <c r="C316" s="269" t="s">
        <v>572</v>
      </c>
      <c r="D316" s="270">
        <f>F314</f>
        <v>16</v>
      </c>
      <c r="E316" s="271" t="s">
        <v>38</v>
      </c>
      <c r="H316" s="265"/>
    </row>
    <row r="317" spans="1:8" ht="13.5" thickBot="1" x14ac:dyDescent="0.25">
      <c r="A317" s="350"/>
      <c r="B317" s="266"/>
      <c r="C317" s="266"/>
      <c r="D317" s="266"/>
      <c r="E317" s="266"/>
      <c r="F317" s="266"/>
      <c r="G317" s="266"/>
      <c r="H317" s="267"/>
    </row>
    <row r="318" spans="1:8" x14ac:dyDescent="0.2">
      <c r="A318" s="343" t="str">
        <f>'A IV.A'!A48</f>
        <v>3.1.3</v>
      </c>
      <c r="B318" s="466" t="str">
        <f>'A IV.A'!B48</f>
        <v>FORNECIMENTO E INSTALAÇÃO DE CONJUNTO DE PORTÕES DE ABRIR EM BARRA CHATA, SOB MEDIDA, COMPLETO, PADRÃO ANEXO X.I-A, PORTÃO SOCIAL (1,00 X 2,6) E PORTÃO DE VEÍCULOS (4,00 X 2,60), INCLUSIVE PILARES DE FIXAÇÃO</v>
      </c>
      <c r="C318" s="466"/>
      <c r="D318" s="466"/>
      <c r="E318" s="466"/>
      <c r="F318" s="466"/>
      <c r="G318" s="466"/>
      <c r="H318" s="467"/>
    </row>
    <row r="319" spans="1:8" x14ac:dyDescent="0.2">
      <c r="A319" s="344"/>
      <c r="B319" s="468"/>
      <c r="C319" s="468"/>
      <c r="D319" s="468"/>
      <c r="E319" s="468"/>
      <c r="F319" s="468"/>
      <c r="G319" s="468"/>
      <c r="H319" s="469"/>
    </row>
    <row r="320" spans="1:8" x14ac:dyDescent="0.2">
      <c r="A320" s="349"/>
      <c r="H320" s="265"/>
    </row>
    <row r="321" spans="1:8" x14ac:dyDescent="0.2">
      <c r="A321" s="349"/>
      <c r="B321" s="261"/>
      <c r="C321" s="329" t="s">
        <v>970</v>
      </c>
      <c r="D321" s="268">
        <f>'[9]Mem Global'!$G$2105</f>
        <v>31</v>
      </c>
      <c r="E321" s="261" t="s">
        <v>40</v>
      </c>
      <c r="H321" s="265"/>
    </row>
    <row r="322" spans="1:8" ht="13.5" thickBot="1" x14ac:dyDescent="0.25">
      <c r="A322" s="349"/>
      <c r="H322" s="265"/>
    </row>
    <row r="323" spans="1:8" ht="13.5" thickBot="1" x14ac:dyDescent="0.25">
      <c r="A323" s="349"/>
      <c r="C323" s="269" t="s">
        <v>572</v>
      </c>
      <c r="D323" s="270">
        <f>D321</f>
        <v>31</v>
      </c>
      <c r="E323" s="271" t="s">
        <v>40</v>
      </c>
      <c r="H323" s="265"/>
    </row>
    <row r="324" spans="1:8" ht="13.5" thickBot="1" x14ac:dyDescent="0.25">
      <c r="A324" s="350"/>
      <c r="B324" s="266"/>
      <c r="C324" s="266"/>
      <c r="D324" s="266"/>
      <c r="E324" s="266"/>
      <c r="F324" s="266"/>
      <c r="G324" s="266"/>
      <c r="H324" s="267"/>
    </row>
    <row r="325" spans="1:8" x14ac:dyDescent="0.2">
      <c r="A325" s="343" t="e">
        <f>'A IV.A'!#REF!</f>
        <v>#REF!</v>
      </c>
      <c r="B325" s="466" t="e">
        <f>'A IV.A'!#REF!</f>
        <v>#REF!</v>
      </c>
      <c r="C325" s="466"/>
      <c r="D325" s="466"/>
      <c r="E325" s="466"/>
      <c r="F325" s="466"/>
      <c r="G325" s="466"/>
      <c r="H325" s="467"/>
    </row>
    <row r="326" spans="1:8" x14ac:dyDescent="0.2">
      <c r="A326" s="344"/>
      <c r="B326" s="468"/>
      <c r="C326" s="468"/>
      <c r="D326" s="468"/>
      <c r="E326" s="468"/>
      <c r="F326" s="468"/>
      <c r="G326" s="468"/>
      <c r="H326" s="469"/>
    </row>
    <row r="327" spans="1:8" x14ac:dyDescent="0.2">
      <c r="A327" s="349"/>
      <c r="H327" s="265"/>
    </row>
    <row r="328" spans="1:8" x14ac:dyDescent="0.2">
      <c r="A328" s="349"/>
      <c r="B328" s="261" t="s">
        <v>639</v>
      </c>
      <c r="H328" s="265"/>
    </row>
    <row r="329" spans="1:8" x14ac:dyDescent="0.2">
      <c r="A329" s="349"/>
      <c r="H329" s="265"/>
    </row>
    <row r="330" spans="1:8" x14ac:dyDescent="0.2">
      <c r="A330" s="349"/>
      <c r="B330" s="261" t="s">
        <v>976</v>
      </c>
      <c r="E330" s="268">
        <f>1*4*2.1</f>
        <v>8.4</v>
      </c>
      <c r="H330" s="265"/>
    </row>
    <row r="331" spans="1:8" ht="13.5" thickBot="1" x14ac:dyDescent="0.25">
      <c r="A331" s="349"/>
      <c r="H331" s="265"/>
    </row>
    <row r="332" spans="1:8" ht="13.5" thickBot="1" x14ac:dyDescent="0.25">
      <c r="A332" s="349"/>
      <c r="C332" s="269" t="s">
        <v>572</v>
      </c>
      <c r="D332" s="270">
        <v>9</v>
      </c>
      <c r="E332" s="271" t="s">
        <v>38</v>
      </c>
      <c r="H332" s="265"/>
    </row>
    <row r="333" spans="1:8" ht="13.5" thickBot="1" x14ac:dyDescent="0.25">
      <c r="A333" s="350"/>
      <c r="B333" s="266"/>
      <c r="C333" s="266"/>
      <c r="D333" s="266"/>
      <c r="E333" s="266"/>
      <c r="F333" s="266"/>
      <c r="G333" s="266"/>
      <c r="H333" s="267"/>
    </row>
    <row r="334" spans="1:8" x14ac:dyDescent="0.2">
      <c r="A334" s="343" t="e">
        <f>'A IV.A'!#REF!</f>
        <v>#REF!</v>
      </c>
      <c r="B334" s="466" t="e">
        <f>'A IV.A'!#REF!</f>
        <v>#REF!</v>
      </c>
      <c r="C334" s="466"/>
      <c r="D334" s="466"/>
      <c r="E334" s="466"/>
      <c r="F334" s="466"/>
      <c r="G334" s="466"/>
      <c r="H334" s="467"/>
    </row>
    <row r="335" spans="1:8" x14ac:dyDescent="0.2">
      <c r="A335" s="344"/>
      <c r="B335" s="468"/>
      <c r="C335" s="468"/>
      <c r="D335" s="468"/>
      <c r="E335" s="468"/>
      <c r="F335" s="468"/>
      <c r="G335" s="468"/>
      <c r="H335" s="469"/>
    </row>
    <row r="336" spans="1:8" x14ac:dyDescent="0.2">
      <c r="A336" s="349"/>
      <c r="H336" s="265"/>
    </row>
    <row r="337" spans="1:10" x14ac:dyDescent="0.2">
      <c r="A337" s="349"/>
      <c r="B337" s="261" t="s">
        <v>579</v>
      </c>
      <c r="D337" s="268">
        <v>15</v>
      </c>
      <c r="E337" s="261" t="s">
        <v>36</v>
      </c>
      <c r="H337" s="265"/>
    </row>
    <row r="338" spans="1:10" ht="13.5" thickBot="1" x14ac:dyDescent="0.25">
      <c r="A338" s="349"/>
      <c r="H338" s="265"/>
    </row>
    <row r="339" spans="1:10" ht="13.5" thickBot="1" x14ac:dyDescent="0.25">
      <c r="A339" s="349"/>
      <c r="C339" s="269" t="s">
        <v>572</v>
      </c>
      <c r="D339" s="270">
        <v>15</v>
      </c>
      <c r="E339" s="271" t="s">
        <v>36</v>
      </c>
      <c r="H339" s="265"/>
      <c r="J339" s="261"/>
    </row>
    <row r="340" spans="1:10" ht="13.5" thickBot="1" x14ac:dyDescent="0.25">
      <c r="A340" s="350"/>
      <c r="B340" s="266"/>
      <c r="C340" s="266"/>
      <c r="D340" s="266"/>
      <c r="E340" s="266"/>
      <c r="F340" s="266"/>
      <c r="G340" s="266"/>
      <c r="H340" s="267"/>
    </row>
    <row r="341" spans="1:10" x14ac:dyDescent="0.2">
      <c r="A341" s="343" t="e">
        <f>'A IV.A'!#REF!</f>
        <v>#REF!</v>
      </c>
      <c r="B341" s="466" t="e">
        <f>'A IV.A'!#REF!</f>
        <v>#REF!</v>
      </c>
      <c r="C341" s="466"/>
      <c r="D341" s="466"/>
      <c r="E341" s="466"/>
      <c r="F341" s="466"/>
      <c r="G341" s="466"/>
      <c r="H341" s="467"/>
    </row>
    <row r="342" spans="1:10" x14ac:dyDescent="0.2">
      <c r="A342" s="344"/>
      <c r="B342" s="468"/>
      <c r="C342" s="468"/>
      <c r="D342" s="468"/>
      <c r="E342" s="468"/>
      <c r="F342" s="468"/>
      <c r="G342" s="468"/>
      <c r="H342" s="469"/>
    </row>
    <row r="343" spans="1:10" x14ac:dyDescent="0.2">
      <c r="A343" s="349"/>
      <c r="H343" s="265"/>
    </row>
    <row r="344" spans="1:10" x14ac:dyDescent="0.2">
      <c r="A344" s="349"/>
      <c r="B344" s="261" t="s">
        <v>579</v>
      </c>
      <c r="C344">
        <v>20</v>
      </c>
      <c r="D344" s="261" t="s">
        <v>640</v>
      </c>
      <c r="H344" s="265"/>
    </row>
    <row r="345" spans="1:10" ht="13.5" thickBot="1" x14ac:dyDescent="0.25">
      <c r="A345" s="349"/>
      <c r="H345" s="265"/>
      <c r="J345" s="261" t="s">
        <v>640</v>
      </c>
    </row>
    <row r="346" spans="1:10" ht="13.5" thickBot="1" x14ac:dyDescent="0.25">
      <c r="A346" s="349"/>
      <c r="C346" s="269" t="s">
        <v>572</v>
      </c>
      <c r="D346" s="270">
        <v>20</v>
      </c>
      <c r="E346" s="271" t="s">
        <v>36</v>
      </c>
      <c r="H346" s="265"/>
    </row>
    <row r="347" spans="1:10" ht="13.5" thickBot="1" x14ac:dyDescent="0.25">
      <c r="A347" s="350"/>
      <c r="B347" s="266"/>
      <c r="C347" s="266"/>
      <c r="D347" s="266"/>
      <c r="E347" s="266"/>
      <c r="F347" s="266"/>
      <c r="G347" s="266"/>
      <c r="H347" s="267"/>
    </row>
    <row r="348" spans="1:10" ht="26.25" customHeight="1" thickBot="1" x14ac:dyDescent="0.25">
      <c r="A348" s="347" t="str">
        <f>'A IV.A'!A49</f>
        <v>3.2</v>
      </c>
      <c r="B348" s="476" t="str">
        <f>'A IV.A'!B49:M49</f>
        <v>ESQUADRIAS E ELEMENTOS METÁLICOS - ITENS 8.2.1 A 8.2.10 DO TERMO DE REFERÊNCIA</v>
      </c>
      <c r="C348" s="477"/>
      <c r="D348" s="477"/>
      <c r="E348" s="477"/>
      <c r="F348" s="477"/>
      <c r="G348" s="477"/>
      <c r="H348" s="478"/>
    </row>
    <row r="349" spans="1:10" x14ac:dyDescent="0.2">
      <c r="A349" s="343" t="str">
        <f>'A IV.A'!A50</f>
        <v>3.2.1</v>
      </c>
      <c r="B349" s="262" t="str">
        <f>'A IV.A'!B50</f>
        <v>EXECUÇÃO DE PORTA PARA RESERVATÓRIOS</v>
      </c>
      <c r="C349" s="262"/>
      <c r="D349" s="262"/>
      <c r="E349" s="262"/>
      <c r="F349" s="262"/>
      <c r="G349" s="262"/>
      <c r="H349" s="273"/>
    </row>
    <row r="350" spans="1:10" x14ac:dyDescent="0.2">
      <c r="A350" s="349"/>
      <c r="H350" s="265"/>
    </row>
    <row r="351" spans="1:10" x14ac:dyDescent="0.2">
      <c r="A351" s="349"/>
      <c r="B351" s="261" t="s">
        <v>641</v>
      </c>
      <c r="H351" s="265"/>
    </row>
    <row r="352" spans="1:10" x14ac:dyDescent="0.2">
      <c r="A352" s="349"/>
      <c r="H352" s="265"/>
    </row>
    <row r="353" spans="1:8" x14ac:dyDescent="0.2">
      <c r="A353" s="349"/>
      <c r="B353" s="261"/>
      <c r="D353" s="268"/>
      <c r="H353" s="265"/>
    </row>
    <row r="354" spans="1:8" x14ac:dyDescent="0.2">
      <c r="A354" s="349"/>
      <c r="B354" s="261" t="s">
        <v>969</v>
      </c>
      <c r="D354" s="268">
        <v>3</v>
      </c>
      <c r="H354" s="265"/>
    </row>
    <row r="355" spans="1:8" x14ac:dyDescent="0.2">
      <c r="A355" s="349"/>
      <c r="D355" s="268"/>
      <c r="H355" s="265"/>
    </row>
    <row r="356" spans="1:8" x14ac:dyDescent="0.2">
      <c r="A356" s="349"/>
      <c r="H356" s="265"/>
    </row>
    <row r="357" spans="1:8" x14ac:dyDescent="0.2">
      <c r="A357" s="349"/>
      <c r="B357" s="261" t="s">
        <v>980</v>
      </c>
      <c r="D357" s="268">
        <v>1</v>
      </c>
      <c r="H357" s="265"/>
    </row>
    <row r="358" spans="1:8" ht="13.5" thickBot="1" x14ac:dyDescent="0.25">
      <c r="A358" s="349"/>
      <c r="H358" s="265"/>
    </row>
    <row r="359" spans="1:8" x14ac:dyDescent="0.2">
      <c r="A359" s="349"/>
      <c r="C359" s="269" t="s">
        <v>572</v>
      </c>
      <c r="D359" s="270">
        <v>3</v>
      </c>
      <c r="E359" s="271" t="s">
        <v>448</v>
      </c>
      <c r="H359" s="265"/>
    </row>
    <row r="360" spans="1:8" ht="13.5" thickBot="1" x14ac:dyDescent="0.25">
      <c r="A360" s="350"/>
      <c r="B360" s="266"/>
      <c r="C360" s="266"/>
      <c r="D360" s="266"/>
      <c r="E360" s="266"/>
      <c r="F360" s="266"/>
      <c r="G360" s="266"/>
      <c r="H360" s="267"/>
    </row>
    <row r="361" spans="1:8" x14ac:dyDescent="0.2">
      <c r="A361" s="343" t="str">
        <f>'A IV.A'!A51</f>
        <v>3.2.2</v>
      </c>
      <c r="B361" s="466" t="str">
        <f>'A IV.A'!B51</f>
        <v>FORNECIMENTO E INSTALAÇÃO DE ESQUADRIA METÁLICA EM VENEZIANA/CHAPA DE FERRO, SOB MEDIDA</v>
      </c>
      <c r="C361" s="466"/>
      <c r="D361" s="466"/>
      <c r="E361" s="466"/>
      <c r="F361" s="466"/>
      <c r="G361" s="466"/>
      <c r="H361" s="467"/>
    </row>
    <row r="362" spans="1:8" x14ac:dyDescent="0.2">
      <c r="A362" s="344"/>
      <c r="B362" s="468"/>
      <c r="C362" s="468"/>
      <c r="D362" s="468"/>
      <c r="E362" s="468"/>
      <c r="F362" s="468"/>
      <c r="G362" s="468"/>
      <c r="H362" s="469"/>
    </row>
    <row r="363" spans="1:8" x14ac:dyDescent="0.2">
      <c r="A363" s="349"/>
      <c r="H363" s="265"/>
    </row>
    <row r="364" spans="1:8" hidden="1" x14ac:dyDescent="0.2">
      <c r="A364" s="349"/>
      <c r="B364" s="261"/>
      <c r="E364" s="275"/>
      <c r="H364" s="265"/>
    </row>
    <row r="365" spans="1:8" hidden="1" x14ac:dyDescent="0.2">
      <c r="A365" s="349"/>
      <c r="B365" s="261"/>
      <c r="E365" s="268"/>
      <c r="H365" s="265"/>
    </row>
    <row r="366" spans="1:8" hidden="1" x14ac:dyDescent="0.2">
      <c r="A366" s="349"/>
      <c r="B366" s="261"/>
      <c r="E366" s="268"/>
      <c r="H366" s="265"/>
    </row>
    <row r="367" spans="1:8" hidden="1" x14ac:dyDescent="0.2">
      <c r="A367" s="349"/>
      <c r="B367" s="261"/>
      <c r="E367" s="268"/>
      <c r="H367" s="265"/>
    </row>
    <row r="368" spans="1:8" hidden="1" x14ac:dyDescent="0.2">
      <c r="A368" s="349"/>
      <c r="E368" s="275"/>
      <c r="H368" s="265"/>
    </row>
    <row r="369" spans="1:8" x14ac:dyDescent="0.2">
      <c r="A369" s="349"/>
      <c r="H369" s="265"/>
    </row>
    <row r="370" spans="1:8" x14ac:dyDescent="0.2">
      <c r="A370" s="349"/>
      <c r="B370" s="261" t="s">
        <v>1131</v>
      </c>
      <c r="E370" s="268">
        <f>'[9]Mem Global'!$G$2430</f>
        <v>79.5</v>
      </c>
      <c r="H370" s="265"/>
    </row>
    <row r="371" spans="1:8" ht="13.5" thickBot="1" x14ac:dyDescent="0.25">
      <c r="A371" s="349"/>
      <c r="H371" s="265"/>
    </row>
    <row r="372" spans="1:8" ht="13.5" thickBot="1" x14ac:dyDescent="0.25">
      <c r="A372" s="349"/>
      <c r="C372" s="269" t="s">
        <v>572</v>
      </c>
      <c r="D372" s="270">
        <f>ROUNDUP(E370,0)</f>
        <v>80</v>
      </c>
      <c r="E372" s="271" t="s">
        <v>38</v>
      </c>
      <c r="H372" s="265"/>
    </row>
    <row r="373" spans="1:8" ht="13.5" thickBot="1" x14ac:dyDescent="0.25">
      <c r="A373" s="350"/>
      <c r="B373" s="266"/>
      <c r="C373" s="266"/>
      <c r="D373" s="266"/>
      <c r="E373" s="266"/>
      <c r="F373" s="266"/>
      <c r="G373" s="266"/>
      <c r="H373" s="267"/>
    </row>
    <row r="374" spans="1:8" x14ac:dyDescent="0.2">
      <c r="A374" s="343" t="str">
        <f>'A IV.A'!A52</f>
        <v>3.2.3</v>
      </c>
      <c r="B374" s="262" t="str">
        <f>'A IV.A'!B52</f>
        <v>RECOLOCAÇÃO DE ESQUADRIAS METÁLICAS NO GERAL</v>
      </c>
      <c r="C374" s="262"/>
      <c r="D374" s="262"/>
      <c r="E374" s="262"/>
      <c r="F374" s="262"/>
      <c r="G374" s="262"/>
      <c r="H374" s="273"/>
    </row>
    <row r="375" spans="1:8" x14ac:dyDescent="0.2">
      <c r="A375" s="349"/>
      <c r="H375" s="265"/>
    </row>
    <row r="376" spans="1:8" x14ac:dyDescent="0.2">
      <c r="A376" s="349"/>
      <c r="B376" t="s">
        <v>624</v>
      </c>
      <c r="D376">
        <v>99.04</v>
      </c>
      <c r="H376" s="265"/>
    </row>
    <row r="377" spans="1:8" x14ac:dyDescent="0.2">
      <c r="A377" s="349"/>
      <c r="B377" s="261" t="s">
        <v>978</v>
      </c>
      <c r="D377">
        <v>100</v>
      </c>
      <c r="H377" s="265"/>
    </row>
    <row r="378" spans="1:8" ht="13.5" thickBot="1" x14ac:dyDescent="0.25">
      <c r="A378" s="349"/>
      <c r="H378" s="265"/>
    </row>
    <row r="379" spans="1:8" ht="13.5" thickBot="1" x14ac:dyDescent="0.25">
      <c r="A379" s="349"/>
      <c r="C379" s="269" t="s">
        <v>572</v>
      </c>
      <c r="D379" s="270">
        <f>D377</f>
        <v>100</v>
      </c>
      <c r="E379" s="271" t="s">
        <v>38</v>
      </c>
      <c r="H379" s="265"/>
    </row>
    <row r="380" spans="1:8" ht="13.5" thickBot="1" x14ac:dyDescent="0.25">
      <c r="A380" s="349"/>
      <c r="H380" s="265"/>
    </row>
    <row r="381" spans="1:8" ht="12.75" customHeight="1" x14ac:dyDescent="0.2">
      <c r="A381" s="343" t="str">
        <f>'A IV.A'!A53</f>
        <v>3.2.4</v>
      </c>
      <c r="B381" s="466" t="str">
        <f>'A IV.A'!B53</f>
        <v>FORNECIMENTO ABRIGO DE PROTEÇÃO PARA POÇOS (REFORÇADO)</v>
      </c>
      <c r="C381" s="466"/>
      <c r="D381" s="466"/>
      <c r="E381" s="466"/>
      <c r="F381" s="466"/>
      <c r="G381" s="466"/>
      <c r="H381" s="467"/>
    </row>
    <row r="382" spans="1:8" x14ac:dyDescent="0.2">
      <c r="A382" s="349"/>
      <c r="H382" s="265"/>
    </row>
    <row r="383" spans="1:8" x14ac:dyDescent="0.2">
      <c r="A383" s="349"/>
      <c r="B383" s="261" t="s">
        <v>642</v>
      </c>
      <c r="H383" s="265"/>
    </row>
    <row r="384" spans="1:8" ht="13.5" thickBot="1" x14ac:dyDescent="0.25">
      <c r="A384" s="349"/>
      <c r="H384" s="265"/>
    </row>
    <row r="385" spans="1:8" ht="13.5" thickBot="1" x14ac:dyDescent="0.25">
      <c r="A385" s="349"/>
      <c r="C385" s="269" t="s">
        <v>572</v>
      </c>
      <c r="D385" s="270">
        <v>1</v>
      </c>
      <c r="E385" s="271" t="s">
        <v>448</v>
      </c>
      <c r="H385" s="265"/>
    </row>
    <row r="386" spans="1:8" ht="13.5" thickBot="1" x14ac:dyDescent="0.25">
      <c r="A386" s="350"/>
      <c r="B386" s="266"/>
      <c r="C386" s="266"/>
      <c r="D386" s="266"/>
      <c r="E386" s="266"/>
      <c r="F386" s="266"/>
      <c r="G386" s="266"/>
      <c r="H386" s="267"/>
    </row>
    <row r="387" spans="1:8" x14ac:dyDescent="0.2">
      <c r="A387" s="343" t="str">
        <f>'A IV.A'!A54</f>
        <v>3.2.5</v>
      </c>
      <c r="B387" s="262" t="str">
        <f>'A IV.A'!B54</f>
        <v>JANELA DE AÇO  TIPO BASCULANTE, FIXAÇÃO COM ARGAMASSA</v>
      </c>
      <c r="C387" s="262"/>
      <c r="D387" s="262"/>
      <c r="E387" s="262"/>
      <c r="F387" s="262"/>
      <c r="G387" s="262"/>
      <c r="H387" s="273"/>
    </row>
    <row r="388" spans="1:8" x14ac:dyDescent="0.2">
      <c r="A388" s="349"/>
      <c r="H388" s="265"/>
    </row>
    <row r="389" spans="1:8" x14ac:dyDescent="0.2">
      <c r="A389" s="349"/>
      <c r="B389" s="261" t="s">
        <v>979</v>
      </c>
      <c r="D389" s="268">
        <v>9.4</v>
      </c>
      <c r="E389" s="261" t="s">
        <v>38</v>
      </c>
      <c r="H389" s="265"/>
    </row>
    <row r="390" spans="1:8" x14ac:dyDescent="0.2">
      <c r="A390" s="349"/>
      <c r="B390" s="261"/>
      <c r="D390" s="268"/>
      <c r="H390" s="265"/>
    </row>
    <row r="391" spans="1:8" x14ac:dyDescent="0.2">
      <c r="A391" s="349"/>
      <c r="B391" s="261" t="s">
        <v>980</v>
      </c>
      <c r="D391" s="268">
        <v>1.5</v>
      </c>
      <c r="E391" s="261" t="s">
        <v>38</v>
      </c>
      <c r="H391" s="265"/>
    </row>
    <row r="392" spans="1:8" ht="13.5" thickBot="1" x14ac:dyDescent="0.25">
      <c r="A392" s="349"/>
      <c r="H392" s="265"/>
    </row>
    <row r="393" spans="1:8" ht="13.5" thickBot="1" x14ac:dyDescent="0.25">
      <c r="A393" s="349"/>
      <c r="C393" s="269" t="s">
        <v>572</v>
      </c>
      <c r="D393" s="270">
        <v>1.5</v>
      </c>
      <c r="E393" s="271" t="s">
        <v>38</v>
      </c>
      <c r="H393" s="265"/>
    </row>
    <row r="394" spans="1:8" ht="13.5" thickBot="1" x14ac:dyDescent="0.25">
      <c r="A394" s="350"/>
      <c r="B394" s="266"/>
      <c r="C394" s="266"/>
      <c r="D394" s="266"/>
      <c r="E394" s="266"/>
      <c r="F394" s="266"/>
      <c r="G394" s="266"/>
      <c r="H394" s="267"/>
    </row>
    <row r="395" spans="1:8" x14ac:dyDescent="0.2">
      <c r="A395" s="343" t="str">
        <f>'A IV.A'!A55</f>
        <v>3.2.6</v>
      </c>
      <c r="B395" s="466" t="str">
        <f>'A IV.A'!B55</f>
        <v>JANELA DE AÇO DE CORRER, TIPO VENEZIANA, FIXAÇÃO COM ARGAMASSA</v>
      </c>
      <c r="C395" s="466"/>
      <c r="D395" s="466"/>
      <c r="E395" s="466"/>
      <c r="F395" s="466"/>
      <c r="G395" s="466"/>
      <c r="H395" s="467"/>
    </row>
    <row r="396" spans="1:8" x14ac:dyDescent="0.2">
      <c r="A396" s="344"/>
      <c r="B396" s="468"/>
      <c r="C396" s="468"/>
      <c r="D396" s="468"/>
      <c r="E396" s="468"/>
      <c r="F396" s="468"/>
      <c r="G396" s="468"/>
      <c r="H396" s="469"/>
    </row>
    <row r="397" spans="1:8" x14ac:dyDescent="0.2">
      <c r="A397" s="349"/>
      <c r="H397" s="265"/>
    </row>
    <row r="398" spans="1:8" x14ac:dyDescent="0.2">
      <c r="A398" s="349"/>
      <c r="B398" s="261" t="s">
        <v>979</v>
      </c>
      <c r="D398" s="268">
        <v>7.5</v>
      </c>
      <c r="H398" s="265"/>
    </row>
    <row r="399" spans="1:8" x14ac:dyDescent="0.2">
      <c r="A399" s="349"/>
      <c r="B399" s="261"/>
      <c r="D399" s="275"/>
      <c r="H399" s="265"/>
    </row>
    <row r="400" spans="1:8" x14ac:dyDescent="0.2">
      <c r="A400" s="349"/>
      <c r="B400" s="261" t="s">
        <v>970</v>
      </c>
      <c r="D400" s="275">
        <v>5</v>
      </c>
      <c r="H400" s="265"/>
    </row>
    <row r="401" spans="1:8" ht="13.5" thickBot="1" x14ac:dyDescent="0.25">
      <c r="A401" s="349"/>
      <c r="H401" s="265"/>
    </row>
    <row r="402" spans="1:8" ht="13.5" thickBot="1" x14ac:dyDescent="0.25">
      <c r="A402" s="349"/>
      <c r="C402" s="269" t="s">
        <v>572</v>
      </c>
      <c r="D402" s="270">
        <v>5</v>
      </c>
      <c r="E402" s="271" t="s">
        <v>38</v>
      </c>
      <c r="H402" s="265"/>
    </row>
    <row r="403" spans="1:8" ht="13.5" thickBot="1" x14ac:dyDescent="0.25">
      <c r="A403" s="350"/>
      <c r="B403" s="266"/>
      <c r="C403" s="266"/>
      <c r="D403" s="266"/>
      <c r="E403" s="266"/>
      <c r="F403" s="266"/>
      <c r="G403" s="266"/>
      <c r="H403" s="267"/>
    </row>
    <row r="404" spans="1:8" x14ac:dyDescent="0.2">
      <c r="A404" s="343" t="str">
        <f>'A IV.A'!A56</f>
        <v>3.2.7</v>
      </c>
      <c r="B404" s="466" t="str">
        <f>'A IV.A'!B56</f>
        <v>TAMPA METÁLICA EM CHAPA DE AÇO GALVANIZADA Nº 16 - PADRÃO SEMAE</v>
      </c>
      <c r="C404" s="466"/>
      <c r="D404" s="466"/>
      <c r="E404" s="466"/>
      <c r="F404" s="466"/>
      <c r="G404" s="466"/>
      <c r="H404" s="467"/>
    </row>
    <row r="405" spans="1:8" x14ac:dyDescent="0.2">
      <c r="A405" s="344"/>
      <c r="B405" s="468"/>
      <c r="C405" s="468"/>
      <c r="D405" s="468"/>
      <c r="E405" s="468"/>
      <c r="F405" s="468"/>
      <c r="G405" s="468"/>
      <c r="H405" s="469"/>
    </row>
    <row r="406" spans="1:8" x14ac:dyDescent="0.2">
      <c r="A406" s="349"/>
      <c r="H406" s="265"/>
    </row>
    <row r="407" spans="1:8" x14ac:dyDescent="0.2">
      <c r="A407" s="349"/>
      <c r="B407" s="261" t="s">
        <v>979</v>
      </c>
      <c r="D407">
        <v>258.45</v>
      </c>
      <c r="H407" s="265"/>
    </row>
    <row r="408" spans="1:8" x14ac:dyDescent="0.2">
      <c r="A408" s="349"/>
      <c r="H408" s="265"/>
    </row>
    <row r="409" spans="1:8" hidden="1" x14ac:dyDescent="0.2">
      <c r="A409" s="349"/>
      <c r="B409" s="261"/>
      <c r="D409" s="268"/>
      <c r="H409" s="265"/>
    </row>
    <row r="410" spans="1:8" x14ac:dyDescent="0.2">
      <c r="A410" s="349"/>
      <c r="B410" s="261" t="s">
        <v>970</v>
      </c>
      <c r="D410" s="275">
        <v>75</v>
      </c>
      <c r="H410" s="265"/>
    </row>
    <row r="411" spans="1:8" x14ac:dyDescent="0.2">
      <c r="A411" s="349"/>
      <c r="B411" s="261"/>
      <c r="D411" s="268"/>
      <c r="H411" s="265"/>
    </row>
    <row r="412" spans="1:8" hidden="1" x14ac:dyDescent="0.2">
      <c r="A412" s="349"/>
      <c r="B412" s="261"/>
      <c r="H412" s="265"/>
    </row>
    <row r="413" spans="1:8" hidden="1" x14ac:dyDescent="0.2">
      <c r="A413" s="349"/>
      <c r="D413" s="268"/>
      <c r="H413" s="265"/>
    </row>
    <row r="414" spans="1:8" hidden="1" x14ac:dyDescent="0.2">
      <c r="A414" s="349"/>
      <c r="H414" s="265"/>
    </row>
    <row r="415" spans="1:8" hidden="1" x14ac:dyDescent="0.2">
      <c r="A415" s="349"/>
      <c r="C415" s="261"/>
      <c r="H415" s="265"/>
    </row>
    <row r="416" spans="1:8" hidden="1" x14ac:dyDescent="0.2">
      <c r="A416" s="349"/>
      <c r="C416" s="261"/>
      <c r="H416" s="265"/>
    </row>
    <row r="417" spans="1:10" ht="13.5" thickBot="1" x14ac:dyDescent="0.25">
      <c r="A417" s="349"/>
      <c r="H417" s="265"/>
    </row>
    <row r="418" spans="1:10" ht="13.5" thickBot="1" x14ac:dyDescent="0.25">
      <c r="A418" s="349"/>
      <c r="C418" s="269" t="s">
        <v>572</v>
      </c>
      <c r="D418" s="270">
        <f>ROUNDUP(D410,0)</f>
        <v>75</v>
      </c>
      <c r="E418" s="271" t="s">
        <v>38</v>
      </c>
      <c r="H418" s="265"/>
      <c r="J418" s="261" t="s">
        <v>643</v>
      </c>
    </row>
    <row r="419" spans="1:10" ht="13.5" thickBot="1" x14ac:dyDescent="0.25">
      <c r="A419" s="350"/>
      <c r="B419" s="266"/>
      <c r="C419" s="266"/>
      <c r="D419" s="266"/>
      <c r="E419" s="266"/>
      <c r="F419" s="266"/>
      <c r="G419" s="266"/>
      <c r="H419" s="267"/>
    </row>
    <row r="420" spans="1:10" ht="12.75" customHeight="1" x14ac:dyDescent="0.2">
      <c r="A420" s="343" t="str">
        <f>'A IV.A'!A57</f>
        <v>3.2.8</v>
      </c>
      <c r="B420" s="466" t="str">
        <f>'A IV.A'!B57</f>
        <v>GRADE DE PROTEÇÃO DE FERRO EM BARRA CHATA</v>
      </c>
      <c r="C420" s="466"/>
      <c r="D420" s="466"/>
      <c r="E420" s="466"/>
      <c r="F420" s="466"/>
      <c r="G420" s="466"/>
      <c r="H420" s="467"/>
    </row>
    <row r="421" spans="1:10" x14ac:dyDescent="0.2">
      <c r="A421" s="349"/>
      <c r="H421" s="265"/>
    </row>
    <row r="422" spans="1:10" x14ac:dyDescent="0.2">
      <c r="A422" s="349"/>
      <c r="B422" s="261" t="s">
        <v>981</v>
      </c>
      <c r="E422">
        <v>148.91</v>
      </c>
      <c r="H422" s="265"/>
    </row>
    <row r="423" spans="1:10" x14ac:dyDescent="0.2">
      <c r="A423" s="349"/>
      <c r="H423" s="265"/>
    </row>
    <row r="424" spans="1:10" x14ac:dyDescent="0.2">
      <c r="A424" s="349"/>
      <c r="H424" s="265"/>
    </row>
    <row r="425" spans="1:10" x14ac:dyDescent="0.2">
      <c r="A425" s="349"/>
      <c r="B425" s="261" t="s">
        <v>970</v>
      </c>
      <c r="E425" s="275">
        <v>90</v>
      </c>
      <c r="G425" s="275"/>
      <c r="H425" s="265"/>
    </row>
    <row r="426" spans="1:10" x14ac:dyDescent="0.2">
      <c r="A426" s="349"/>
      <c r="E426" s="268"/>
      <c r="H426" s="265"/>
    </row>
    <row r="427" spans="1:10" ht="13.5" thickBot="1" x14ac:dyDescent="0.25">
      <c r="A427" s="349"/>
      <c r="C427" s="261"/>
      <c r="D427" s="268"/>
      <c r="H427" s="265"/>
    </row>
    <row r="428" spans="1:10" ht="13.5" thickBot="1" x14ac:dyDescent="0.25">
      <c r="A428" s="349"/>
      <c r="C428" s="269" t="s">
        <v>572</v>
      </c>
      <c r="D428" s="270">
        <f>ROUNDUP(E425,0)</f>
        <v>90</v>
      </c>
      <c r="E428" s="271" t="s">
        <v>38</v>
      </c>
      <c r="H428" s="265"/>
      <c r="J428" s="261" t="s">
        <v>644</v>
      </c>
    </row>
    <row r="429" spans="1:10" ht="13.5" thickBot="1" x14ac:dyDescent="0.25">
      <c r="A429" s="350"/>
      <c r="B429" s="266"/>
      <c r="C429" s="280"/>
      <c r="D429" s="294"/>
      <c r="E429" s="266"/>
      <c r="F429" s="266"/>
      <c r="G429" s="266"/>
      <c r="H429" s="267"/>
    </row>
    <row r="430" spans="1:10" x14ac:dyDescent="0.2">
      <c r="A430" s="343" t="str">
        <f>'A IV.A'!A58</f>
        <v>3.2.9</v>
      </c>
      <c r="B430" s="466" t="str">
        <f>'A IV.A'!B58</f>
        <v>GRELHA EM FERRO FUNDIDO PARA CAIXAS E CANALETAS</v>
      </c>
      <c r="C430" s="466"/>
      <c r="D430" s="466"/>
      <c r="E430" s="466"/>
      <c r="F430" s="466"/>
      <c r="G430" s="466"/>
      <c r="H430" s="467"/>
    </row>
    <row r="431" spans="1:10" x14ac:dyDescent="0.2">
      <c r="A431" s="349"/>
      <c r="H431" s="265"/>
    </row>
    <row r="432" spans="1:10" x14ac:dyDescent="0.2">
      <c r="A432" s="349"/>
      <c r="B432" s="261" t="s">
        <v>981</v>
      </c>
      <c r="E432">
        <v>5.58</v>
      </c>
      <c r="H432" s="265"/>
    </row>
    <row r="433" spans="1:8" x14ac:dyDescent="0.2">
      <c r="A433" s="349"/>
      <c r="H433" s="265"/>
    </row>
    <row r="434" spans="1:8" x14ac:dyDescent="0.2">
      <c r="A434" s="349"/>
      <c r="H434" s="265"/>
    </row>
    <row r="435" spans="1:8" x14ac:dyDescent="0.2">
      <c r="A435" s="349"/>
      <c r="B435" s="261" t="s">
        <v>970</v>
      </c>
      <c r="E435" s="275">
        <f>0.15*2.3*25</f>
        <v>8.625</v>
      </c>
      <c r="G435" s="275"/>
      <c r="H435" s="265"/>
    </row>
    <row r="436" spans="1:8" x14ac:dyDescent="0.2">
      <c r="A436" s="349"/>
      <c r="E436" s="268"/>
      <c r="H436" s="265"/>
    </row>
    <row r="437" spans="1:8" ht="13.5" thickBot="1" x14ac:dyDescent="0.25">
      <c r="A437" s="349"/>
      <c r="C437" s="261"/>
      <c r="D437" s="268"/>
      <c r="H437" s="265"/>
    </row>
    <row r="438" spans="1:8" ht="13.5" thickBot="1" x14ac:dyDescent="0.25">
      <c r="A438" s="349"/>
      <c r="C438" s="269" t="s">
        <v>572</v>
      </c>
      <c r="D438" s="270">
        <v>10</v>
      </c>
      <c r="E438" s="271" t="s">
        <v>38</v>
      </c>
      <c r="H438" s="265"/>
    </row>
    <row r="439" spans="1:8" ht="12.75" customHeight="1" x14ac:dyDescent="0.2">
      <c r="A439" s="343" t="str">
        <f>'A IV.A'!A58</f>
        <v>3.2.9</v>
      </c>
      <c r="B439" s="474" t="str">
        <f>'A IV.A'!B58</f>
        <v>GRELHA EM FERRO FUNDIDO PARA CAIXAS E CANALETAS</v>
      </c>
      <c r="C439" s="474"/>
      <c r="D439" s="474"/>
      <c r="E439" s="474"/>
      <c r="F439" s="474"/>
      <c r="G439" s="474"/>
      <c r="H439" s="475"/>
    </row>
    <row r="440" spans="1:8" hidden="1" x14ac:dyDescent="0.2">
      <c r="A440" s="344"/>
      <c r="B440" s="498"/>
      <c r="C440" s="498"/>
      <c r="D440" s="498"/>
      <c r="E440" s="498"/>
      <c r="F440" s="498"/>
      <c r="G440" s="498"/>
      <c r="H440" s="499"/>
    </row>
    <row r="441" spans="1:8" hidden="1" x14ac:dyDescent="0.2">
      <c r="A441" s="344"/>
      <c r="B441" s="498"/>
      <c r="C441" s="498"/>
      <c r="D441" s="498"/>
      <c r="E441" s="498"/>
      <c r="F441" s="498"/>
      <c r="G441" s="498"/>
      <c r="H441" s="499"/>
    </row>
    <row r="442" spans="1:8" hidden="1" x14ac:dyDescent="0.2">
      <c r="A442" s="344"/>
      <c r="B442" s="498"/>
      <c r="C442" s="498"/>
      <c r="D442" s="498"/>
      <c r="E442" s="498"/>
      <c r="F442" s="498"/>
      <c r="G442" s="498"/>
      <c r="H442" s="499"/>
    </row>
    <row r="443" spans="1:8" x14ac:dyDescent="0.2">
      <c r="A443" s="349"/>
      <c r="C443" s="261"/>
      <c r="D443" s="268"/>
      <c r="H443" s="265"/>
    </row>
    <row r="444" spans="1:8" x14ac:dyDescent="0.2">
      <c r="A444" s="349"/>
      <c r="B444" s="261" t="s">
        <v>981</v>
      </c>
      <c r="C444" s="261"/>
      <c r="D444" s="268">
        <v>34.01</v>
      </c>
      <c r="H444" s="265"/>
    </row>
    <row r="445" spans="1:8" x14ac:dyDescent="0.2">
      <c r="A445" s="349"/>
      <c r="C445" s="261"/>
      <c r="D445" s="268"/>
      <c r="H445" s="265"/>
    </row>
    <row r="446" spans="1:8" hidden="1" x14ac:dyDescent="0.2">
      <c r="A446" s="349"/>
      <c r="C446" s="261"/>
      <c r="D446" s="268"/>
      <c r="H446" s="265"/>
    </row>
    <row r="447" spans="1:8" x14ac:dyDescent="0.2">
      <c r="A447" s="349"/>
      <c r="B447" s="261" t="s">
        <v>970</v>
      </c>
      <c r="C447" s="261"/>
      <c r="D447" s="268">
        <v>25</v>
      </c>
      <c r="H447" s="265"/>
    </row>
    <row r="448" spans="1:8" ht="13.5" thickBot="1" x14ac:dyDescent="0.25">
      <c r="A448" s="349"/>
      <c r="C448" s="261"/>
      <c r="D448" s="268"/>
      <c r="H448" s="265"/>
    </row>
    <row r="449" spans="1:10" ht="13.5" hidden="1" thickBot="1" x14ac:dyDescent="0.25">
      <c r="A449" s="349"/>
      <c r="C449" s="261"/>
      <c r="D449" s="268"/>
      <c r="H449" s="265"/>
    </row>
    <row r="450" spans="1:10" ht="13.5" thickBot="1" x14ac:dyDescent="0.25">
      <c r="A450" s="349"/>
      <c r="C450" s="269" t="s">
        <v>572</v>
      </c>
      <c r="D450" s="270">
        <v>25</v>
      </c>
      <c r="E450" s="271" t="s">
        <v>38</v>
      </c>
      <c r="H450" s="265"/>
      <c r="J450" s="261" t="s">
        <v>645</v>
      </c>
    </row>
    <row r="451" spans="1:10" ht="13.5" thickBot="1" x14ac:dyDescent="0.25">
      <c r="A451" s="350"/>
      <c r="B451" s="266"/>
      <c r="C451" s="266"/>
      <c r="D451" s="266"/>
      <c r="E451" s="266"/>
      <c r="F451" s="266"/>
      <c r="G451" s="266"/>
      <c r="H451" s="267"/>
    </row>
    <row r="452" spans="1:10" x14ac:dyDescent="0.2">
      <c r="A452" s="481" t="str">
        <f>'A IV.A'!A59</f>
        <v>3.2.10</v>
      </c>
      <c r="B452" s="466" t="str">
        <f>'A IV.A'!B59</f>
        <v>PORTA EM ALUMÍNIO TIPO VENEZIANA, 1 FOLHA, ACABAMENTO EM PINTURA ELETROSTÁTICA BRANCA, 60 MICRAS, CONFORME MEMORIAL, INCLUSIVE FERRAGENS (TRÊS DOBRADIÇAS E DOIS FERROLHOS COM PORTA-CADEADO)</v>
      </c>
      <c r="C452" s="466"/>
      <c r="D452" s="466"/>
      <c r="E452" s="466"/>
      <c r="F452" s="466"/>
      <c r="G452" s="466"/>
      <c r="H452" s="467"/>
    </row>
    <row r="453" spans="1:10" x14ac:dyDescent="0.2">
      <c r="A453" s="482"/>
      <c r="B453" s="468"/>
      <c r="C453" s="468"/>
      <c r="D453" s="468"/>
      <c r="E453" s="468"/>
      <c r="F453" s="468"/>
      <c r="G453" s="468"/>
      <c r="H453" s="469"/>
    </row>
    <row r="454" spans="1:10" x14ac:dyDescent="0.2">
      <c r="A454" s="349"/>
      <c r="B454" s="261"/>
      <c r="C454" s="268"/>
      <c r="H454" s="265"/>
    </row>
    <row r="455" spans="1:10" x14ac:dyDescent="0.2">
      <c r="A455" s="349"/>
      <c r="B455" s="261" t="s">
        <v>979</v>
      </c>
      <c r="C455" s="268"/>
      <c r="D455">
        <v>39.1</v>
      </c>
      <c r="H455" s="265"/>
    </row>
    <row r="456" spans="1:10" x14ac:dyDescent="0.2">
      <c r="A456" s="349"/>
      <c r="B456" s="261" t="s">
        <v>970</v>
      </c>
      <c r="C456" s="268"/>
      <c r="D456">
        <v>28.8</v>
      </c>
      <c r="H456" s="265"/>
    </row>
    <row r="457" spans="1:10" ht="13.5" thickBot="1" x14ac:dyDescent="0.25">
      <c r="A457" s="349"/>
      <c r="H457" s="265"/>
    </row>
    <row r="458" spans="1:10" ht="13.5" thickBot="1" x14ac:dyDescent="0.25">
      <c r="A458" s="349"/>
      <c r="C458" s="269" t="s">
        <v>572</v>
      </c>
      <c r="D458" s="270">
        <f>ROUNDUP(D456,0)</f>
        <v>29</v>
      </c>
      <c r="E458" s="271" t="s">
        <v>36</v>
      </c>
      <c r="H458" s="265"/>
    </row>
    <row r="459" spans="1:10" ht="13.5" thickBot="1" x14ac:dyDescent="0.25">
      <c r="A459" s="350"/>
      <c r="B459" s="266"/>
      <c r="C459" s="266"/>
      <c r="D459" s="266"/>
      <c r="E459" s="266"/>
      <c r="F459" s="266"/>
      <c r="G459" s="266"/>
      <c r="H459" s="267"/>
    </row>
    <row r="460" spans="1:10" x14ac:dyDescent="0.2">
      <c r="A460" s="481" t="str">
        <f>'A IV.A'!A60</f>
        <v>3.2.11</v>
      </c>
      <c r="B460" s="466" t="str">
        <f>'A IV.A'!B60</f>
        <v>FORNECIMENTO E INSTALAÇÃO DE ESCADA TIPO MARINHEIRO COM GUARDA CORPO DE PROTEÇÃO</v>
      </c>
      <c r="C460" s="466"/>
      <c r="D460" s="466"/>
      <c r="E460" s="466"/>
      <c r="F460" s="466"/>
      <c r="G460" s="466"/>
      <c r="H460" s="467"/>
    </row>
    <row r="461" spans="1:10" x14ac:dyDescent="0.2">
      <c r="A461" s="482"/>
      <c r="B461" s="468"/>
      <c r="C461" s="468"/>
      <c r="D461" s="468"/>
      <c r="E461" s="468"/>
      <c r="F461" s="468"/>
      <c r="G461" s="468"/>
      <c r="H461" s="469"/>
    </row>
    <row r="462" spans="1:10" x14ac:dyDescent="0.2">
      <c r="A462" s="349"/>
      <c r="B462" s="261"/>
      <c r="C462" s="268"/>
      <c r="H462" s="265"/>
    </row>
    <row r="463" spans="1:10" x14ac:dyDescent="0.2">
      <c r="A463" s="349"/>
      <c r="B463" s="261" t="s">
        <v>979</v>
      </c>
      <c r="C463" s="268"/>
      <c r="D463">
        <v>39.1</v>
      </c>
      <c r="H463" s="265"/>
    </row>
    <row r="464" spans="1:10" x14ac:dyDescent="0.2">
      <c r="A464" s="349"/>
      <c r="B464" s="261" t="s">
        <v>970</v>
      </c>
      <c r="C464" s="268"/>
      <c r="D464">
        <v>25</v>
      </c>
      <c r="H464" s="265"/>
    </row>
    <row r="465" spans="1:8" ht="13.5" thickBot="1" x14ac:dyDescent="0.25">
      <c r="A465" s="349"/>
      <c r="H465" s="265"/>
    </row>
    <row r="466" spans="1:8" ht="13.5" thickBot="1" x14ac:dyDescent="0.25">
      <c r="A466" s="349"/>
      <c r="C466" s="269" t="s">
        <v>572</v>
      </c>
      <c r="D466" s="270">
        <f>ROUNDUP(D464,0)</f>
        <v>25</v>
      </c>
      <c r="E466" s="271" t="s">
        <v>36</v>
      </c>
      <c r="H466" s="265"/>
    </row>
    <row r="467" spans="1:8" ht="13.5" thickBot="1" x14ac:dyDescent="0.25">
      <c r="A467" s="350"/>
      <c r="B467" s="266"/>
      <c r="C467" s="266"/>
      <c r="D467" s="266"/>
      <c r="E467" s="266"/>
      <c r="F467" s="266"/>
      <c r="G467" s="266"/>
      <c r="H467" s="267"/>
    </row>
    <row r="468" spans="1:8" ht="13.5" thickBot="1" x14ac:dyDescent="0.25">
      <c r="A468" s="347" t="str">
        <f>'A IV.A'!A61</f>
        <v>3.3</v>
      </c>
      <c r="B468" s="276" t="str">
        <f>'A IV.A'!B61:M61</f>
        <v>ALVENARIAS - ITENS 8.3.1 E 8.3.2 DO TERMO DE REFERÊNCIA</v>
      </c>
      <c r="C468" s="279"/>
      <c r="D468" s="279"/>
      <c r="E468" s="279"/>
      <c r="F468" s="279"/>
      <c r="G468" s="279"/>
      <c r="H468" s="271"/>
    </row>
    <row r="469" spans="1:8" x14ac:dyDescent="0.2">
      <c r="A469" s="343" t="str">
        <f>'A IV.A'!A62</f>
        <v>3.3.1</v>
      </c>
      <c r="B469" s="262" t="str">
        <f>'A IV.A'!B62</f>
        <v>RECUPERAÇÃO E EXECUÇÃO DE MURETA</v>
      </c>
      <c r="C469" s="262"/>
      <c r="D469" s="262"/>
      <c r="E469" s="262"/>
      <c r="F469" s="262"/>
      <c r="G469" s="262"/>
      <c r="H469" s="273"/>
    </row>
    <row r="470" spans="1:8" x14ac:dyDescent="0.2">
      <c r="A470" s="349"/>
      <c r="H470" s="265"/>
    </row>
    <row r="471" spans="1:8" x14ac:dyDescent="0.2">
      <c r="A471" s="349"/>
      <c r="B471" s="261" t="s">
        <v>969</v>
      </c>
      <c r="D471" s="275">
        <v>100</v>
      </c>
      <c r="E471" s="261" t="s">
        <v>36</v>
      </c>
      <c r="H471" s="265"/>
    </row>
    <row r="472" spans="1:8" x14ac:dyDescent="0.2">
      <c r="A472" s="349"/>
      <c r="B472" s="261"/>
      <c r="D472" s="268"/>
      <c r="E472" s="261"/>
      <c r="H472" s="265"/>
    </row>
    <row r="473" spans="1:8" x14ac:dyDescent="0.2">
      <c r="A473" s="349"/>
      <c r="H473" s="265"/>
    </row>
    <row r="474" spans="1:8" x14ac:dyDescent="0.2">
      <c r="A474" s="349"/>
      <c r="B474" s="261" t="s">
        <v>613</v>
      </c>
      <c r="D474">
        <v>96.75</v>
      </c>
      <c r="H474" s="265"/>
    </row>
    <row r="475" spans="1:8" ht="13.5" thickBot="1" x14ac:dyDescent="0.25">
      <c r="A475" s="349"/>
      <c r="H475" s="265"/>
    </row>
    <row r="476" spans="1:8" ht="13.5" thickBot="1" x14ac:dyDescent="0.25">
      <c r="A476" s="349"/>
      <c r="C476" s="269" t="s">
        <v>572</v>
      </c>
      <c r="D476" s="270">
        <f>D471</f>
        <v>100</v>
      </c>
      <c r="E476" s="271" t="s">
        <v>36</v>
      </c>
      <c r="H476" s="265"/>
    </row>
    <row r="477" spans="1:8" ht="13.5" thickBot="1" x14ac:dyDescent="0.25">
      <c r="A477" s="350"/>
      <c r="B477" s="266"/>
      <c r="C477" s="266"/>
      <c r="D477" s="266"/>
      <c r="E477" s="266"/>
      <c r="F477" s="266"/>
      <c r="G477" s="266"/>
      <c r="H477" s="267"/>
    </row>
    <row r="478" spans="1:8" x14ac:dyDescent="0.2">
      <c r="A478" s="343" t="str">
        <f>'A IV.A'!A63</f>
        <v>3.3.2</v>
      </c>
      <c r="B478" s="262" t="str">
        <f>'A IV.A'!B63</f>
        <v>ALVENARIA DE TIJOLO MACIÇO CERÂMICO 1/2 VEZ</v>
      </c>
      <c r="C478" s="262"/>
      <c r="D478" s="262"/>
      <c r="E478" s="262"/>
      <c r="F478" s="262"/>
      <c r="G478" s="262"/>
      <c r="H478" s="273"/>
    </row>
    <row r="479" spans="1:8" x14ac:dyDescent="0.2">
      <c r="A479" s="349"/>
      <c r="H479" s="265"/>
    </row>
    <row r="480" spans="1:8" x14ac:dyDescent="0.2">
      <c r="A480" s="349"/>
      <c r="C480" s="261"/>
      <c r="D480" s="268"/>
      <c r="H480" s="265"/>
    </row>
    <row r="481" spans="1:9" x14ac:dyDescent="0.2">
      <c r="A481" s="349"/>
      <c r="C481" s="261"/>
      <c r="D481" s="268"/>
      <c r="H481" s="265"/>
    </row>
    <row r="482" spans="1:9" x14ac:dyDescent="0.2">
      <c r="A482" s="349"/>
      <c r="B482" s="261" t="s">
        <v>980</v>
      </c>
      <c r="C482" s="261"/>
      <c r="D482" s="268">
        <v>25</v>
      </c>
      <c r="H482" s="265"/>
    </row>
    <row r="483" spans="1:9" ht="13.5" thickBot="1" x14ac:dyDescent="0.25">
      <c r="A483" s="349"/>
      <c r="H483" s="265"/>
    </row>
    <row r="484" spans="1:9" ht="13.5" thickBot="1" x14ac:dyDescent="0.25">
      <c r="A484" s="349"/>
      <c r="C484" s="269" t="s">
        <v>572</v>
      </c>
      <c r="D484" s="270">
        <f>D482</f>
        <v>25</v>
      </c>
      <c r="E484" s="271" t="s">
        <v>38</v>
      </c>
      <c r="H484" s="265"/>
    </row>
    <row r="485" spans="1:9" ht="13.5" thickBot="1" x14ac:dyDescent="0.25">
      <c r="A485" s="350"/>
      <c r="B485" s="266"/>
      <c r="C485" s="266"/>
      <c r="D485" s="266"/>
      <c r="E485" s="266"/>
      <c r="F485" s="266"/>
      <c r="G485" s="266"/>
      <c r="H485" s="267"/>
    </row>
    <row r="486" spans="1:9" x14ac:dyDescent="0.2">
      <c r="A486" s="343" t="str">
        <f>'A IV.A'!A64</f>
        <v>3.3.3</v>
      </c>
      <c r="B486" s="262" t="str">
        <f>'A IV.A'!B64</f>
        <v>ALVENARIA DE TIJOLO MACIÇO CERÂMICO 1 VEZ</v>
      </c>
      <c r="C486" s="262"/>
      <c r="D486" s="262"/>
      <c r="E486" s="262"/>
      <c r="F486" s="262"/>
      <c r="G486" s="262"/>
      <c r="H486" s="273"/>
    </row>
    <row r="487" spans="1:9" x14ac:dyDescent="0.2">
      <c r="A487" s="349"/>
      <c r="H487" s="265"/>
    </row>
    <row r="488" spans="1:9" hidden="1" x14ac:dyDescent="0.2">
      <c r="A488" s="349"/>
      <c r="B488" s="261" t="s">
        <v>618</v>
      </c>
      <c r="E488" s="268">
        <f>'[10]Muro Captação 3'!$O$6</f>
        <v>84.6</v>
      </c>
      <c r="H488" s="265"/>
    </row>
    <row r="489" spans="1:9" hidden="1" x14ac:dyDescent="0.2">
      <c r="A489" s="349"/>
      <c r="B489" s="261" t="s">
        <v>621</v>
      </c>
      <c r="E489" s="268">
        <f>'[10]Casas C-F'!$S$8</f>
        <v>97.200000000000017</v>
      </c>
      <c r="H489" s="265"/>
    </row>
    <row r="490" spans="1:9" hidden="1" x14ac:dyDescent="0.2">
      <c r="A490" s="349"/>
      <c r="H490" s="265"/>
    </row>
    <row r="491" spans="1:9" x14ac:dyDescent="0.2">
      <c r="A491" s="349"/>
      <c r="C491" s="261"/>
      <c r="D491" s="268"/>
      <c r="H491" s="265"/>
    </row>
    <row r="492" spans="1:9" x14ac:dyDescent="0.2">
      <c r="A492" s="349"/>
      <c r="B492" s="261" t="s">
        <v>980</v>
      </c>
      <c r="C492" s="261"/>
      <c r="D492" s="268">
        <v>25</v>
      </c>
      <c r="H492" s="265"/>
    </row>
    <row r="493" spans="1:9" ht="13.5" thickBot="1" x14ac:dyDescent="0.25">
      <c r="A493" s="349"/>
      <c r="H493" s="265"/>
    </row>
    <row r="494" spans="1:9" ht="13.5" thickBot="1" x14ac:dyDescent="0.25">
      <c r="A494" s="349"/>
      <c r="C494" s="269" t="s">
        <v>572</v>
      </c>
      <c r="D494" s="270">
        <f>D492</f>
        <v>25</v>
      </c>
      <c r="E494" s="271" t="s">
        <v>38</v>
      </c>
      <c r="H494" s="265"/>
    </row>
    <row r="495" spans="1:9" ht="13.5" thickBot="1" x14ac:dyDescent="0.25">
      <c r="A495" s="350"/>
      <c r="B495" s="266"/>
      <c r="C495" s="266"/>
      <c r="D495" s="266"/>
      <c r="E495" s="266"/>
      <c r="F495" s="266"/>
      <c r="G495" s="266"/>
      <c r="H495" s="267"/>
      <c r="I495" s="330"/>
    </row>
    <row r="496" spans="1:9" ht="12.75" customHeight="1" x14ac:dyDescent="0.2">
      <c r="A496" s="343" t="str">
        <f>'A IV.A'!A65</f>
        <v>3.3.4</v>
      </c>
      <c r="B496" s="466" t="str">
        <f>'A IV.A'!B65</f>
        <v>ALVENARIA EM BLOCO DE CONCRETO 9 X 19 X 39 CM</v>
      </c>
      <c r="C496" s="466"/>
      <c r="D496" s="466"/>
      <c r="E496" s="466"/>
      <c r="F496" s="466"/>
      <c r="G496" s="466"/>
      <c r="H496" s="467"/>
      <c r="I496" s="330"/>
    </row>
    <row r="497" spans="1:9" x14ac:dyDescent="0.2">
      <c r="A497" s="349"/>
      <c r="H497" s="265"/>
      <c r="I497" s="330"/>
    </row>
    <row r="498" spans="1:9" x14ac:dyDescent="0.2">
      <c r="A498" s="349"/>
      <c r="B498" s="261"/>
      <c r="E498" s="268"/>
      <c r="H498" s="265"/>
      <c r="I498" s="330"/>
    </row>
    <row r="499" spans="1:9" x14ac:dyDescent="0.2">
      <c r="A499" s="349"/>
      <c r="B499" s="261" t="s">
        <v>1037</v>
      </c>
      <c r="E499" s="268">
        <v>50</v>
      </c>
      <c r="H499" s="265"/>
      <c r="I499" s="330"/>
    </row>
    <row r="500" spans="1:9" x14ac:dyDescent="0.2">
      <c r="A500" s="349"/>
      <c r="B500" s="261" t="s">
        <v>1038</v>
      </c>
      <c r="E500" s="268"/>
      <c r="H500" s="265"/>
      <c r="I500" s="330"/>
    </row>
    <row r="501" spans="1:9" x14ac:dyDescent="0.2">
      <c r="A501" s="349"/>
      <c r="E501" s="268">
        <f>SUM(E498:E500)</f>
        <v>50</v>
      </c>
      <c r="H501" s="265"/>
      <c r="I501" s="330"/>
    </row>
    <row r="502" spans="1:9" ht="13.5" thickBot="1" x14ac:dyDescent="0.25">
      <c r="A502" s="349"/>
      <c r="H502" s="265"/>
      <c r="I502" s="330"/>
    </row>
    <row r="503" spans="1:9" ht="13.5" thickBot="1" x14ac:dyDescent="0.25">
      <c r="A503" s="349"/>
      <c r="C503" s="269" t="s">
        <v>572</v>
      </c>
      <c r="D503" s="270">
        <f>ROUNDUP(E501,0)</f>
        <v>50</v>
      </c>
      <c r="E503" s="271" t="s">
        <v>38</v>
      </c>
      <c r="H503" s="265"/>
      <c r="I503" s="330"/>
    </row>
    <row r="504" spans="1:9" ht="13.5" thickBot="1" x14ac:dyDescent="0.25">
      <c r="A504" s="350"/>
      <c r="B504" s="266"/>
      <c r="C504" s="266"/>
      <c r="D504" s="266"/>
      <c r="E504" s="266"/>
      <c r="F504" s="266"/>
      <c r="G504" s="266"/>
      <c r="H504" s="267"/>
      <c r="I504" s="330"/>
    </row>
    <row r="505" spans="1:9" x14ac:dyDescent="0.2">
      <c r="A505" s="343" t="str">
        <f>'A IV.A'!A66</f>
        <v>3.3.5</v>
      </c>
      <c r="B505" s="466" t="str">
        <f>'A IV.A'!B66</f>
        <v>ALVENARIA EM BLOCO DE CONCRETO 14 X 19 X 39 CM</v>
      </c>
      <c r="C505" s="466"/>
      <c r="D505" s="466"/>
      <c r="E505" s="466"/>
      <c r="F505" s="466"/>
      <c r="G505" s="466"/>
      <c r="H505" s="467"/>
      <c r="I505" s="330"/>
    </row>
    <row r="506" spans="1:9" x14ac:dyDescent="0.2">
      <c r="A506" s="349"/>
      <c r="H506" s="265"/>
      <c r="I506" s="330"/>
    </row>
    <row r="507" spans="1:9" x14ac:dyDescent="0.2">
      <c r="A507" s="349"/>
      <c r="B507" s="261" t="s">
        <v>996</v>
      </c>
      <c r="E507" s="268"/>
      <c r="H507" s="265"/>
      <c r="I507" s="330"/>
    </row>
    <row r="508" spans="1:9" x14ac:dyDescent="0.2">
      <c r="A508" s="349"/>
      <c r="B508" s="261" t="s">
        <v>1012</v>
      </c>
      <c r="C508">
        <v>2.6</v>
      </c>
      <c r="D508" s="261"/>
      <c r="E508" s="268"/>
      <c r="F508" s="261"/>
      <c r="H508" s="265"/>
      <c r="I508" s="330"/>
    </row>
    <row r="509" spans="1:9" x14ac:dyDescent="0.2">
      <c r="A509" s="349"/>
      <c r="B509" s="261"/>
      <c r="E509" s="268"/>
      <c r="H509" s="265"/>
      <c r="I509" s="330"/>
    </row>
    <row r="510" spans="1:9" x14ac:dyDescent="0.2">
      <c r="A510" s="349"/>
      <c r="C510" s="261" t="s">
        <v>1010</v>
      </c>
      <c r="D510" s="268">
        <f>'[9]Mem Global'!$G$3295</f>
        <v>5245.3</v>
      </c>
      <c r="E510" s="274" t="s">
        <v>38</v>
      </c>
      <c r="H510" s="265"/>
      <c r="I510" s="330"/>
    </row>
    <row r="511" spans="1:9" ht="13.5" thickBot="1" x14ac:dyDescent="0.25">
      <c r="A511" s="349"/>
      <c r="H511" s="265"/>
      <c r="I511" s="330"/>
    </row>
    <row r="512" spans="1:9" ht="13.5" thickBot="1" x14ac:dyDescent="0.25">
      <c r="A512" s="349"/>
      <c r="C512" s="269" t="s">
        <v>572</v>
      </c>
      <c r="D512" s="270">
        <f>D510</f>
        <v>5245.3</v>
      </c>
      <c r="E512" s="271" t="s">
        <v>38</v>
      </c>
      <c r="H512" s="265"/>
      <c r="I512" s="330"/>
    </row>
    <row r="513" spans="1:9" ht="13.5" thickBot="1" x14ac:dyDescent="0.25">
      <c r="A513" s="350"/>
      <c r="B513" s="266"/>
      <c r="C513" s="266"/>
      <c r="D513" s="266"/>
      <c r="E513" s="266"/>
      <c r="F513" s="266"/>
      <c r="G513" s="266"/>
      <c r="H513" s="267"/>
      <c r="I513" s="330"/>
    </row>
    <row r="514" spans="1:9" x14ac:dyDescent="0.2">
      <c r="A514" s="343" t="str">
        <f>'A IV.A'!A67</f>
        <v>3.3.6</v>
      </c>
      <c r="B514" s="466" t="str">
        <f>'A IV.A'!B67</f>
        <v>ALVENARIA EM BLOCO DE CONCRETO 19 X 19 X 39 CM</v>
      </c>
      <c r="C514" s="466"/>
      <c r="D514" s="466"/>
      <c r="E514" s="466"/>
      <c r="F514" s="466"/>
      <c r="G514" s="466"/>
      <c r="H514" s="467"/>
      <c r="I514" s="330"/>
    </row>
    <row r="515" spans="1:9" x14ac:dyDescent="0.2">
      <c r="A515" s="349"/>
      <c r="H515" s="265"/>
      <c r="I515" s="330"/>
    </row>
    <row r="516" spans="1:9" x14ac:dyDescent="0.2">
      <c r="A516" s="349"/>
      <c r="B516" s="261" t="s">
        <v>579</v>
      </c>
      <c r="E516" s="268">
        <v>50</v>
      </c>
      <c r="H516" s="265"/>
      <c r="I516" s="330"/>
    </row>
    <row r="517" spans="1:9" ht="13.5" thickBot="1" x14ac:dyDescent="0.25">
      <c r="A517" s="349"/>
      <c r="B517" s="261"/>
      <c r="E517" s="268"/>
      <c r="H517" s="265"/>
      <c r="I517" s="330"/>
    </row>
    <row r="518" spans="1:9" ht="13.5" thickBot="1" x14ac:dyDescent="0.25">
      <c r="A518" s="349"/>
      <c r="C518" s="269" t="s">
        <v>572</v>
      </c>
      <c r="D518" s="270">
        <v>50</v>
      </c>
      <c r="E518" s="271" t="s">
        <v>38</v>
      </c>
      <c r="H518" s="265"/>
      <c r="I518" s="330"/>
    </row>
    <row r="519" spans="1:9" ht="13.5" thickBot="1" x14ac:dyDescent="0.25">
      <c r="A519" s="350"/>
      <c r="B519" s="266"/>
      <c r="C519" s="266"/>
      <c r="D519" s="266"/>
      <c r="E519" s="266"/>
      <c r="F519" s="266"/>
      <c r="G519" s="266"/>
      <c r="H519" s="267"/>
      <c r="I519" s="330"/>
    </row>
    <row r="520" spans="1:9" x14ac:dyDescent="0.2">
      <c r="A520" s="343" t="str">
        <f>'A IV.A'!A68</f>
        <v>3.3.7</v>
      </c>
      <c r="B520" s="466" t="str">
        <f>'A IV.A'!B68</f>
        <v>ALVENARIA COM ELEMENTO VAZADO DE CONCRETO (COBOGÓ), ESPESSURA PAREDE 9CM</v>
      </c>
      <c r="C520" s="466"/>
      <c r="D520" s="466"/>
      <c r="E520" s="466"/>
      <c r="F520" s="466"/>
      <c r="G520" s="466"/>
      <c r="H520" s="467"/>
      <c r="I520" s="330"/>
    </row>
    <row r="521" spans="1:9" x14ac:dyDescent="0.2">
      <c r="A521" s="344"/>
      <c r="B521" s="468"/>
      <c r="C521" s="468"/>
      <c r="D521" s="468"/>
      <c r="E521" s="468"/>
      <c r="F521" s="468"/>
      <c r="G521" s="468"/>
      <c r="H521" s="469"/>
      <c r="I521" s="330"/>
    </row>
    <row r="522" spans="1:9" x14ac:dyDescent="0.2">
      <c r="A522" s="349"/>
      <c r="H522" s="265"/>
      <c r="I522" s="330"/>
    </row>
    <row r="523" spans="1:9" x14ac:dyDescent="0.2">
      <c r="A523" s="349"/>
      <c r="B523" s="261" t="s">
        <v>621</v>
      </c>
      <c r="D523" s="268">
        <v>6.4</v>
      </c>
      <c r="H523" s="265"/>
      <c r="I523" s="330"/>
    </row>
    <row r="524" spans="1:9" ht="13.5" thickBot="1" x14ac:dyDescent="0.25">
      <c r="A524" s="349"/>
      <c r="H524" s="265"/>
      <c r="I524" s="330"/>
    </row>
    <row r="525" spans="1:9" ht="13.5" thickBot="1" x14ac:dyDescent="0.25">
      <c r="A525" s="349"/>
      <c r="C525" s="269" t="s">
        <v>572</v>
      </c>
      <c r="D525" s="270">
        <f>ROUNDUP(D523,0)</f>
        <v>7</v>
      </c>
      <c r="E525" s="271" t="s">
        <v>38</v>
      </c>
      <c r="H525" s="265"/>
      <c r="I525" s="330"/>
    </row>
    <row r="526" spans="1:9" ht="13.5" thickBot="1" x14ac:dyDescent="0.25">
      <c r="A526" s="350"/>
      <c r="B526" s="266"/>
      <c r="C526" s="266"/>
      <c r="D526" s="266"/>
      <c r="E526" s="266"/>
      <c r="F526" s="266"/>
      <c r="G526" s="266"/>
      <c r="H526" s="267"/>
      <c r="I526" s="330"/>
    </row>
    <row r="527" spans="1:9" x14ac:dyDescent="0.2">
      <c r="A527" s="343" t="e">
        <f>'A IV.A'!#REF!</f>
        <v>#REF!</v>
      </c>
      <c r="B527" s="466" t="e">
        <f>'A IV.A'!#REF!</f>
        <v>#REF!</v>
      </c>
      <c r="C527" s="466"/>
      <c r="D527" s="466"/>
      <c r="E527" s="466"/>
      <c r="F527" s="466"/>
      <c r="G527" s="466"/>
      <c r="H527" s="467"/>
      <c r="I527" s="330"/>
    </row>
    <row r="528" spans="1:9" x14ac:dyDescent="0.2">
      <c r="A528" s="344"/>
      <c r="B528" s="468"/>
      <c r="C528" s="468"/>
      <c r="D528" s="468"/>
      <c r="E528" s="468"/>
      <c r="F528" s="468"/>
      <c r="G528" s="468"/>
      <c r="H528" s="469"/>
      <c r="I528" s="330"/>
    </row>
    <row r="529" spans="1:9" x14ac:dyDescent="0.2">
      <c r="A529" s="349"/>
      <c r="H529" s="265"/>
      <c r="I529" s="330"/>
    </row>
    <row r="530" spans="1:9" x14ac:dyDescent="0.2">
      <c r="A530" s="349"/>
      <c r="B530" s="261" t="s">
        <v>970</v>
      </c>
      <c r="E530" s="268">
        <v>25</v>
      </c>
      <c r="H530" s="265"/>
      <c r="I530" s="330"/>
    </row>
    <row r="531" spans="1:9" x14ac:dyDescent="0.2">
      <c r="A531" s="349"/>
      <c r="B531" s="261"/>
      <c r="E531" s="275"/>
      <c r="H531" s="265"/>
      <c r="I531" s="330"/>
    </row>
    <row r="532" spans="1:9" hidden="1" x14ac:dyDescent="0.2">
      <c r="A532" s="349"/>
      <c r="B532" s="261"/>
      <c r="E532" s="268"/>
      <c r="H532" s="265"/>
      <c r="I532" s="330"/>
    </row>
    <row r="533" spans="1:9" hidden="1" x14ac:dyDescent="0.2">
      <c r="A533" s="349"/>
      <c r="B533" s="261"/>
      <c r="E533" s="268"/>
      <c r="H533" s="265"/>
      <c r="I533" s="330"/>
    </row>
    <row r="534" spans="1:9" hidden="1" x14ac:dyDescent="0.2">
      <c r="A534" s="349"/>
      <c r="B534" s="261"/>
      <c r="E534" s="268"/>
      <c r="H534" s="265"/>
      <c r="I534" s="330"/>
    </row>
    <row r="535" spans="1:9" ht="13.5" thickBot="1" x14ac:dyDescent="0.25">
      <c r="A535" s="349"/>
      <c r="B535" s="261"/>
      <c r="H535" s="265"/>
      <c r="I535" s="330"/>
    </row>
    <row r="536" spans="1:9" ht="13.5" thickBot="1" x14ac:dyDescent="0.25">
      <c r="A536" s="349"/>
      <c r="C536" s="269" t="s">
        <v>572</v>
      </c>
      <c r="D536" s="270">
        <f>E530</f>
        <v>25</v>
      </c>
      <c r="E536" s="271" t="s">
        <v>38</v>
      </c>
      <c r="H536" s="265"/>
      <c r="I536" s="330"/>
    </row>
    <row r="537" spans="1:9" ht="13.5" thickBot="1" x14ac:dyDescent="0.25">
      <c r="A537" s="350"/>
      <c r="B537" s="266"/>
      <c r="C537" s="266"/>
      <c r="D537" s="266"/>
      <c r="E537" s="266"/>
      <c r="F537" s="266"/>
      <c r="G537" s="266"/>
      <c r="H537" s="267"/>
      <c r="I537" s="330"/>
    </row>
    <row r="538" spans="1:9" x14ac:dyDescent="0.2">
      <c r="A538" s="343" t="e">
        <f>'A IV.A'!#REF!</f>
        <v>#REF!</v>
      </c>
      <c r="B538" s="466" t="e">
        <f>'A IV.A'!#REF!</f>
        <v>#REF!</v>
      </c>
      <c r="C538" s="466"/>
      <c r="D538" s="466"/>
      <c r="E538" s="466"/>
      <c r="F538" s="466"/>
      <c r="G538" s="466"/>
      <c r="H538" s="467"/>
      <c r="I538" s="330"/>
    </row>
    <row r="539" spans="1:9" x14ac:dyDescent="0.2">
      <c r="A539" s="344"/>
      <c r="B539" s="468"/>
      <c r="C539" s="468"/>
      <c r="D539" s="468"/>
      <c r="E539" s="468"/>
      <c r="F539" s="468"/>
      <c r="G539" s="468"/>
      <c r="H539" s="469"/>
      <c r="I539" s="330"/>
    </row>
    <row r="540" spans="1:9" x14ac:dyDescent="0.2">
      <c r="A540" s="349"/>
      <c r="H540" s="265"/>
      <c r="I540" s="330"/>
    </row>
    <row r="541" spans="1:9" x14ac:dyDescent="0.2">
      <c r="A541" s="349"/>
      <c r="B541" s="261" t="s">
        <v>970</v>
      </c>
      <c r="D541">
        <v>25</v>
      </c>
      <c r="H541" s="265"/>
      <c r="I541" s="330"/>
    </row>
    <row r="542" spans="1:9" x14ac:dyDescent="0.2">
      <c r="A542" s="349"/>
      <c r="H542" s="265"/>
      <c r="I542" s="330"/>
    </row>
    <row r="543" spans="1:9" hidden="1" x14ac:dyDescent="0.2">
      <c r="A543" s="349"/>
      <c r="B543" s="261"/>
      <c r="H543" s="265"/>
      <c r="I543" s="330"/>
    </row>
    <row r="544" spans="1:9" hidden="1" x14ac:dyDescent="0.2">
      <c r="A544" s="349"/>
      <c r="D544" s="268"/>
      <c r="H544" s="265"/>
      <c r="I544" s="330"/>
    </row>
    <row r="545" spans="1:9" ht="13.5" thickBot="1" x14ac:dyDescent="0.25">
      <c r="A545" s="349"/>
      <c r="H545" s="265"/>
      <c r="I545" s="330"/>
    </row>
    <row r="546" spans="1:9" ht="13.5" thickBot="1" x14ac:dyDescent="0.25">
      <c r="A546" s="349"/>
      <c r="C546" s="269" t="s">
        <v>572</v>
      </c>
      <c r="D546" s="270">
        <f>D541</f>
        <v>25</v>
      </c>
      <c r="E546" s="271" t="s">
        <v>38</v>
      </c>
      <c r="H546" s="265"/>
      <c r="I546" s="330"/>
    </row>
    <row r="547" spans="1:9" ht="13.5" thickBot="1" x14ac:dyDescent="0.25">
      <c r="A547" s="350"/>
      <c r="B547" s="266"/>
      <c r="C547" s="266"/>
      <c r="D547" s="266"/>
      <c r="E547" s="266"/>
      <c r="F547" s="266"/>
      <c r="G547" s="266"/>
      <c r="H547" s="267"/>
      <c r="I547" s="330"/>
    </row>
    <row r="548" spans="1:9" ht="13.5" thickBot="1" x14ac:dyDescent="0.25">
      <c r="A548" s="347" t="str">
        <f>'A IV.A'!A71</f>
        <v>3.4</v>
      </c>
      <c r="B548" s="276" t="str">
        <f>'A IV.A'!B71:M71</f>
        <v>MOVIMENTO DE TERRA - ITENS 8.4.1 A 8.4.6 DO TERMO DE REFERÊNCIA</v>
      </c>
      <c r="C548" s="279"/>
      <c r="D548" s="279"/>
      <c r="E548" s="279"/>
      <c r="F548" s="279"/>
      <c r="G548" s="279"/>
      <c r="H548" s="271"/>
    </row>
    <row r="549" spans="1:9" x14ac:dyDescent="0.2">
      <c r="A549" s="343" t="str">
        <f>'A IV.A'!A72</f>
        <v>3.4.1</v>
      </c>
      <c r="B549" s="262" t="str">
        <f>'A IV.A'!B72</f>
        <v xml:space="preserve">REATERRO E APILOAMENTO MANUAL DE SOLO </v>
      </c>
      <c r="C549" s="262"/>
      <c r="D549" s="262"/>
      <c r="E549" s="262"/>
      <c r="F549" s="262"/>
      <c r="G549" s="262"/>
      <c r="H549" s="273"/>
    </row>
    <row r="550" spans="1:9" x14ac:dyDescent="0.2">
      <c r="A550" s="349"/>
      <c r="H550" s="265"/>
    </row>
    <row r="551" spans="1:9" hidden="1" x14ac:dyDescent="0.2">
      <c r="A551" s="349"/>
      <c r="B551" s="261"/>
      <c r="E551" s="268"/>
      <c r="H551" s="265"/>
    </row>
    <row r="552" spans="1:9" hidden="1" x14ac:dyDescent="0.2">
      <c r="A552" s="349"/>
      <c r="B552" s="261"/>
      <c r="E552" s="275"/>
      <c r="H552" s="265"/>
    </row>
    <row r="553" spans="1:9" hidden="1" x14ac:dyDescent="0.2">
      <c r="A553" s="349"/>
      <c r="B553" s="261"/>
      <c r="E553" s="268"/>
      <c r="H553" s="265"/>
    </row>
    <row r="554" spans="1:9" hidden="1" x14ac:dyDescent="0.2">
      <c r="A554" s="349"/>
      <c r="B554" s="261"/>
      <c r="E554" s="268"/>
      <c r="H554" s="265"/>
    </row>
    <row r="555" spans="1:9" hidden="1" x14ac:dyDescent="0.2">
      <c r="A555" s="349"/>
      <c r="B555" s="261" t="s">
        <v>623</v>
      </c>
      <c r="E555" s="268"/>
      <c r="H555" s="265"/>
    </row>
    <row r="556" spans="1:9" hidden="1" x14ac:dyDescent="0.2">
      <c r="A556" s="349"/>
      <c r="B556" s="261"/>
      <c r="H556" s="265"/>
    </row>
    <row r="557" spans="1:9" hidden="1" x14ac:dyDescent="0.2">
      <c r="A557" s="349"/>
      <c r="E557" s="268"/>
      <c r="H557" s="265"/>
    </row>
    <row r="558" spans="1:9" hidden="1" x14ac:dyDescent="0.2">
      <c r="A558" s="349"/>
      <c r="H558" s="265"/>
    </row>
    <row r="559" spans="1:9" hidden="1" x14ac:dyDescent="0.2">
      <c r="A559" s="349"/>
      <c r="B559" s="261" t="s">
        <v>624</v>
      </c>
      <c r="H559" s="265"/>
    </row>
    <row r="560" spans="1:9" x14ac:dyDescent="0.2">
      <c r="A560" s="349"/>
      <c r="C560" s="261"/>
      <c r="D560" s="268"/>
      <c r="H560" s="265"/>
    </row>
    <row r="561" spans="1:9" x14ac:dyDescent="0.2">
      <c r="A561" s="349"/>
      <c r="B561" s="261"/>
      <c r="C561" s="261"/>
      <c r="D561" s="268"/>
      <c r="H561" s="265"/>
    </row>
    <row r="562" spans="1:9" x14ac:dyDescent="0.2">
      <c r="A562" s="349"/>
      <c r="C562" s="261"/>
      <c r="D562" s="268"/>
      <c r="H562" s="265"/>
    </row>
    <row r="563" spans="1:9" x14ac:dyDescent="0.2">
      <c r="A563" s="349"/>
      <c r="B563" s="261" t="s">
        <v>970</v>
      </c>
      <c r="C563" s="261"/>
      <c r="D563" s="268">
        <v>50</v>
      </c>
      <c r="E563" t="s">
        <v>39</v>
      </c>
      <c r="H563" s="265"/>
    </row>
    <row r="564" spans="1:9" x14ac:dyDescent="0.2">
      <c r="A564" s="349"/>
      <c r="C564" s="261"/>
      <c r="D564" s="268"/>
      <c r="H564" s="265"/>
    </row>
    <row r="565" spans="1:9" ht="13.5" thickBot="1" x14ac:dyDescent="0.25">
      <c r="A565" s="349"/>
      <c r="H565" s="265"/>
    </row>
    <row r="566" spans="1:9" ht="13.5" thickBot="1" x14ac:dyDescent="0.25">
      <c r="A566" s="349"/>
      <c r="C566" s="269" t="s">
        <v>572</v>
      </c>
      <c r="D566" s="270">
        <f>D563</f>
        <v>50</v>
      </c>
      <c r="E566" s="271" t="s">
        <v>39</v>
      </c>
      <c r="H566" s="265"/>
    </row>
    <row r="567" spans="1:9" ht="13.5" thickBot="1" x14ac:dyDescent="0.25">
      <c r="A567" s="350"/>
      <c r="B567" s="266"/>
      <c r="C567" s="266"/>
      <c r="D567" s="266"/>
      <c r="E567" s="266"/>
      <c r="F567" s="266"/>
      <c r="G567" s="266"/>
      <c r="H567" s="267"/>
    </row>
    <row r="568" spans="1:9" x14ac:dyDescent="0.2">
      <c r="A568" s="343" t="str">
        <f>'A IV.A'!A73</f>
        <v>3.4.2</v>
      </c>
      <c r="B568" s="466" t="str">
        <f>'A IV.A'!B73</f>
        <v xml:space="preserve">REATERRO MANUAL COM COMPACTAÇÃO MECANIZADA DE SOLO, SEM CONTROLE TECNOLÓGICO </v>
      </c>
      <c r="C568" s="466"/>
      <c r="D568" s="466"/>
      <c r="E568" s="466"/>
      <c r="F568" s="466"/>
      <c r="G568" s="466"/>
      <c r="H568" s="467"/>
    </row>
    <row r="569" spans="1:9" x14ac:dyDescent="0.2">
      <c r="A569" s="344"/>
      <c r="B569" s="468"/>
      <c r="C569" s="468"/>
      <c r="D569" s="468"/>
      <c r="E569" s="468"/>
      <c r="F569" s="468"/>
      <c r="G569" s="468"/>
      <c r="H569" s="469"/>
    </row>
    <row r="570" spans="1:9" x14ac:dyDescent="0.2">
      <c r="A570" s="349"/>
      <c r="H570" s="265"/>
    </row>
    <row r="571" spans="1:9" hidden="1" x14ac:dyDescent="0.2">
      <c r="A571" s="349"/>
      <c r="B571" s="261"/>
      <c r="D571" s="268"/>
      <c r="H571" s="265"/>
    </row>
    <row r="572" spans="1:9" hidden="1" x14ac:dyDescent="0.2">
      <c r="A572" s="349"/>
      <c r="B572" s="261"/>
      <c r="D572" s="268"/>
      <c r="H572" s="265"/>
      <c r="I572">
        <v>611.08000000000004</v>
      </c>
    </row>
    <row r="573" spans="1:9" hidden="1" x14ac:dyDescent="0.2">
      <c r="A573" s="349"/>
      <c r="D573" s="268"/>
      <c r="H573" s="265"/>
    </row>
    <row r="574" spans="1:9" hidden="1" x14ac:dyDescent="0.2">
      <c r="A574" s="349"/>
      <c r="H574" s="265"/>
    </row>
    <row r="575" spans="1:9" hidden="1" x14ac:dyDescent="0.2">
      <c r="A575" s="349"/>
      <c r="B575" s="261"/>
      <c r="H575" s="265"/>
    </row>
    <row r="576" spans="1:9" hidden="1" x14ac:dyDescent="0.2">
      <c r="A576" s="349"/>
      <c r="H576" s="265"/>
    </row>
    <row r="577" spans="1:13" hidden="1" x14ac:dyDescent="0.2">
      <c r="A577" s="349"/>
      <c r="B577" s="261"/>
      <c r="H577" s="265"/>
    </row>
    <row r="578" spans="1:13" hidden="1" x14ac:dyDescent="0.2">
      <c r="A578" s="349"/>
      <c r="D578" s="268"/>
      <c r="H578" s="265"/>
    </row>
    <row r="579" spans="1:13" hidden="1" x14ac:dyDescent="0.2">
      <c r="A579" s="349"/>
      <c r="H579" s="265"/>
    </row>
    <row r="580" spans="1:13" hidden="1" x14ac:dyDescent="0.2">
      <c r="A580" s="349"/>
      <c r="C580" s="261"/>
      <c r="D580" s="268"/>
      <c r="H580" s="265"/>
    </row>
    <row r="581" spans="1:13" x14ac:dyDescent="0.2">
      <c r="A581" s="349"/>
      <c r="C581" s="261"/>
      <c r="D581" s="268"/>
      <c r="H581" s="265"/>
    </row>
    <row r="582" spans="1:13" x14ac:dyDescent="0.2">
      <c r="A582" s="349"/>
      <c r="B582" s="261" t="s">
        <v>979</v>
      </c>
      <c r="C582" s="261"/>
      <c r="D582" s="268">
        <v>287.27</v>
      </c>
      <c r="H582" s="265"/>
      <c r="J582">
        <f>35.68</f>
        <v>35.68</v>
      </c>
      <c r="K582">
        <v>11</v>
      </c>
      <c r="L582">
        <v>7.26</v>
      </c>
      <c r="M582">
        <f>J582*K582-L582</f>
        <v>385.22</v>
      </c>
    </row>
    <row r="583" spans="1:13" x14ac:dyDescent="0.2">
      <c r="A583" s="349"/>
      <c r="C583" s="261"/>
      <c r="D583" s="268"/>
      <c r="H583" s="265"/>
      <c r="J583">
        <v>104.98</v>
      </c>
      <c r="K583">
        <v>6</v>
      </c>
      <c r="L583">
        <v>8.98</v>
      </c>
      <c r="M583">
        <f>J583*K583-L583</f>
        <v>620.9</v>
      </c>
    </row>
    <row r="584" spans="1:13" x14ac:dyDescent="0.2">
      <c r="A584" s="349"/>
      <c r="B584" s="261" t="s">
        <v>970</v>
      </c>
      <c r="C584" s="261"/>
      <c r="D584" s="268">
        <v>150</v>
      </c>
      <c r="H584" s="265"/>
      <c r="M584">
        <f>M583+M582</f>
        <v>1006.12</v>
      </c>
    </row>
    <row r="585" spans="1:13" ht="13.5" thickBot="1" x14ac:dyDescent="0.25">
      <c r="A585" s="349"/>
      <c r="H585" s="265"/>
    </row>
    <row r="586" spans="1:13" ht="13.5" thickBot="1" x14ac:dyDescent="0.25">
      <c r="A586" s="349"/>
      <c r="C586" s="269" t="s">
        <v>572</v>
      </c>
      <c r="D586" s="270">
        <f>D584</f>
        <v>150</v>
      </c>
      <c r="E586" s="271" t="s">
        <v>39</v>
      </c>
      <c r="H586" s="265"/>
    </row>
    <row r="587" spans="1:13" ht="13.5" thickBot="1" x14ac:dyDescent="0.25">
      <c r="A587" s="350"/>
      <c r="B587" s="266"/>
      <c r="C587" s="266"/>
      <c r="D587" s="266"/>
      <c r="E587" s="266"/>
      <c r="F587" s="266"/>
      <c r="G587" s="266"/>
      <c r="H587" s="267"/>
    </row>
    <row r="588" spans="1:13" x14ac:dyDescent="0.2">
      <c r="A588" s="343" t="str">
        <f>'A IV.A'!A74</f>
        <v>3.4.3</v>
      </c>
      <c r="B588" s="466" t="str">
        <f>'A IV.A'!B74</f>
        <v xml:space="preserve">ESCAVAÇÃO MANUAL EM SOLO DE 1ª CATEGORIA COM PROFUNDIDADE ATÉ 1,50 M </v>
      </c>
      <c r="C588" s="466"/>
      <c r="D588" s="466"/>
      <c r="E588" s="466"/>
      <c r="F588" s="466"/>
      <c r="G588" s="466"/>
      <c r="H588" s="467"/>
    </row>
    <row r="589" spans="1:13" x14ac:dyDescent="0.2">
      <c r="A589" s="344"/>
      <c r="B589" s="468"/>
      <c r="C589" s="468"/>
      <c r="D589" s="468"/>
      <c r="E589" s="468"/>
      <c r="F589" s="468"/>
      <c r="G589" s="468"/>
      <c r="H589" s="469"/>
    </row>
    <row r="590" spans="1:13" x14ac:dyDescent="0.2">
      <c r="A590" s="349"/>
      <c r="H590" s="265"/>
    </row>
    <row r="591" spans="1:13" x14ac:dyDescent="0.2">
      <c r="A591" s="349"/>
      <c r="B591" s="261"/>
      <c r="E591" s="275"/>
      <c r="H591" s="265"/>
    </row>
    <row r="592" spans="1:13" x14ac:dyDescent="0.2">
      <c r="A592" s="349"/>
      <c r="B592" s="261"/>
      <c r="E592" s="268"/>
      <c r="H592" s="265"/>
    </row>
    <row r="593" spans="1:8" x14ac:dyDescent="0.2">
      <c r="A593" s="349"/>
      <c r="B593" s="261" t="s">
        <v>970</v>
      </c>
      <c r="D593" s="268">
        <f>'[9]Mem Global'!$G$3674</f>
        <v>1333.6499999999999</v>
      </c>
      <c r="E593" s="268"/>
      <c r="H593" s="265"/>
    </row>
    <row r="594" spans="1:8" hidden="1" x14ac:dyDescent="0.2">
      <c r="A594" s="349"/>
      <c r="B594" s="261"/>
      <c r="E594" s="268"/>
      <c r="H594" s="265"/>
    </row>
    <row r="595" spans="1:8" x14ac:dyDescent="0.2">
      <c r="A595" s="349"/>
      <c r="B595" s="261"/>
      <c r="E595" s="268"/>
      <c r="H595" s="265"/>
    </row>
    <row r="596" spans="1:8" hidden="1" x14ac:dyDescent="0.2">
      <c r="A596" s="349"/>
      <c r="B596" s="261"/>
      <c r="H596" s="265"/>
    </row>
    <row r="597" spans="1:8" hidden="1" x14ac:dyDescent="0.2">
      <c r="A597" s="349"/>
      <c r="B597" s="261"/>
      <c r="H597" s="265"/>
    </row>
    <row r="598" spans="1:8" hidden="1" x14ac:dyDescent="0.2">
      <c r="A598" s="349"/>
      <c r="E598" s="275"/>
      <c r="H598" s="265"/>
    </row>
    <row r="599" spans="1:8" hidden="1" x14ac:dyDescent="0.2">
      <c r="A599" s="349"/>
      <c r="H599" s="265"/>
    </row>
    <row r="600" spans="1:8" hidden="1" x14ac:dyDescent="0.2">
      <c r="A600" s="349"/>
      <c r="B600" s="261"/>
      <c r="H600" s="265"/>
    </row>
    <row r="601" spans="1:8" hidden="1" x14ac:dyDescent="0.2">
      <c r="A601" s="349"/>
      <c r="H601" s="265"/>
    </row>
    <row r="602" spans="1:8" hidden="1" x14ac:dyDescent="0.2">
      <c r="A602" s="349"/>
      <c r="B602" s="261"/>
      <c r="H602" s="265"/>
    </row>
    <row r="603" spans="1:8" hidden="1" x14ac:dyDescent="0.2">
      <c r="A603" s="349"/>
      <c r="D603" s="268"/>
      <c r="H603" s="265"/>
    </row>
    <row r="604" spans="1:8" hidden="1" x14ac:dyDescent="0.2">
      <c r="A604" s="349"/>
      <c r="H604" s="265"/>
    </row>
    <row r="605" spans="1:8" hidden="1" x14ac:dyDescent="0.2">
      <c r="A605" s="349"/>
      <c r="C605" s="261"/>
      <c r="D605" s="268"/>
      <c r="H605" s="265"/>
    </row>
    <row r="606" spans="1:8" ht="13.5" thickBot="1" x14ac:dyDescent="0.25">
      <c r="A606" s="349"/>
      <c r="H606" s="265"/>
    </row>
    <row r="607" spans="1:8" ht="13.5" thickBot="1" x14ac:dyDescent="0.25">
      <c r="A607" s="349"/>
      <c r="C607" s="269" t="s">
        <v>572</v>
      </c>
      <c r="D607" s="270">
        <f>ROUNDUP(D593,0)</f>
        <v>1334</v>
      </c>
      <c r="E607" s="271" t="s">
        <v>39</v>
      </c>
      <c r="H607" s="265"/>
    </row>
    <row r="608" spans="1:8" ht="13.5" thickBot="1" x14ac:dyDescent="0.25">
      <c r="A608" s="350"/>
      <c r="B608" s="266"/>
      <c r="C608" s="266"/>
      <c r="D608" s="266"/>
      <c r="E608" s="266"/>
      <c r="F608" s="266"/>
      <c r="G608" s="266"/>
      <c r="H608" s="267"/>
    </row>
    <row r="609" spans="1:8" x14ac:dyDescent="0.2">
      <c r="A609" s="343" t="str">
        <f>'A IV.A'!A75</f>
        <v>3.4.4</v>
      </c>
      <c r="B609" s="466" t="str">
        <f>'A IV.A'!B75</f>
        <v xml:space="preserve">ESCAVAÇÃO MANUAL EM SOLO DE 1ª CATEGORIA COM PROFUNDIDADE ACIMA DE 1,50 M </v>
      </c>
      <c r="C609" s="466"/>
      <c r="D609" s="466"/>
      <c r="E609" s="466"/>
      <c r="F609" s="466"/>
      <c r="G609" s="466"/>
      <c r="H609" s="467"/>
    </row>
    <row r="610" spans="1:8" x14ac:dyDescent="0.2">
      <c r="A610" s="344"/>
      <c r="B610" s="468"/>
      <c r="C610" s="468"/>
      <c r="D610" s="468"/>
      <c r="E610" s="468"/>
      <c r="F610" s="468"/>
      <c r="G610" s="468"/>
      <c r="H610" s="469"/>
    </row>
    <row r="611" spans="1:8" x14ac:dyDescent="0.2">
      <c r="A611" s="349"/>
      <c r="H611" s="265"/>
    </row>
    <row r="612" spans="1:8" x14ac:dyDescent="0.2">
      <c r="A612" s="349"/>
      <c r="B612" s="261" t="s">
        <v>970</v>
      </c>
      <c r="D612">
        <v>20</v>
      </c>
      <c r="H612" s="265"/>
    </row>
    <row r="613" spans="1:8" x14ac:dyDescent="0.2">
      <c r="A613" s="349"/>
      <c r="H613" s="265"/>
    </row>
    <row r="614" spans="1:8" hidden="1" x14ac:dyDescent="0.2">
      <c r="A614" s="349"/>
      <c r="B614" s="261" t="s">
        <v>624</v>
      </c>
      <c r="H614" s="265"/>
    </row>
    <row r="615" spans="1:8" hidden="1" x14ac:dyDescent="0.2">
      <c r="A615" s="349"/>
      <c r="H615" s="265"/>
    </row>
    <row r="616" spans="1:8" hidden="1" x14ac:dyDescent="0.2">
      <c r="A616" s="349"/>
      <c r="B616" s="261"/>
      <c r="H616" s="265"/>
    </row>
    <row r="617" spans="1:8" hidden="1" x14ac:dyDescent="0.2">
      <c r="A617" s="349"/>
      <c r="D617" s="268"/>
      <c r="H617" s="265"/>
    </row>
    <row r="618" spans="1:8" hidden="1" x14ac:dyDescent="0.2">
      <c r="A618" s="349"/>
      <c r="H618" s="265"/>
    </row>
    <row r="619" spans="1:8" hidden="1" x14ac:dyDescent="0.2">
      <c r="A619" s="349"/>
      <c r="C619" s="261" t="s">
        <v>573</v>
      </c>
      <c r="D619" s="268"/>
      <c r="H619" s="265"/>
    </row>
    <row r="620" spans="1:8" ht="13.5" thickBot="1" x14ac:dyDescent="0.25">
      <c r="A620" s="349"/>
      <c r="H620" s="265"/>
    </row>
    <row r="621" spans="1:8" ht="13.5" thickBot="1" x14ac:dyDescent="0.25">
      <c r="A621" s="349"/>
      <c r="C621" s="269" t="s">
        <v>572</v>
      </c>
      <c r="D621" s="270">
        <f>D612</f>
        <v>20</v>
      </c>
      <c r="E621" s="271" t="s">
        <v>39</v>
      </c>
      <c r="H621" s="265"/>
    </row>
    <row r="622" spans="1:8" ht="13.5" thickBot="1" x14ac:dyDescent="0.25">
      <c r="A622" s="350"/>
      <c r="B622" s="266"/>
      <c r="C622" s="266"/>
      <c r="D622" s="266"/>
      <c r="E622" s="266"/>
      <c r="F622" s="266"/>
      <c r="G622" s="266"/>
      <c r="H622" s="267"/>
    </row>
    <row r="623" spans="1:8" x14ac:dyDescent="0.2">
      <c r="A623" s="343" t="str">
        <f>'A IV.A'!A76</f>
        <v>3.4.5</v>
      </c>
      <c r="B623" s="466" t="str">
        <f>'A IV.A'!B76</f>
        <v xml:space="preserve">ESCAVAÇÃO MECANIZADA DE  VALA EM SOLO DE 1ª CATEGORIA COM PROFUNDIDADE ATÉ 2,0M </v>
      </c>
      <c r="C623" s="466"/>
      <c r="D623" s="466"/>
      <c r="E623" s="466"/>
      <c r="F623" s="466"/>
      <c r="G623" s="466"/>
      <c r="H623" s="467"/>
    </row>
    <row r="624" spans="1:8" x14ac:dyDescent="0.2">
      <c r="A624" s="344"/>
      <c r="B624" s="468"/>
      <c r="C624" s="468"/>
      <c r="D624" s="468"/>
      <c r="E624" s="468"/>
      <c r="F624" s="468"/>
      <c r="G624" s="468"/>
      <c r="H624" s="469"/>
    </row>
    <row r="625" spans="1:8" x14ac:dyDescent="0.2">
      <c r="A625" s="349"/>
      <c r="H625" s="265"/>
    </row>
    <row r="626" spans="1:8" x14ac:dyDescent="0.2">
      <c r="A626" s="349"/>
      <c r="B626" s="261"/>
      <c r="D626" s="268"/>
      <c r="H626" s="265"/>
    </row>
    <row r="627" spans="1:8" x14ac:dyDescent="0.2">
      <c r="A627" s="349"/>
      <c r="B627" s="261" t="s">
        <v>969</v>
      </c>
      <c r="D627" s="268">
        <v>10</v>
      </c>
      <c r="H627" s="265"/>
    </row>
    <row r="628" spans="1:8" x14ac:dyDescent="0.2">
      <c r="A628" s="349"/>
      <c r="D628" s="268"/>
      <c r="H628" s="265"/>
    </row>
    <row r="629" spans="1:8" ht="13.5" thickBot="1" x14ac:dyDescent="0.25">
      <c r="A629" s="349"/>
      <c r="H629" s="265"/>
    </row>
    <row r="630" spans="1:8" ht="13.5" thickBot="1" x14ac:dyDescent="0.25">
      <c r="A630" s="349"/>
      <c r="C630" s="269" t="s">
        <v>572</v>
      </c>
      <c r="D630" s="270">
        <f>D627</f>
        <v>10</v>
      </c>
      <c r="E630" s="271" t="s">
        <v>39</v>
      </c>
      <c r="H630" s="265"/>
    </row>
    <row r="631" spans="1:8" ht="13.5" thickBot="1" x14ac:dyDescent="0.25">
      <c r="A631" s="350"/>
      <c r="B631" s="266"/>
      <c r="C631" s="266"/>
      <c r="D631" s="266"/>
      <c r="E631" s="266"/>
      <c r="F631" s="266"/>
      <c r="G631" s="266"/>
      <c r="H631" s="267"/>
    </row>
    <row r="632" spans="1:8" x14ac:dyDescent="0.2">
      <c r="A632" s="343" t="e">
        <f>'A IV.A'!#REF!</f>
        <v>#REF!</v>
      </c>
      <c r="B632" s="466" t="e">
        <f>'A IV.A'!#REF!</f>
        <v>#REF!</v>
      </c>
      <c r="C632" s="466"/>
      <c r="D632" s="466"/>
      <c r="E632" s="466"/>
      <c r="F632" s="466"/>
      <c r="G632" s="466"/>
      <c r="H632" s="467"/>
    </row>
    <row r="633" spans="1:8" x14ac:dyDescent="0.2">
      <c r="A633" s="344"/>
      <c r="B633" s="468"/>
      <c r="C633" s="468"/>
      <c r="D633" s="468"/>
      <c r="E633" s="468"/>
      <c r="F633" s="468"/>
      <c r="G633" s="468"/>
      <c r="H633" s="469"/>
    </row>
    <row r="634" spans="1:8" x14ac:dyDescent="0.2">
      <c r="A634" s="349"/>
      <c r="H634" s="265"/>
    </row>
    <row r="635" spans="1:8" x14ac:dyDescent="0.2">
      <c r="A635" s="349"/>
      <c r="B635" s="261" t="s">
        <v>970</v>
      </c>
      <c r="D635" s="268">
        <v>5</v>
      </c>
      <c r="H635" s="265"/>
    </row>
    <row r="636" spans="1:8" ht="13.5" thickBot="1" x14ac:dyDescent="0.25">
      <c r="A636" s="349"/>
      <c r="H636" s="265"/>
    </row>
    <row r="637" spans="1:8" ht="13.5" thickBot="1" x14ac:dyDescent="0.25">
      <c r="A637" s="349"/>
      <c r="C637" s="269" t="s">
        <v>572</v>
      </c>
      <c r="D637" s="270">
        <f>D635</f>
        <v>5</v>
      </c>
      <c r="E637" s="271" t="s">
        <v>39</v>
      </c>
      <c r="H637" s="265"/>
    </row>
    <row r="638" spans="1:8" ht="13.5" thickBot="1" x14ac:dyDescent="0.25">
      <c r="A638" s="350"/>
      <c r="B638" s="266"/>
      <c r="C638" s="266"/>
      <c r="D638" s="266"/>
      <c r="E638" s="266"/>
      <c r="F638" s="266"/>
      <c r="G638" s="266"/>
      <c r="H638" s="267"/>
    </row>
    <row r="639" spans="1:8" ht="12.75" customHeight="1" x14ac:dyDescent="0.2">
      <c r="A639" s="343" t="e">
        <f>'A IV.A'!#REF!</f>
        <v>#REF!</v>
      </c>
      <c r="B639" s="466" t="e">
        <f>'A IV.A'!#REF!</f>
        <v>#REF!</v>
      </c>
      <c r="C639" s="466"/>
      <c r="D639" s="466"/>
      <c r="E639" s="466"/>
      <c r="F639" s="466"/>
      <c r="G639" s="466"/>
      <c r="H639" s="467"/>
    </row>
    <row r="640" spans="1:8" x14ac:dyDescent="0.2">
      <c r="A640" s="344"/>
      <c r="B640" s="468"/>
      <c r="C640" s="468"/>
      <c r="D640" s="468"/>
      <c r="E640" s="468"/>
      <c r="F640" s="468"/>
      <c r="G640" s="468"/>
      <c r="H640" s="469"/>
    </row>
    <row r="641" spans="1:8" x14ac:dyDescent="0.2">
      <c r="A641" s="349"/>
      <c r="H641" s="265"/>
    </row>
    <row r="642" spans="1:8" x14ac:dyDescent="0.2">
      <c r="A642" s="349"/>
      <c r="B642" s="261" t="s">
        <v>968</v>
      </c>
      <c r="D642">
        <v>3000</v>
      </c>
      <c r="H642" s="265"/>
    </row>
    <row r="643" spans="1:8" x14ac:dyDescent="0.2">
      <c r="A643" s="349"/>
      <c r="H643" s="265"/>
    </row>
    <row r="644" spans="1:8" ht="13.5" thickBot="1" x14ac:dyDescent="0.25">
      <c r="A644" s="349"/>
      <c r="H644" s="265"/>
    </row>
    <row r="645" spans="1:8" ht="13.5" thickBot="1" x14ac:dyDescent="0.25">
      <c r="A645" s="349"/>
      <c r="C645" s="269" t="s">
        <v>572</v>
      </c>
      <c r="D645" s="270">
        <f>D642</f>
        <v>3000</v>
      </c>
      <c r="E645" s="271" t="s">
        <v>38</v>
      </c>
      <c r="H645" s="265"/>
    </row>
    <row r="646" spans="1:8" ht="13.5" thickBot="1" x14ac:dyDescent="0.25">
      <c r="A646" s="350"/>
      <c r="B646" s="266"/>
      <c r="C646" s="266"/>
      <c r="D646" s="266"/>
      <c r="E646" s="266"/>
      <c r="F646" s="266"/>
      <c r="G646" s="266"/>
      <c r="H646" s="267"/>
    </row>
    <row r="647" spans="1:8" ht="26.1" customHeight="1" x14ac:dyDescent="0.2">
      <c r="A647" s="343" t="str">
        <f>'A IV.A'!A77</f>
        <v>3.4.8</v>
      </c>
      <c r="B647" s="484" t="str">
        <f>'A IV.A'!B77</f>
        <v>LANÇAMENTO, ESPALHAMENTO E ACOMODAÇÃO MECANIZADA DE BRITA PARA COBERTURA DE PÁTIO</v>
      </c>
      <c r="C647" s="484"/>
      <c r="D647" s="484"/>
      <c r="E647" s="484"/>
      <c r="F647" s="484"/>
      <c r="G647" s="484"/>
      <c r="H647" s="485"/>
    </row>
    <row r="648" spans="1:8" x14ac:dyDescent="0.2">
      <c r="A648" s="349"/>
      <c r="H648" s="265"/>
    </row>
    <row r="649" spans="1:8" x14ac:dyDescent="0.2">
      <c r="A649" s="349"/>
      <c r="B649" s="261"/>
      <c r="E649" s="275"/>
      <c r="H649" s="265"/>
    </row>
    <row r="650" spans="1:8" x14ac:dyDescent="0.2">
      <c r="A650" s="349"/>
      <c r="B650" s="261" t="s">
        <v>992</v>
      </c>
      <c r="E650" s="268">
        <f>'[9]Mem Global'!$G$3944</f>
        <v>1200</v>
      </c>
      <c r="H650" s="265"/>
    </row>
    <row r="651" spans="1:8" hidden="1" x14ac:dyDescent="0.2">
      <c r="A651" s="349"/>
      <c r="B651" s="261"/>
      <c r="H651" s="265"/>
    </row>
    <row r="652" spans="1:8" x14ac:dyDescent="0.2">
      <c r="A652" s="349"/>
      <c r="B652" s="261"/>
      <c r="E652" s="268"/>
      <c r="H652" s="265"/>
    </row>
    <row r="653" spans="1:8" hidden="1" x14ac:dyDescent="0.2">
      <c r="A653" s="349"/>
      <c r="E653" s="275">
        <f>SUM(E649:E652)</f>
        <v>1200</v>
      </c>
      <c r="H653" s="265"/>
    </row>
    <row r="654" spans="1:8" hidden="1" x14ac:dyDescent="0.2">
      <c r="A654" s="349"/>
      <c r="H654" s="265"/>
    </row>
    <row r="655" spans="1:8" hidden="1" x14ac:dyDescent="0.2">
      <c r="A655" s="349"/>
      <c r="B655" s="261"/>
      <c r="D655" s="268"/>
      <c r="H655" s="265"/>
    </row>
    <row r="656" spans="1:8" x14ac:dyDescent="0.2">
      <c r="A656" s="349"/>
      <c r="H656" s="265"/>
    </row>
    <row r="657" spans="1:8" x14ac:dyDescent="0.2">
      <c r="A657" s="349"/>
      <c r="C657" s="261" t="s">
        <v>573</v>
      </c>
      <c r="D657" s="275">
        <f>E653</f>
        <v>1200</v>
      </c>
      <c r="H657" s="265"/>
    </row>
    <row r="658" spans="1:8" ht="13.5" thickBot="1" x14ac:dyDescent="0.25">
      <c r="A658" s="349"/>
      <c r="H658" s="265"/>
    </row>
    <row r="659" spans="1:8" ht="13.5" thickBot="1" x14ac:dyDescent="0.25">
      <c r="A659" s="349"/>
      <c r="C659" s="269" t="s">
        <v>572</v>
      </c>
      <c r="D659" s="270">
        <f>ROUNDUP(D657,0)</f>
        <v>1200</v>
      </c>
      <c r="E659" s="271" t="s">
        <v>39</v>
      </c>
      <c r="H659" s="265"/>
    </row>
    <row r="660" spans="1:8" ht="13.5" thickBot="1" x14ac:dyDescent="0.25">
      <c r="A660" s="350"/>
      <c r="B660" s="266"/>
      <c r="C660" s="266"/>
      <c r="D660" s="266"/>
      <c r="E660" s="266"/>
      <c r="F660" s="266"/>
      <c r="G660" s="266"/>
      <c r="H660" s="267"/>
    </row>
    <row r="661" spans="1:8" ht="12.75" customHeight="1" x14ac:dyDescent="0.2">
      <c r="A661" s="343" t="str">
        <f>'A IV.A'!A78</f>
        <v>3.4.9</v>
      </c>
      <c r="B661" s="484" t="str">
        <f>'A IV.A'!B78</f>
        <v>LASTRO DE BRITA APILOADO</v>
      </c>
      <c r="C661" s="484"/>
      <c r="D661" s="484"/>
      <c r="E661" s="484"/>
      <c r="F661" s="484"/>
      <c r="G661" s="484"/>
      <c r="H661" s="485"/>
    </row>
    <row r="662" spans="1:8" x14ac:dyDescent="0.2">
      <c r="A662" s="349"/>
      <c r="H662" s="265"/>
    </row>
    <row r="663" spans="1:8" x14ac:dyDescent="0.2">
      <c r="A663" s="349"/>
      <c r="B663" s="261"/>
      <c r="E663" s="275"/>
      <c r="H663" s="265"/>
    </row>
    <row r="664" spans="1:8" x14ac:dyDescent="0.2">
      <c r="A664" s="349"/>
      <c r="B664" s="261" t="s">
        <v>620</v>
      </c>
      <c r="E664" s="268">
        <v>11.6</v>
      </c>
      <c r="H664" s="265"/>
    </row>
    <row r="665" spans="1:8" x14ac:dyDescent="0.2">
      <c r="A665" s="349"/>
      <c r="B665" s="261"/>
      <c r="E665" s="268"/>
      <c r="H665" s="265"/>
    </row>
    <row r="666" spans="1:8" x14ac:dyDescent="0.2">
      <c r="A666" s="349"/>
      <c r="B666" s="261" t="s">
        <v>970</v>
      </c>
      <c r="E666" s="268">
        <v>33.51</v>
      </c>
      <c r="H666" s="265"/>
    </row>
    <row r="667" spans="1:8" x14ac:dyDescent="0.2">
      <c r="A667" s="349"/>
      <c r="B667" s="261"/>
      <c r="H667" s="265"/>
    </row>
    <row r="668" spans="1:8" x14ac:dyDescent="0.2">
      <c r="A668" s="349"/>
      <c r="B668" s="261"/>
      <c r="E668" s="268"/>
      <c r="H668" s="265"/>
    </row>
    <row r="669" spans="1:8" x14ac:dyDescent="0.2">
      <c r="A669" s="349"/>
      <c r="C669" s="261" t="s">
        <v>573</v>
      </c>
      <c r="D669" s="275">
        <f>E666+E664</f>
        <v>45.11</v>
      </c>
      <c r="H669" s="265"/>
    </row>
    <row r="670" spans="1:8" ht="13.5" thickBot="1" x14ac:dyDescent="0.25">
      <c r="A670" s="349"/>
      <c r="H670" s="265"/>
    </row>
    <row r="671" spans="1:8" ht="13.5" thickBot="1" x14ac:dyDescent="0.25">
      <c r="A671" s="349"/>
      <c r="C671" s="269" t="s">
        <v>572</v>
      </c>
      <c r="D671" s="270">
        <f>ROUNDUP(D669,0)</f>
        <v>46</v>
      </c>
      <c r="E671" s="271" t="s">
        <v>39</v>
      </c>
      <c r="H671" s="265"/>
    </row>
    <row r="672" spans="1:8" ht="13.5" thickBot="1" x14ac:dyDescent="0.25">
      <c r="A672" s="350"/>
      <c r="B672" s="266"/>
      <c r="C672" s="266"/>
      <c r="D672" s="266"/>
      <c r="E672" s="266"/>
      <c r="F672" s="266"/>
      <c r="G672" s="266"/>
      <c r="H672" s="267"/>
    </row>
    <row r="673" spans="1:8" ht="13.5" thickBot="1" x14ac:dyDescent="0.25">
      <c r="A673" s="347" t="str">
        <f>'A IV.A'!A79</f>
        <v>3.5</v>
      </c>
      <c r="B673" s="276" t="str">
        <f>'A IV.A'!B79:M79</f>
        <v>CONCRETO - ITENS 8.5.1 A 8.5.4 DO TERMO DE REFERÊNCIA</v>
      </c>
      <c r="C673" s="279"/>
      <c r="D673" s="279"/>
      <c r="E673" s="279"/>
      <c r="F673" s="279"/>
      <c r="G673" s="279"/>
      <c r="H673" s="271"/>
    </row>
    <row r="674" spans="1:8" x14ac:dyDescent="0.2">
      <c r="A674" s="343" t="str">
        <f>'A IV.A'!A80</f>
        <v>3.5.1</v>
      </c>
      <c r="B674" s="262" t="str">
        <f>'A IV.A'!B80</f>
        <v xml:space="preserve">CONCRETO ESTRUTURAL USINADO, FCK=20 MPA </v>
      </c>
      <c r="C674" s="262"/>
      <c r="D674" s="262"/>
      <c r="E674" s="262"/>
      <c r="F674" s="262"/>
      <c r="G674" s="262"/>
      <c r="H674" s="273"/>
    </row>
    <row r="675" spans="1:8" x14ac:dyDescent="0.2">
      <c r="A675" s="349"/>
      <c r="H675" s="265"/>
    </row>
    <row r="676" spans="1:8" x14ac:dyDescent="0.2">
      <c r="A676" s="349"/>
      <c r="B676" s="261"/>
      <c r="E676" s="268"/>
      <c r="H676" s="265"/>
    </row>
    <row r="677" spans="1:8" x14ac:dyDescent="0.2">
      <c r="A677" s="349"/>
      <c r="B677" s="261" t="s">
        <v>993</v>
      </c>
      <c r="D677">
        <v>43.31</v>
      </c>
      <c r="E677" s="268"/>
      <c r="H677" s="265"/>
    </row>
    <row r="678" spans="1:8" x14ac:dyDescent="0.2">
      <c r="A678" s="349"/>
      <c r="E678" s="268"/>
      <c r="H678" s="265"/>
    </row>
    <row r="679" spans="1:8" x14ac:dyDescent="0.2">
      <c r="A679" s="349"/>
      <c r="B679" t="s">
        <v>991</v>
      </c>
      <c r="D679" s="268">
        <f>'[9]Mem Global'!$G$3999</f>
        <v>128.32499999999999</v>
      </c>
      <c r="H679" s="265"/>
    </row>
    <row r="680" spans="1:8" x14ac:dyDescent="0.2">
      <c r="A680" s="349"/>
      <c r="B680" s="261"/>
      <c r="H680" s="265"/>
    </row>
    <row r="681" spans="1:8" x14ac:dyDescent="0.2">
      <c r="A681" s="349"/>
      <c r="H681" s="265"/>
    </row>
    <row r="682" spans="1:8" x14ac:dyDescent="0.2">
      <c r="A682" s="349"/>
      <c r="C682" s="261" t="s">
        <v>573</v>
      </c>
      <c r="D682" s="268">
        <f>D677+D679+D680</f>
        <v>171.63499999999999</v>
      </c>
      <c r="H682" s="265"/>
    </row>
    <row r="683" spans="1:8" ht="13.5" thickBot="1" x14ac:dyDescent="0.25">
      <c r="A683" s="349"/>
      <c r="H683" s="265"/>
    </row>
    <row r="684" spans="1:8" ht="13.5" thickBot="1" x14ac:dyDescent="0.25">
      <c r="A684" s="349"/>
      <c r="C684" s="269" t="s">
        <v>572</v>
      </c>
      <c r="D684" s="270">
        <f>ROUNDUP(D682,0)</f>
        <v>172</v>
      </c>
      <c r="E684" s="271" t="s">
        <v>39</v>
      </c>
      <c r="H684" s="265"/>
    </row>
    <row r="685" spans="1:8" ht="13.5" thickBot="1" x14ac:dyDescent="0.25">
      <c r="A685" s="350"/>
      <c r="B685" s="266"/>
      <c r="C685" s="266"/>
      <c r="D685" s="266"/>
      <c r="E685" s="266"/>
      <c r="F685" s="266"/>
      <c r="G685" s="266"/>
      <c r="H685" s="267"/>
    </row>
    <row r="686" spans="1:8" x14ac:dyDescent="0.2">
      <c r="A686" s="343" t="str">
        <f>'A IV.A'!A81</f>
        <v>3.5.2</v>
      </c>
      <c r="B686" s="466" t="str">
        <f>'A IV.A'!B81</f>
        <v xml:space="preserve">CALÇADAS E PISOS EM CONCRETO FCK=20 MPA, PREPARO MECÂNICO, ACABAMENTO CONVENCIONAL, INCLUSIVE PREPARO DE CAIXA </v>
      </c>
      <c r="C686" s="466"/>
      <c r="D686" s="466"/>
      <c r="E686" s="466"/>
      <c r="F686" s="466"/>
      <c r="G686" s="466"/>
      <c r="H686" s="467"/>
    </row>
    <row r="687" spans="1:8" x14ac:dyDescent="0.2">
      <c r="A687" s="344"/>
      <c r="B687" s="468"/>
      <c r="C687" s="468"/>
      <c r="D687" s="468"/>
      <c r="E687" s="468"/>
      <c r="F687" s="468"/>
      <c r="G687" s="468"/>
      <c r="H687" s="469"/>
    </row>
    <row r="688" spans="1:8" x14ac:dyDescent="0.2">
      <c r="A688" s="344"/>
      <c r="B688" s="468"/>
      <c r="C688" s="468"/>
      <c r="D688" s="468"/>
      <c r="E688" s="468"/>
      <c r="F688" s="468"/>
      <c r="G688" s="468"/>
      <c r="H688" s="469"/>
    </row>
    <row r="689" spans="1:8" x14ac:dyDescent="0.2">
      <c r="A689" s="349"/>
      <c r="H689" s="265"/>
    </row>
    <row r="690" spans="1:8" x14ac:dyDescent="0.2">
      <c r="A690" s="349"/>
      <c r="B690" s="495" t="s">
        <v>625</v>
      </c>
      <c r="C690" s="495"/>
      <c r="D690" s="495"/>
      <c r="E690" s="495"/>
      <c r="F690" s="495"/>
      <c r="G690" s="495"/>
      <c r="H690" s="496"/>
    </row>
    <row r="691" spans="1:8" x14ac:dyDescent="0.2">
      <c r="A691" s="349"/>
      <c r="B691" s="495"/>
      <c r="C691" s="495"/>
      <c r="D691" s="495"/>
      <c r="E691" s="495"/>
      <c r="F691" s="495"/>
      <c r="G691" s="495"/>
      <c r="H691" s="496"/>
    </row>
    <row r="692" spans="1:8" x14ac:dyDescent="0.2">
      <c r="A692" s="349"/>
      <c r="H692" s="265"/>
    </row>
    <row r="693" spans="1:8" x14ac:dyDescent="0.2">
      <c r="A693" s="349"/>
      <c r="B693" s="261"/>
      <c r="D693" s="268"/>
      <c r="H693" s="265"/>
    </row>
    <row r="694" spans="1:8" x14ac:dyDescent="0.2">
      <c r="A694" s="349"/>
      <c r="B694" s="261" t="s">
        <v>968</v>
      </c>
      <c r="D694" s="275">
        <v>9.5</v>
      </c>
      <c r="H694" s="265"/>
    </row>
    <row r="695" spans="1:8" hidden="1" x14ac:dyDescent="0.2">
      <c r="A695" s="349"/>
      <c r="D695" s="268"/>
      <c r="H695" s="265"/>
    </row>
    <row r="696" spans="1:8" hidden="1" x14ac:dyDescent="0.2">
      <c r="A696" s="349"/>
      <c r="H696" s="265"/>
    </row>
    <row r="697" spans="1:8" hidden="1" x14ac:dyDescent="0.2">
      <c r="A697" s="349"/>
      <c r="C697" s="261"/>
      <c r="H697" s="265"/>
    </row>
    <row r="698" spans="1:8" hidden="1" x14ac:dyDescent="0.2">
      <c r="A698" s="349"/>
      <c r="H698" s="265"/>
    </row>
    <row r="699" spans="1:8" x14ac:dyDescent="0.2">
      <c r="A699" s="349"/>
      <c r="C699" s="261"/>
      <c r="D699" s="268"/>
      <c r="H699" s="265"/>
    </row>
    <row r="700" spans="1:8" ht="13.5" thickBot="1" x14ac:dyDescent="0.25">
      <c r="A700" s="349"/>
      <c r="H700" s="265"/>
    </row>
    <row r="701" spans="1:8" ht="13.5" thickBot="1" x14ac:dyDescent="0.25">
      <c r="A701" s="349"/>
      <c r="C701" s="269" t="s">
        <v>572</v>
      </c>
      <c r="D701" s="270">
        <f>ROUNDUP(D694,0)</f>
        <v>10</v>
      </c>
      <c r="E701" s="271" t="s">
        <v>39</v>
      </c>
      <c r="H701" s="265"/>
    </row>
    <row r="702" spans="1:8" ht="13.5" thickBot="1" x14ac:dyDescent="0.25">
      <c r="A702" s="350"/>
      <c r="B702" s="266"/>
      <c r="C702" s="266"/>
      <c r="D702" s="266"/>
      <c r="E702" s="266"/>
      <c r="F702" s="266"/>
      <c r="G702" s="266"/>
      <c r="H702" s="267"/>
    </row>
    <row r="703" spans="1:8" ht="12.75" customHeight="1" x14ac:dyDescent="0.2">
      <c r="A703" s="343" t="str">
        <f>'A IV.A'!A82</f>
        <v>3.5.3</v>
      </c>
      <c r="B703" s="466" t="str">
        <f>'A IV.A'!B82</f>
        <v xml:space="preserve">CALÇADAS E PISOS EM CONCRETO FCK = 20 MPA, USINADO, ACABAMENTO CONVENCIONAL, INCLUSIVE PREPARO DE CAIXA </v>
      </c>
      <c r="C703" s="466"/>
      <c r="D703" s="466"/>
      <c r="E703" s="466"/>
      <c r="F703" s="466"/>
      <c r="G703" s="466"/>
      <c r="H703" s="467"/>
    </row>
    <row r="704" spans="1:8" x14ac:dyDescent="0.2">
      <c r="A704" s="344"/>
      <c r="B704" s="468"/>
      <c r="C704" s="468"/>
      <c r="D704" s="468"/>
      <c r="E704" s="468"/>
      <c r="F704" s="468"/>
      <c r="G704" s="468"/>
      <c r="H704" s="469"/>
    </row>
    <row r="705" spans="1:8" x14ac:dyDescent="0.2">
      <c r="A705" s="349"/>
      <c r="H705" s="265"/>
    </row>
    <row r="706" spans="1:8" x14ac:dyDescent="0.2">
      <c r="A706" s="349"/>
      <c r="B706" s="261"/>
      <c r="H706" s="265"/>
    </row>
    <row r="707" spans="1:8" x14ac:dyDescent="0.2">
      <c r="A707" s="349"/>
      <c r="B707" s="261"/>
      <c r="D707" s="268"/>
      <c r="H707" s="265"/>
    </row>
    <row r="708" spans="1:8" x14ac:dyDescent="0.2">
      <c r="A708" s="349"/>
      <c r="B708" t="s">
        <v>968</v>
      </c>
      <c r="D708" s="268">
        <f>'[9]Mem Global'!$G$4107+25</f>
        <v>73.10499999999999</v>
      </c>
      <c r="H708" s="265"/>
    </row>
    <row r="709" spans="1:8" x14ac:dyDescent="0.2">
      <c r="A709" s="349"/>
      <c r="H709" s="265"/>
    </row>
    <row r="710" spans="1:8" ht="13.5" thickBot="1" x14ac:dyDescent="0.25">
      <c r="A710" s="349"/>
      <c r="H710" s="265"/>
    </row>
    <row r="711" spans="1:8" ht="13.5" thickBot="1" x14ac:dyDescent="0.25">
      <c r="A711" s="349"/>
      <c r="C711" s="269" t="s">
        <v>572</v>
      </c>
      <c r="D711" s="270">
        <f>ROUNDUP(D708,0)</f>
        <v>74</v>
      </c>
      <c r="E711" s="271" t="s">
        <v>39</v>
      </c>
      <c r="H711" s="265"/>
    </row>
    <row r="712" spans="1:8" ht="13.5" thickBot="1" x14ac:dyDescent="0.25">
      <c r="A712" s="350"/>
      <c r="B712" s="266"/>
      <c r="C712" s="266"/>
      <c r="D712" s="266"/>
      <c r="E712" s="266"/>
      <c r="F712" s="266"/>
      <c r="G712" s="266"/>
      <c r="H712" s="267"/>
    </row>
    <row r="713" spans="1:8" ht="12.75" customHeight="1" x14ac:dyDescent="0.2">
      <c r="A713" s="343" t="str">
        <f>'A IV.A'!A83</f>
        <v>3.5.4</v>
      </c>
      <c r="B713" s="466" t="str">
        <f>'A IV.A'!B83</f>
        <v xml:space="preserve">CONCRETO ESTRUTURAL VIRADO EM OBRA, FCK 20MPA </v>
      </c>
      <c r="C713" s="466"/>
      <c r="D713" s="466"/>
      <c r="E713" s="466"/>
      <c r="F713" s="466"/>
      <c r="G713" s="466"/>
      <c r="H713" s="467"/>
    </row>
    <row r="714" spans="1:8" x14ac:dyDescent="0.2">
      <c r="A714" s="349"/>
      <c r="H714" s="265"/>
    </row>
    <row r="715" spans="1:8" x14ac:dyDescent="0.2">
      <c r="A715" s="349"/>
      <c r="B715" s="261"/>
      <c r="E715" s="275"/>
      <c r="H715" s="265"/>
    </row>
    <row r="716" spans="1:8" x14ac:dyDescent="0.2">
      <c r="A716" s="349"/>
      <c r="B716" s="261"/>
      <c r="E716" s="268"/>
      <c r="H716" s="265"/>
    </row>
    <row r="717" spans="1:8" x14ac:dyDescent="0.2">
      <c r="A717" s="349"/>
      <c r="B717" s="261" t="s">
        <v>620</v>
      </c>
      <c r="E717" s="268">
        <v>7.15</v>
      </c>
      <c r="H717" s="265"/>
    </row>
    <row r="718" spans="1:8" x14ac:dyDescent="0.2">
      <c r="A718" s="349"/>
      <c r="B718" s="261" t="s">
        <v>994</v>
      </c>
      <c r="E718" s="268">
        <f>(F508/2*3*0.15*0.15)+(F508*0.15*0.15)</f>
        <v>0</v>
      </c>
      <c r="H718" s="265"/>
    </row>
    <row r="719" spans="1:8" x14ac:dyDescent="0.2">
      <c r="A719" s="349"/>
      <c r="B719" s="261" t="s">
        <v>623</v>
      </c>
      <c r="E719" s="268">
        <f>'[10]Casas C-F'!$S$3</f>
        <v>11.555999999999997</v>
      </c>
      <c r="H719" s="265"/>
    </row>
    <row r="720" spans="1:8" x14ac:dyDescent="0.2">
      <c r="A720" s="349"/>
      <c r="B720" s="261"/>
      <c r="E720" s="268"/>
      <c r="H720" s="265"/>
    </row>
    <row r="721" spans="1:8" x14ac:dyDescent="0.2">
      <c r="A721" s="349"/>
      <c r="E721" s="275">
        <f>SUM(E715:E720)</f>
        <v>18.705999999999996</v>
      </c>
      <c r="H721" s="265"/>
    </row>
    <row r="722" spans="1:8" x14ac:dyDescent="0.2">
      <c r="A722" s="349"/>
      <c r="H722" s="265"/>
    </row>
    <row r="723" spans="1:8" hidden="1" x14ac:dyDescent="0.2">
      <c r="A723" s="349"/>
      <c r="B723" s="261"/>
      <c r="H723" s="265"/>
    </row>
    <row r="724" spans="1:8" hidden="1" x14ac:dyDescent="0.2">
      <c r="A724" s="349"/>
      <c r="H724" s="265"/>
    </row>
    <row r="725" spans="1:8" hidden="1" x14ac:dyDescent="0.2">
      <c r="A725" s="349"/>
      <c r="B725" s="261"/>
      <c r="H725" s="265"/>
    </row>
    <row r="726" spans="1:8" hidden="1" x14ac:dyDescent="0.2">
      <c r="A726" s="349"/>
      <c r="D726" s="268"/>
      <c r="H726" s="265"/>
    </row>
    <row r="727" spans="1:8" hidden="1" x14ac:dyDescent="0.2">
      <c r="A727" s="349"/>
      <c r="H727" s="265"/>
    </row>
    <row r="728" spans="1:8" x14ac:dyDescent="0.2">
      <c r="A728" s="349"/>
      <c r="C728" s="261" t="s">
        <v>573</v>
      </c>
      <c r="D728" s="275">
        <f>E721+D726</f>
        <v>18.705999999999996</v>
      </c>
      <c r="H728" s="265"/>
    </row>
    <row r="729" spans="1:8" ht="13.5" thickBot="1" x14ac:dyDescent="0.25">
      <c r="A729" s="349"/>
      <c r="H729" s="265"/>
    </row>
    <row r="730" spans="1:8" ht="13.5" thickBot="1" x14ac:dyDescent="0.25">
      <c r="A730" s="349"/>
      <c r="C730" s="269" t="s">
        <v>572</v>
      </c>
      <c r="D730" s="270">
        <f>ROUNDUP(D728,0)</f>
        <v>19</v>
      </c>
      <c r="E730" s="271" t="s">
        <v>39</v>
      </c>
      <c r="H730" s="265"/>
    </row>
    <row r="731" spans="1:8" ht="13.5" thickBot="1" x14ac:dyDescent="0.25">
      <c r="A731" s="350"/>
      <c r="B731" s="266"/>
      <c r="C731" s="266"/>
      <c r="D731" s="266"/>
      <c r="E731" s="266"/>
      <c r="F731" s="266"/>
      <c r="G731" s="266"/>
      <c r="H731" s="267"/>
    </row>
    <row r="732" spans="1:8" x14ac:dyDescent="0.2">
      <c r="A732" s="343" t="str">
        <f>'A IV.A'!A84</f>
        <v>3.5.5</v>
      </c>
      <c r="B732" s="466" t="str">
        <f>'A IV.A'!B84</f>
        <v xml:space="preserve">ARGAMASSA GROUT (PREPARO E LANÇAMENTO DE ARGAMASSA DE CIMENTO, AREIA E PEDRISCO 1:3:2) </v>
      </c>
      <c r="C732" s="466"/>
      <c r="D732" s="466"/>
      <c r="E732" s="466"/>
      <c r="F732" s="466"/>
      <c r="G732" s="466"/>
      <c r="H732" s="467"/>
    </row>
    <row r="733" spans="1:8" x14ac:dyDescent="0.2">
      <c r="A733" s="344"/>
      <c r="B733" s="468"/>
      <c r="C733" s="468"/>
      <c r="D733" s="468"/>
      <c r="E733" s="468"/>
      <c r="F733" s="468"/>
      <c r="G733" s="468"/>
      <c r="H733" s="469"/>
    </row>
    <row r="734" spans="1:8" x14ac:dyDescent="0.2">
      <c r="A734" s="349"/>
      <c r="H734" s="265"/>
    </row>
    <row r="735" spans="1:8" x14ac:dyDescent="0.2">
      <c r="A735" s="349"/>
      <c r="B735" s="261"/>
      <c r="H735" s="265"/>
    </row>
    <row r="736" spans="1:8" x14ac:dyDescent="0.2">
      <c r="A736" s="349"/>
      <c r="H736" s="265"/>
    </row>
    <row r="737" spans="1:8" x14ac:dyDescent="0.2">
      <c r="A737" s="349"/>
      <c r="B737" s="261" t="s">
        <v>970</v>
      </c>
      <c r="D737" s="268">
        <f>'[9]Mem Global'!$G$4215</f>
        <v>34.453500000000005</v>
      </c>
      <c r="H737" s="265"/>
    </row>
    <row r="738" spans="1:8" x14ac:dyDescent="0.2">
      <c r="A738" s="349"/>
      <c r="D738" s="268"/>
      <c r="H738" s="265"/>
    </row>
    <row r="739" spans="1:8" ht="13.5" thickBot="1" x14ac:dyDescent="0.25">
      <c r="A739" s="349"/>
      <c r="H739" s="265"/>
    </row>
    <row r="740" spans="1:8" ht="13.5" thickBot="1" x14ac:dyDescent="0.25">
      <c r="A740" s="349"/>
      <c r="C740" s="269" t="s">
        <v>572</v>
      </c>
      <c r="D740" s="270">
        <f>D737</f>
        <v>34.453500000000005</v>
      </c>
      <c r="E740" s="271" t="s">
        <v>39</v>
      </c>
      <c r="H740" s="265"/>
    </row>
    <row r="741" spans="1:8" ht="13.5" thickBot="1" x14ac:dyDescent="0.25">
      <c r="A741" s="350"/>
      <c r="B741" s="266"/>
      <c r="C741" s="266"/>
      <c r="D741" s="266"/>
      <c r="E741" s="266"/>
      <c r="F741" s="266"/>
      <c r="G741" s="266"/>
      <c r="H741" s="267"/>
    </row>
    <row r="742" spans="1:8" ht="13.5" thickBot="1" x14ac:dyDescent="0.25">
      <c r="A742" s="347" t="str">
        <f>'A IV.A'!A85</f>
        <v>3.6</v>
      </c>
      <c r="B742" s="276" t="str">
        <f>'A IV.A'!B85:M85</f>
        <v>FORMAS E ARMADURAS - ITENS 8.6.1 E 8.6.2 DO TERMO DE REFERÊNCIA</v>
      </c>
      <c r="C742" s="279"/>
      <c r="D742" s="279"/>
      <c r="E742" s="279"/>
      <c r="F742" s="279"/>
      <c r="G742" s="279"/>
      <c r="H742" s="271"/>
    </row>
    <row r="743" spans="1:8" x14ac:dyDescent="0.2">
      <c r="A743" s="343" t="str">
        <f>'A IV.A'!A86</f>
        <v>3.6.1</v>
      </c>
      <c r="B743" s="262" t="str">
        <f>'A IV.A'!B86</f>
        <v xml:space="preserve">FORMA PLANA COMUM </v>
      </c>
      <c r="C743" s="262"/>
      <c r="D743" s="262"/>
      <c r="E743" s="262"/>
      <c r="F743" s="262"/>
      <c r="G743" s="262"/>
      <c r="H743" s="273"/>
    </row>
    <row r="744" spans="1:8" x14ac:dyDescent="0.2">
      <c r="A744" s="349"/>
      <c r="H744" s="265"/>
    </row>
    <row r="745" spans="1:8" x14ac:dyDescent="0.2">
      <c r="A745" s="349"/>
      <c r="B745" s="261"/>
      <c r="E745" s="268"/>
      <c r="H745" s="265"/>
    </row>
    <row r="746" spans="1:8" x14ac:dyDescent="0.2">
      <c r="A746" s="349"/>
      <c r="B746" s="261"/>
      <c r="E746" s="275"/>
      <c r="H746" s="265"/>
    </row>
    <row r="747" spans="1:8" x14ac:dyDescent="0.2">
      <c r="A747" s="349"/>
      <c r="B747" s="261"/>
      <c r="E747" s="268"/>
      <c r="H747" s="265"/>
    </row>
    <row r="748" spans="1:8" x14ac:dyDescent="0.2">
      <c r="A748" s="349"/>
      <c r="B748" s="261" t="s">
        <v>620</v>
      </c>
      <c r="E748" s="268">
        <v>51.27</v>
      </c>
      <c r="H748" s="265"/>
    </row>
    <row r="749" spans="1:8" x14ac:dyDescent="0.2">
      <c r="A749" s="349"/>
      <c r="B749" s="261" t="s">
        <v>995</v>
      </c>
      <c r="E749" s="268">
        <f>F508*2*0.2</f>
        <v>0</v>
      </c>
      <c r="H749" s="265"/>
    </row>
    <row r="750" spans="1:8" x14ac:dyDescent="0.2">
      <c r="A750" s="349"/>
      <c r="B750" s="261" t="s">
        <v>623</v>
      </c>
      <c r="E750" s="268">
        <f>'[10]Casas C-F'!$S$10/3</f>
        <v>9.6000000000000014</v>
      </c>
      <c r="H750" s="265"/>
    </row>
    <row r="751" spans="1:8" x14ac:dyDescent="0.2">
      <c r="A751" s="349"/>
      <c r="B751" s="261"/>
      <c r="E751" s="268"/>
      <c r="H751" s="265"/>
    </row>
    <row r="752" spans="1:8" x14ac:dyDescent="0.2">
      <c r="A752" s="349"/>
      <c r="E752" s="268">
        <f>SUM(E745:E751)</f>
        <v>60.870000000000005</v>
      </c>
      <c r="H752" s="265"/>
    </row>
    <row r="753" spans="1:10" x14ac:dyDescent="0.2">
      <c r="A753" s="349"/>
      <c r="H753" s="265"/>
    </row>
    <row r="754" spans="1:10" x14ac:dyDescent="0.2">
      <c r="A754" s="349"/>
      <c r="B754" t="s">
        <v>646</v>
      </c>
      <c r="F754" s="268">
        <f>2*D280*0.3</f>
        <v>96</v>
      </c>
      <c r="H754" s="265"/>
    </row>
    <row r="755" spans="1:10" x14ac:dyDescent="0.2">
      <c r="A755" s="349"/>
      <c r="B755" t="s">
        <v>647</v>
      </c>
      <c r="F755" s="268">
        <f>2*D476*0.3</f>
        <v>60</v>
      </c>
      <c r="H755" s="265"/>
    </row>
    <row r="756" spans="1:10" x14ac:dyDescent="0.2">
      <c r="A756" s="349"/>
      <c r="H756" s="265"/>
    </row>
    <row r="757" spans="1:10" x14ac:dyDescent="0.2">
      <c r="A757" s="349"/>
      <c r="B757" s="287"/>
      <c r="D757" s="261" t="s">
        <v>573</v>
      </c>
      <c r="E757" s="268">
        <f>E752+F754+F755</f>
        <v>216.87</v>
      </c>
      <c r="H757" s="265"/>
      <c r="J757" s="261" t="s">
        <v>648</v>
      </c>
    </row>
    <row r="758" spans="1:10" ht="13.5" thickBot="1" x14ac:dyDescent="0.25">
      <c r="A758" s="349"/>
      <c r="H758" s="265"/>
    </row>
    <row r="759" spans="1:10" ht="13.5" thickBot="1" x14ac:dyDescent="0.25">
      <c r="A759" s="349"/>
      <c r="C759" s="269" t="s">
        <v>572</v>
      </c>
      <c r="D759" s="270">
        <f>ROUNDUP(E757,0)</f>
        <v>217</v>
      </c>
      <c r="E759" s="271" t="s">
        <v>38</v>
      </c>
      <c r="H759" s="265"/>
    </row>
    <row r="760" spans="1:10" ht="13.5" thickBot="1" x14ac:dyDescent="0.25">
      <c r="A760" s="350"/>
      <c r="B760" s="266"/>
      <c r="C760" s="266"/>
      <c r="D760" s="266"/>
      <c r="E760" s="266"/>
      <c r="F760" s="266"/>
      <c r="G760" s="266"/>
      <c r="H760" s="267"/>
    </row>
    <row r="761" spans="1:10" x14ac:dyDescent="0.2">
      <c r="A761" s="343" t="str">
        <f>'A IV.A'!A87</f>
        <v>3.6.2</v>
      </c>
      <c r="B761" s="466" t="str">
        <f>'A IV.A'!B87</f>
        <v xml:space="preserve">ARMADURA EM BARRA DE AÇO CA 50/60 (CORTE, DOBRA E MONTAGEM) </v>
      </c>
      <c r="C761" s="466"/>
      <c r="D761" s="466"/>
      <c r="E761" s="466"/>
      <c r="F761" s="466"/>
      <c r="G761" s="466"/>
      <c r="H761" s="467"/>
    </row>
    <row r="762" spans="1:10" x14ac:dyDescent="0.2">
      <c r="A762" s="344"/>
      <c r="B762" s="468"/>
      <c r="C762" s="468"/>
      <c r="D762" s="468"/>
      <c r="E762" s="468"/>
      <c r="F762" s="468"/>
      <c r="G762" s="468"/>
      <c r="H762" s="469"/>
    </row>
    <row r="763" spans="1:10" x14ac:dyDescent="0.2">
      <c r="A763" s="349"/>
      <c r="H763" s="265"/>
    </row>
    <row r="764" spans="1:10" x14ac:dyDescent="0.2">
      <c r="A764" s="349"/>
      <c r="B764" s="261" t="s">
        <v>996</v>
      </c>
      <c r="E764" s="268">
        <f>'[9]Mem Global'!$K$4330+'[9]Mem Global'!$K$4332</f>
        <v>11924.76</v>
      </c>
      <c r="H764" s="265"/>
    </row>
    <row r="765" spans="1:10" hidden="1" x14ac:dyDescent="0.2">
      <c r="A765" s="349"/>
      <c r="B765" s="261"/>
      <c r="E765" s="268"/>
      <c r="H765" s="265"/>
    </row>
    <row r="766" spans="1:10" x14ac:dyDescent="0.2">
      <c r="A766" s="349"/>
      <c r="B766" s="261" t="s">
        <v>1130</v>
      </c>
      <c r="E766" s="268">
        <f>'[9]Mem Global'!$K$4331+'[9]Mem Global'!$K$4333</f>
        <v>2978</v>
      </c>
      <c r="H766" s="265"/>
    </row>
    <row r="767" spans="1:10" ht="13.5" thickBot="1" x14ac:dyDescent="0.25">
      <c r="A767" s="349"/>
      <c r="B767" s="261"/>
      <c r="H767" s="265"/>
    </row>
    <row r="768" spans="1:10" ht="13.5" thickBot="1" x14ac:dyDescent="0.25">
      <c r="A768" s="349"/>
      <c r="B768" s="261"/>
      <c r="C768" s="269" t="s">
        <v>572</v>
      </c>
      <c r="D768" s="270">
        <f>ROUND(E764+E766,0)</f>
        <v>14903</v>
      </c>
      <c r="E768" s="271" t="s">
        <v>3</v>
      </c>
      <c r="H768" s="265"/>
    </row>
    <row r="769" spans="1:8" ht="13.5" thickBot="1" x14ac:dyDescent="0.25">
      <c r="A769" s="349"/>
      <c r="B769" s="261"/>
      <c r="H769" s="265"/>
    </row>
    <row r="770" spans="1:8" x14ac:dyDescent="0.2">
      <c r="A770" s="343" t="str">
        <f>'A IV.A'!A88</f>
        <v>3.6.3</v>
      </c>
      <c r="B770" s="466" t="str">
        <f>'A IV.A'!B88</f>
        <v xml:space="preserve">ARMADURA EM TELA SOLDADA DE AÇO CA 50/60 (CORTE, DOBRA E MONTAGEM) </v>
      </c>
      <c r="C770" s="466"/>
      <c r="D770" s="466"/>
      <c r="E770" s="466"/>
      <c r="F770" s="466"/>
      <c r="G770" s="466"/>
      <c r="H770" s="467"/>
    </row>
    <row r="771" spans="1:8" x14ac:dyDescent="0.2">
      <c r="A771" s="344"/>
      <c r="B771" s="468"/>
      <c r="C771" s="468"/>
      <c r="D771" s="468"/>
      <c r="E771" s="468"/>
      <c r="F771" s="468"/>
      <c r="G771" s="468"/>
      <c r="H771" s="469"/>
    </row>
    <row r="772" spans="1:8" x14ac:dyDescent="0.2">
      <c r="A772" s="349"/>
      <c r="H772" s="265"/>
    </row>
    <row r="773" spans="1:8" x14ac:dyDescent="0.2">
      <c r="A773" s="349"/>
      <c r="B773" s="261"/>
      <c r="E773" s="275"/>
      <c r="H773" s="265"/>
    </row>
    <row r="774" spans="1:8" x14ac:dyDescent="0.2">
      <c r="A774" s="349"/>
      <c r="B774" s="261"/>
      <c r="E774" s="268"/>
      <c r="H774" s="265"/>
    </row>
    <row r="775" spans="1:8" x14ac:dyDescent="0.2">
      <c r="A775" s="349"/>
      <c r="B775" s="261" t="s">
        <v>1132</v>
      </c>
      <c r="E775" s="268">
        <f>435.75+300</f>
        <v>735.75</v>
      </c>
      <c r="H775" s="265"/>
    </row>
    <row r="776" spans="1:8" x14ac:dyDescent="0.2">
      <c r="A776" s="349"/>
      <c r="B776" s="261"/>
      <c r="E776" s="268"/>
      <c r="H776" s="265"/>
    </row>
    <row r="777" spans="1:8" hidden="1" x14ac:dyDescent="0.2">
      <c r="A777" s="349"/>
      <c r="B777" s="261"/>
      <c r="E777" s="268"/>
      <c r="H777" s="265"/>
    </row>
    <row r="778" spans="1:8" hidden="1" x14ac:dyDescent="0.2">
      <c r="A778" s="349"/>
      <c r="E778" s="275">
        <f>SUM(E773:E777)</f>
        <v>735.75</v>
      </c>
      <c r="H778" s="265"/>
    </row>
    <row r="779" spans="1:8" ht="13.5" thickBot="1" x14ac:dyDescent="0.25">
      <c r="A779" s="349"/>
      <c r="H779" s="265"/>
    </row>
    <row r="780" spans="1:8" ht="13.5" thickBot="1" x14ac:dyDescent="0.25">
      <c r="A780" s="349"/>
      <c r="C780" s="269" t="s">
        <v>572</v>
      </c>
      <c r="D780" s="270">
        <f>ROUND(E778,0)</f>
        <v>736</v>
      </c>
      <c r="E780" s="271" t="s">
        <v>3</v>
      </c>
      <c r="H780" s="265"/>
    </row>
    <row r="781" spans="1:8" ht="13.5" thickBot="1" x14ac:dyDescent="0.25">
      <c r="A781" s="350"/>
      <c r="B781" s="266"/>
      <c r="C781" s="266"/>
      <c r="D781" s="266"/>
      <c r="E781" s="266"/>
      <c r="F781" s="266"/>
      <c r="G781" s="266"/>
      <c r="H781" s="267"/>
    </row>
    <row r="782" spans="1:8" ht="26.25" customHeight="1" thickBot="1" x14ac:dyDescent="0.25">
      <c r="A782" s="347" t="str">
        <f>'A IV.A'!A89</f>
        <v>3.7</v>
      </c>
      <c r="B782" s="476" t="str">
        <f>'A IV.A'!B89:M89</f>
        <v>ELEMENTOS CONSTRUTIVOS - ITENS 8.7.1 A 8.7.3 DO TERMO DE REFERÊNCIA</v>
      </c>
      <c r="C782" s="476"/>
      <c r="D782" s="476"/>
      <c r="E782" s="476"/>
      <c r="F782" s="476"/>
      <c r="G782" s="476"/>
      <c r="H782" s="483"/>
    </row>
    <row r="783" spans="1:8" x14ac:dyDescent="0.2">
      <c r="A783" s="343" t="str">
        <f>'A IV.A'!A90</f>
        <v>3.7.1</v>
      </c>
      <c r="B783" s="262" t="str">
        <f>'A IV.A'!B90</f>
        <v xml:space="preserve">BROCA EM CONCRETO ARMADO, DIÂMETRO DE 20CM, COMPLETA </v>
      </c>
      <c r="C783" s="262"/>
      <c r="D783" s="262"/>
      <c r="E783" s="262"/>
      <c r="F783" s="262"/>
      <c r="G783" s="262"/>
      <c r="H783" s="273"/>
    </row>
    <row r="784" spans="1:8" x14ac:dyDescent="0.2">
      <c r="A784" s="349"/>
      <c r="H784" s="265"/>
    </row>
    <row r="785" spans="1:8" x14ac:dyDescent="0.2">
      <c r="A785" s="349"/>
      <c r="B785" s="479"/>
      <c r="C785" s="479"/>
      <c r="D785" s="290"/>
      <c r="E785" s="290"/>
      <c r="F785" s="290"/>
      <c r="G785" s="290"/>
      <c r="H785" s="291"/>
    </row>
    <row r="786" spans="1:8" ht="12.75" customHeight="1" x14ac:dyDescent="0.2">
      <c r="A786" s="349"/>
      <c r="B786" s="290"/>
      <c r="C786" s="479" t="s">
        <v>970</v>
      </c>
      <c r="D786" s="479"/>
      <c r="E786" s="292">
        <f>'[9]Mem Global'!$G$4487</f>
        <v>3012</v>
      </c>
      <c r="F786" s="290"/>
      <c r="G786" s="290"/>
      <c r="H786" s="291"/>
    </row>
    <row r="787" spans="1:8" x14ac:dyDescent="0.2">
      <c r="A787" s="349"/>
      <c r="B787" s="290"/>
      <c r="C787" s="479"/>
      <c r="D787" s="479"/>
      <c r="E787" s="292"/>
      <c r="F787" s="290"/>
      <c r="G787" s="290"/>
      <c r="H787" s="291"/>
    </row>
    <row r="788" spans="1:8" x14ac:dyDescent="0.2">
      <c r="A788" s="349"/>
      <c r="B788" s="290"/>
      <c r="C788" s="479"/>
      <c r="D788" s="479"/>
      <c r="E788" s="292"/>
      <c r="F788" s="290"/>
      <c r="G788" s="290"/>
      <c r="H788" s="291"/>
    </row>
    <row r="789" spans="1:8" x14ac:dyDescent="0.2">
      <c r="A789" s="349"/>
      <c r="B789" s="290"/>
      <c r="C789" s="290"/>
      <c r="D789" s="290"/>
      <c r="E789" s="292"/>
      <c r="F789" s="290"/>
      <c r="G789" s="290"/>
      <c r="H789" s="291"/>
    </row>
    <row r="790" spans="1:8" ht="13.5" thickBot="1" x14ac:dyDescent="0.25">
      <c r="A790" s="349"/>
      <c r="H790" s="265"/>
    </row>
    <row r="791" spans="1:8" ht="13.5" thickBot="1" x14ac:dyDescent="0.25">
      <c r="A791" s="349"/>
      <c r="C791" s="269" t="s">
        <v>572</v>
      </c>
      <c r="D791" s="270">
        <f>ROUND(E786,0)</f>
        <v>3012</v>
      </c>
      <c r="E791" s="271" t="s">
        <v>36</v>
      </c>
      <c r="H791" s="265"/>
    </row>
    <row r="792" spans="1:8" ht="13.5" thickBot="1" x14ac:dyDescent="0.25">
      <c r="A792" s="349"/>
      <c r="C792" s="277"/>
      <c r="D792" s="293"/>
      <c r="E792" s="277"/>
      <c r="H792" s="265"/>
    </row>
    <row r="793" spans="1:8" ht="26.1" customHeight="1" x14ac:dyDescent="0.2">
      <c r="A793" s="343" t="e">
        <f>'A IV.A'!#REF!</f>
        <v>#REF!</v>
      </c>
      <c r="B793" s="474" t="e">
        <f>'A IV.A'!#REF!</f>
        <v>#REF!</v>
      </c>
      <c r="C793" s="474"/>
      <c r="D793" s="474"/>
      <c r="E793" s="474"/>
      <c r="F793" s="474"/>
      <c r="G793" s="474"/>
      <c r="H793" s="475"/>
    </row>
    <row r="794" spans="1:8" x14ac:dyDescent="0.2">
      <c r="A794" s="349"/>
      <c r="H794" s="265"/>
    </row>
    <row r="795" spans="1:8" x14ac:dyDescent="0.2">
      <c r="A795" s="349"/>
      <c r="B795" s="479"/>
      <c r="C795" s="479"/>
      <c r="D795" s="290"/>
      <c r="E795" s="290"/>
      <c r="F795" s="290"/>
      <c r="G795" s="290"/>
      <c r="H795" s="291"/>
    </row>
    <row r="796" spans="1:8" x14ac:dyDescent="0.2">
      <c r="A796" s="349"/>
      <c r="B796" s="290"/>
      <c r="C796" s="479" t="s">
        <v>970</v>
      </c>
      <c r="D796" s="479"/>
      <c r="E796" s="292">
        <f>F518/2.5*3+20</f>
        <v>20</v>
      </c>
      <c r="F796" s="290"/>
      <c r="G796" s="290"/>
      <c r="H796" s="291"/>
    </row>
    <row r="797" spans="1:8" x14ac:dyDescent="0.2">
      <c r="A797" s="349"/>
      <c r="B797" s="290"/>
      <c r="C797" s="479"/>
      <c r="D797" s="479"/>
      <c r="E797" s="292"/>
      <c r="F797" s="290"/>
      <c r="G797" s="290"/>
      <c r="H797" s="291"/>
    </row>
    <row r="798" spans="1:8" x14ac:dyDescent="0.2">
      <c r="A798" s="349"/>
      <c r="B798" s="290"/>
      <c r="C798" s="479"/>
      <c r="D798" s="479"/>
      <c r="E798" s="292"/>
      <c r="F798" s="290"/>
      <c r="G798" s="290"/>
      <c r="H798" s="291"/>
    </row>
    <row r="799" spans="1:8" x14ac:dyDescent="0.2">
      <c r="A799" s="349"/>
      <c r="B799" s="290"/>
      <c r="C799" s="290"/>
      <c r="D799" s="290"/>
      <c r="E799" s="292"/>
      <c r="F799" s="290"/>
      <c r="G799" s="290"/>
      <c r="H799" s="291"/>
    </row>
    <row r="800" spans="1:8" ht="13.5" thickBot="1" x14ac:dyDescent="0.25">
      <c r="A800" s="349"/>
      <c r="H800" s="265"/>
    </row>
    <row r="801" spans="1:8" ht="13.5" thickBot="1" x14ac:dyDescent="0.25">
      <c r="A801" s="349"/>
      <c r="C801" s="269" t="s">
        <v>572</v>
      </c>
      <c r="D801" s="270">
        <f>ROUND(E796,0)</f>
        <v>20</v>
      </c>
      <c r="E801" s="271" t="s">
        <v>36</v>
      </c>
      <c r="H801" s="265"/>
    </row>
    <row r="802" spans="1:8" ht="13.5" thickBot="1" x14ac:dyDescent="0.25">
      <c r="A802" s="349"/>
      <c r="C802" s="277"/>
      <c r="D802" s="293"/>
      <c r="E802" s="277"/>
      <c r="H802" s="265"/>
    </row>
    <row r="803" spans="1:8" x14ac:dyDescent="0.2">
      <c r="A803" s="343" t="e">
        <f>'A IV.A'!#REF!</f>
        <v>#REF!</v>
      </c>
      <c r="B803" s="474" t="e">
        <f>'A IV.A'!#REF!</f>
        <v>#REF!</v>
      </c>
      <c r="C803" s="474"/>
      <c r="D803" s="474"/>
      <c r="E803" s="474"/>
      <c r="F803" s="474"/>
      <c r="G803" s="474"/>
      <c r="H803" s="475"/>
    </row>
    <row r="804" spans="1:8" x14ac:dyDescent="0.2">
      <c r="A804" s="349"/>
      <c r="H804" s="265"/>
    </row>
    <row r="805" spans="1:8" x14ac:dyDescent="0.2">
      <c r="A805" s="349"/>
      <c r="B805" s="479"/>
      <c r="C805" s="479"/>
      <c r="D805" s="290"/>
      <c r="E805" s="290"/>
      <c r="F805" s="290"/>
      <c r="G805" s="290"/>
      <c r="H805" s="291"/>
    </row>
    <row r="806" spans="1:8" x14ac:dyDescent="0.2">
      <c r="A806" s="349"/>
      <c r="B806" s="290"/>
      <c r="C806" s="479" t="s">
        <v>970</v>
      </c>
      <c r="D806" s="479"/>
      <c r="E806" s="292">
        <f>F528/2.5*3+20</f>
        <v>20</v>
      </c>
      <c r="F806" s="290"/>
      <c r="G806" s="290"/>
      <c r="H806" s="291"/>
    </row>
    <row r="807" spans="1:8" x14ac:dyDescent="0.2">
      <c r="A807" s="349"/>
      <c r="B807" s="290"/>
      <c r="C807" s="479"/>
      <c r="D807" s="479"/>
      <c r="E807" s="292"/>
      <c r="F807" s="290"/>
      <c r="G807" s="290"/>
      <c r="H807" s="291"/>
    </row>
    <row r="808" spans="1:8" x14ac:dyDescent="0.2">
      <c r="A808" s="349"/>
      <c r="B808" s="290"/>
      <c r="C808" s="479"/>
      <c r="D808" s="479"/>
      <c r="E808" s="292"/>
      <c r="F808" s="290"/>
      <c r="G808" s="290"/>
      <c r="H808" s="291"/>
    </row>
    <row r="809" spans="1:8" x14ac:dyDescent="0.2">
      <c r="A809" s="349"/>
      <c r="B809" s="290"/>
      <c r="C809" s="290"/>
      <c r="D809" s="290"/>
      <c r="E809" s="292"/>
      <c r="F809" s="290"/>
      <c r="G809" s="290"/>
      <c r="H809" s="291"/>
    </row>
    <row r="810" spans="1:8" ht="13.5" thickBot="1" x14ac:dyDescent="0.25">
      <c r="A810" s="349"/>
      <c r="H810" s="265"/>
    </row>
    <row r="811" spans="1:8" ht="13.5" thickBot="1" x14ac:dyDescent="0.25">
      <c r="A811" s="349"/>
      <c r="C811" s="269" t="s">
        <v>572</v>
      </c>
      <c r="D811" s="270">
        <f>ROUND(E806,0)</f>
        <v>20</v>
      </c>
      <c r="E811" s="271" t="s">
        <v>36</v>
      </c>
      <c r="H811" s="265"/>
    </row>
    <row r="812" spans="1:8" ht="13.5" thickBot="1" x14ac:dyDescent="0.25">
      <c r="A812" s="349"/>
      <c r="C812" s="277"/>
      <c r="D812" s="293"/>
      <c r="E812" s="277"/>
      <c r="H812" s="265"/>
    </row>
    <row r="813" spans="1:8" ht="13.5" thickBot="1" x14ac:dyDescent="0.25">
      <c r="A813" s="347" t="str">
        <f>'A IV.A'!A91</f>
        <v>3.8</v>
      </c>
      <c r="B813" s="276" t="str">
        <f>'A IV.A'!B91:M91</f>
        <v>REVESTIMENTOS - ITENS 8.8.1 A 8.8.3 DO TERMO DE REFERÊNCIA</v>
      </c>
      <c r="C813" s="279"/>
      <c r="D813" s="279"/>
      <c r="E813" s="279"/>
      <c r="F813" s="279"/>
      <c r="G813" s="279"/>
      <c r="H813" s="271"/>
    </row>
    <row r="814" spans="1:8" ht="12.75" customHeight="1" x14ac:dyDescent="0.2">
      <c r="A814" s="343" t="str">
        <f>'A IV.A'!A92</f>
        <v>3.8.1</v>
      </c>
      <c r="B814" s="466" t="str">
        <f>'A IV.A'!B92</f>
        <v xml:space="preserve">CHAPISCO COM ARGAMASSA DE CIMENTO E AREIA TRAÇO 1:3, E=5 MM </v>
      </c>
      <c r="C814" s="466"/>
      <c r="D814" s="466"/>
      <c r="E814" s="466"/>
      <c r="F814" s="466"/>
      <c r="G814" s="466"/>
      <c r="H814" s="467"/>
    </row>
    <row r="815" spans="1:8" x14ac:dyDescent="0.2">
      <c r="A815" s="349"/>
      <c r="H815" s="265"/>
    </row>
    <row r="816" spans="1:8" x14ac:dyDescent="0.2">
      <c r="A816" s="349"/>
      <c r="B816" s="261"/>
      <c r="E816" s="268"/>
      <c r="H816" s="265"/>
    </row>
    <row r="817" spans="1:8" x14ac:dyDescent="0.2">
      <c r="A817" s="349"/>
      <c r="B817" s="261"/>
      <c r="E817" s="275"/>
      <c r="H817" s="265"/>
    </row>
    <row r="818" spans="1:8" x14ac:dyDescent="0.2">
      <c r="A818" s="349"/>
      <c r="B818" s="261"/>
      <c r="E818" s="268"/>
      <c r="H818" s="265"/>
    </row>
    <row r="819" spans="1:8" x14ac:dyDescent="0.2">
      <c r="A819" s="349"/>
      <c r="B819" s="261" t="s">
        <v>620</v>
      </c>
      <c r="E819" s="268">
        <v>125</v>
      </c>
      <c r="H819" s="265"/>
    </row>
    <row r="820" spans="1:8" x14ac:dyDescent="0.2">
      <c r="A820" s="349"/>
      <c r="B820" s="261"/>
      <c r="E820" s="268"/>
      <c r="H820" s="265"/>
    </row>
    <row r="821" spans="1:8" x14ac:dyDescent="0.2">
      <c r="A821" s="349"/>
      <c r="B821" s="261" t="s">
        <v>997</v>
      </c>
      <c r="E821" s="268">
        <v>0</v>
      </c>
      <c r="H821" s="265"/>
    </row>
    <row r="822" spans="1:8" x14ac:dyDescent="0.2">
      <c r="A822" s="349"/>
      <c r="B822" s="261"/>
      <c r="E822" s="268"/>
      <c r="H822" s="265"/>
    </row>
    <row r="823" spans="1:8" x14ac:dyDescent="0.2">
      <c r="A823" s="349"/>
      <c r="B823" s="261"/>
      <c r="E823" s="268"/>
      <c r="H823" s="265"/>
    </row>
    <row r="824" spans="1:8" x14ac:dyDescent="0.2">
      <c r="A824" s="349"/>
      <c r="E824" s="268">
        <f>SUM(E816:E823)</f>
        <v>125</v>
      </c>
      <c r="H824" s="265"/>
    </row>
    <row r="825" spans="1:8" ht="13.5" thickBot="1" x14ac:dyDescent="0.25">
      <c r="A825" s="349"/>
      <c r="H825" s="265"/>
    </row>
    <row r="826" spans="1:8" ht="13.5" thickBot="1" x14ac:dyDescent="0.25">
      <c r="A826" s="349"/>
      <c r="C826" s="269" t="s">
        <v>572</v>
      </c>
      <c r="D826" s="270">
        <f>ROUNDUP(E824,0)</f>
        <v>125</v>
      </c>
      <c r="E826" s="271" t="s">
        <v>38</v>
      </c>
      <c r="H826" s="265"/>
    </row>
    <row r="827" spans="1:8" ht="13.5" thickBot="1" x14ac:dyDescent="0.25">
      <c r="A827" s="350"/>
      <c r="B827" s="266"/>
      <c r="C827" s="266"/>
      <c r="D827" s="266"/>
      <c r="E827" s="266"/>
      <c r="F827" s="266"/>
      <c r="G827" s="266"/>
      <c r="H827" s="267"/>
    </row>
    <row r="828" spans="1:8" ht="12.75" customHeight="1" x14ac:dyDescent="0.2">
      <c r="A828" s="343" t="str">
        <f>'A IV.A'!A93</f>
        <v>3.8.2</v>
      </c>
      <c r="B828" s="466" t="str">
        <f>'A IV.A'!B93</f>
        <v xml:space="preserve">REBOCO/MASSA ÚNICA, PAREDE INTERNA/EXTERNA COM ARGAMASSA DE CIMENTO, CAL E AREIA 1:2:8, E=20 MM </v>
      </c>
      <c r="C828" s="466"/>
      <c r="D828" s="466"/>
      <c r="E828" s="466"/>
      <c r="F828" s="466"/>
      <c r="G828" s="466"/>
      <c r="H828" s="467"/>
    </row>
    <row r="829" spans="1:8" x14ac:dyDescent="0.2">
      <c r="A829" s="344"/>
      <c r="B829" s="468"/>
      <c r="C829" s="468"/>
      <c r="D829" s="468"/>
      <c r="E829" s="468"/>
      <c r="F829" s="468"/>
      <c r="G829" s="468"/>
      <c r="H829" s="469"/>
    </row>
    <row r="830" spans="1:8" x14ac:dyDescent="0.2">
      <c r="A830" s="349"/>
      <c r="H830" s="265"/>
    </row>
    <row r="831" spans="1:8" x14ac:dyDescent="0.2">
      <c r="A831" s="349"/>
      <c r="B831" s="261" t="s">
        <v>588</v>
      </c>
      <c r="H831" s="265"/>
    </row>
    <row r="832" spans="1:8" ht="13.5" thickBot="1" x14ac:dyDescent="0.25">
      <c r="A832" s="349"/>
      <c r="H832" s="265"/>
    </row>
    <row r="833" spans="1:10" ht="13.5" thickBot="1" x14ac:dyDescent="0.25">
      <c r="A833" s="349"/>
      <c r="C833" s="269" t="s">
        <v>572</v>
      </c>
      <c r="D833" s="270">
        <f>D826</f>
        <v>125</v>
      </c>
      <c r="E833" s="271" t="s">
        <v>38</v>
      </c>
      <c r="H833" s="265"/>
    </row>
    <row r="834" spans="1:10" ht="13.5" thickBot="1" x14ac:dyDescent="0.25">
      <c r="A834" s="350"/>
      <c r="B834" s="266"/>
      <c r="C834" s="266"/>
      <c r="D834" s="266"/>
      <c r="E834" s="266"/>
      <c r="F834" s="266"/>
      <c r="G834" s="266"/>
      <c r="H834" s="267"/>
    </row>
    <row r="835" spans="1:10" x14ac:dyDescent="0.2">
      <c r="A835" s="343" t="str">
        <f>'A IV.A'!A94</f>
        <v>3.8.3</v>
      </c>
      <c r="B835" s="466" t="str">
        <f>'A IV.A'!B94</f>
        <v xml:space="preserve">RECUPERAÇÃO E REGULARIZAÇÃO DO REVESTIMENTO EM EMBOÇO/MASSA ÚNICA/REBOCO </v>
      </c>
      <c r="C835" s="466"/>
      <c r="D835" s="466"/>
      <c r="E835" s="466"/>
      <c r="F835" s="466"/>
      <c r="G835" s="466"/>
      <c r="H835" s="467"/>
    </row>
    <row r="836" spans="1:10" x14ac:dyDescent="0.2">
      <c r="A836" s="344"/>
      <c r="B836" s="468"/>
      <c r="C836" s="468"/>
      <c r="D836" s="468"/>
      <c r="E836" s="468"/>
      <c r="F836" s="468"/>
      <c r="G836" s="468"/>
      <c r="H836" s="469"/>
    </row>
    <row r="837" spans="1:10" x14ac:dyDescent="0.2">
      <c r="A837" s="349"/>
      <c r="H837" s="265"/>
    </row>
    <row r="838" spans="1:10" x14ac:dyDescent="0.2">
      <c r="A838" s="349"/>
      <c r="B838" s="261"/>
      <c r="H838" s="265"/>
    </row>
    <row r="839" spans="1:10" x14ac:dyDescent="0.2">
      <c r="A839" s="349"/>
      <c r="C839">
        <v>1</v>
      </c>
      <c r="D839" s="261" t="s">
        <v>614</v>
      </c>
      <c r="E839" s="275">
        <v>300</v>
      </c>
      <c r="F839" s="261"/>
      <c r="H839" s="265"/>
      <c r="J839" s="261" t="s">
        <v>652</v>
      </c>
    </row>
    <row r="840" spans="1:10" ht="13.5" thickBot="1" x14ac:dyDescent="0.25">
      <c r="A840" s="349"/>
      <c r="D840" s="261"/>
      <c r="E840" s="275"/>
      <c r="F840" s="261"/>
      <c r="H840" s="265"/>
      <c r="J840" s="261"/>
    </row>
    <row r="841" spans="1:10" ht="13.5" thickBot="1" x14ac:dyDescent="0.25">
      <c r="A841" s="349"/>
      <c r="C841" s="269" t="s">
        <v>572</v>
      </c>
      <c r="D841" s="270">
        <f>C839*E839</f>
        <v>300</v>
      </c>
      <c r="E841" s="271" t="s">
        <v>38</v>
      </c>
      <c r="F841" s="261"/>
      <c r="H841" s="265"/>
      <c r="J841" s="261"/>
    </row>
    <row r="842" spans="1:10" ht="13.5" thickBot="1" x14ac:dyDescent="0.25">
      <c r="A842" s="350"/>
      <c r="B842" s="266"/>
      <c r="C842" s="266"/>
      <c r="D842" s="280"/>
      <c r="E842" s="295"/>
      <c r="F842" s="280"/>
      <c r="G842" s="266"/>
      <c r="H842" s="267"/>
      <c r="J842" s="261"/>
    </row>
    <row r="843" spans="1:10" ht="27" customHeight="1" thickBot="1" x14ac:dyDescent="0.25">
      <c r="A843" s="352" t="str">
        <f>'A IV.A'!A95</f>
        <v>3.9</v>
      </c>
      <c r="B843" s="476" t="str">
        <f>'A IV.A'!B95:M95</f>
        <v>REVESTIMENTOS CERÂMICOS - ITENS 8.9.1 A 8.9.4 DO TERMO DE REFERÊNCIA</v>
      </c>
      <c r="C843" s="476"/>
      <c r="D843" s="476"/>
      <c r="E843" s="476"/>
      <c r="F843" s="476"/>
      <c r="G843" s="476"/>
      <c r="H843" s="483"/>
    </row>
    <row r="844" spans="1:10" ht="12.75" customHeight="1" x14ac:dyDescent="0.2">
      <c r="A844" s="343" t="str">
        <f>'A IV.A'!A96</f>
        <v>3.9.1</v>
      </c>
      <c r="B844" s="466" t="str">
        <f>'A IV.A'!B96</f>
        <v>AZULEJO CERÂMICO ESMALTADO EXTRA, ASSENTADO COM ARGAMASSA COLANTE, JUNTAS A PRUMO, INCLUSO REJUNTAMENTO</v>
      </c>
      <c r="C844" s="466"/>
      <c r="D844" s="466"/>
      <c r="E844" s="466"/>
      <c r="F844" s="466"/>
      <c r="G844" s="466"/>
      <c r="H844" s="467"/>
    </row>
    <row r="845" spans="1:10" x14ac:dyDescent="0.2">
      <c r="A845" s="344"/>
      <c r="B845" s="468"/>
      <c r="C845" s="468"/>
      <c r="D845" s="468"/>
      <c r="E845" s="468"/>
      <c r="F845" s="468"/>
      <c r="G845" s="468"/>
      <c r="H845" s="469"/>
    </row>
    <row r="846" spans="1:10" x14ac:dyDescent="0.2">
      <c r="A846" s="349"/>
      <c r="H846" s="265"/>
    </row>
    <row r="847" spans="1:10" x14ac:dyDescent="0.2">
      <c r="A847" s="349"/>
      <c r="B847" s="261" t="s">
        <v>623</v>
      </c>
      <c r="D847" s="268">
        <v>150</v>
      </c>
      <c r="H847" s="265"/>
    </row>
    <row r="848" spans="1:10" x14ac:dyDescent="0.2">
      <c r="A848" s="349"/>
      <c r="B848" s="261"/>
      <c r="D848" s="268"/>
      <c r="H848" s="265"/>
    </row>
    <row r="849" spans="1:8" x14ac:dyDescent="0.2">
      <c r="A849" s="349"/>
      <c r="D849" s="268">
        <f>SUM(D847:D848)</f>
        <v>150</v>
      </c>
      <c r="H849" s="265"/>
    </row>
    <row r="850" spans="1:8" ht="13.5" thickBot="1" x14ac:dyDescent="0.25">
      <c r="A850" s="349"/>
      <c r="H850" s="265"/>
    </row>
    <row r="851" spans="1:8" ht="13.5" thickBot="1" x14ac:dyDescent="0.25">
      <c r="A851" s="349"/>
      <c r="C851" s="269" t="s">
        <v>572</v>
      </c>
      <c r="D851" s="270">
        <f>D849</f>
        <v>150</v>
      </c>
      <c r="E851" s="271" t="s">
        <v>38</v>
      </c>
      <c r="H851" s="265"/>
    </row>
    <row r="852" spans="1:8" ht="13.5" thickBot="1" x14ac:dyDescent="0.25">
      <c r="A852" s="350"/>
      <c r="B852" s="266"/>
      <c r="C852" s="266"/>
      <c r="D852" s="266"/>
      <c r="E852" s="266"/>
      <c r="F852" s="266"/>
      <c r="G852" s="266"/>
      <c r="H852" s="267"/>
    </row>
    <row r="853" spans="1:8" x14ac:dyDescent="0.2">
      <c r="A853" s="343" t="str">
        <f>'A IV.A'!A97</f>
        <v>3.9.2</v>
      </c>
      <c r="B853" s="466" t="str">
        <f>'A IV.A'!B97</f>
        <v xml:space="preserve">CONTRAPISO EM ARGAMASSA, ADERIDO, TRAÇO 1:4, E=3 CM, COM ADITIVO ADESIVO </v>
      </c>
      <c r="C853" s="466"/>
      <c r="D853" s="466"/>
      <c r="E853" s="466"/>
      <c r="F853" s="466"/>
      <c r="G853" s="466"/>
      <c r="H853" s="467"/>
    </row>
    <row r="854" spans="1:8" x14ac:dyDescent="0.2">
      <c r="A854" s="344"/>
      <c r="B854" s="468"/>
      <c r="C854" s="468"/>
      <c r="D854" s="468"/>
      <c r="E854" s="468"/>
      <c r="F854" s="468"/>
      <c r="G854" s="468"/>
      <c r="H854" s="469"/>
    </row>
    <row r="855" spans="1:8" x14ac:dyDescent="0.2">
      <c r="A855" s="349"/>
      <c r="H855" s="265"/>
    </row>
    <row r="856" spans="1:8" x14ac:dyDescent="0.2">
      <c r="A856" s="349"/>
      <c r="B856" s="261" t="s">
        <v>623</v>
      </c>
      <c r="D856" s="268">
        <v>75</v>
      </c>
      <c r="H856" s="265"/>
    </row>
    <row r="857" spans="1:8" x14ac:dyDescent="0.2">
      <c r="A857" s="349"/>
      <c r="B857" s="261"/>
      <c r="D857" s="268"/>
      <c r="H857" s="265"/>
    </row>
    <row r="858" spans="1:8" ht="13.5" thickBot="1" x14ac:dyDescent="0.25">
      <c r="A858" s="349"/>
      <c r="H858" s="265"/>
    </row>
    <row r="859" spans="1:8" ht="13.5" thickBot="1" x14ac:dyDescent="0.25">
      <c r="A859" s="349"/>
      <c r="C859" s="269" t="s">
        <v>572</v>
      </c>
      <c r="D859" s="270">
        <f>ROUNDUP(D856,0)</f>
        <v>75</v>
      </c>
      <c r="E859" s="271" t="s">
        <v>38</v>
      </c>
      <c r="H859" s="265"/>
    </row>
    <row r="860" spans="1:8" ht="13.5" thickBot="1" x14ac:dyDescent="0.25">
      <c r="A860" s="350"/>
      <c r="B860" s="266"/>
      <c r="C860" s="266"/>
      <c r="D860" s="266"/>
      <c r="E860" s="266"/>
      <c r="F860" s="266"/>
      <c r="G860" s="266"/>
      <c r="H860" s="267"/>
    </row>
    <row r="861" spans="1:8" x14ac:dyDescent="0.2">
      <c r="A861" s="343" t="str">
        <f>'A IV.A'!A98</f>
        <v>3.9.3</v>
      </c>
      <c r="B861" s="262" t="str">
        <f>'A IV.A'!B98</f>
        <v xml:space="preserve">PISO COM CERÂMICA ESMALTADA PEI-5 </v>
      </c>
      <c r="C861" s="262"/>
      <c r="D861" s="262"/>
      <c r="E861" s="262"/>
      <c r="F861" s="262"/>
      <c r="G861" s="262"/>
      <c r="H861" s="273"/>
    </row>
    <row r="862" spans="1:8" x14ac:dyDescent="0.2">
      <c r="A862" s="349"/>
      <c r="H862" s="265"/>
    </row>
    <row r="863" spans="1:8" x14ac:dyDescent="0.2">
      <c r="A863" s="349"/>
      <c r="B863" s="261" t="s">
        <v>623</v>
      </c>
      <c r="D863" s="268">
        <v>350</v>
      </c>
      <c r="H863" s="265"/>
    </row>
    <row r="864" spans="1:8" x14ac:dyDescent="0.2">
      <c r="A864" s="349"/>
      <c r="B864" s="261"/>
      <c r="D864" s="268"/>
      <c r="H864" s="265"/>
    </row>
    <row r="865" spans="1:8" ht="13.5" thickBot="1" x14ac:dyDescent="0.25">
      <c r="A865" s="349"/>
      <c r="H865" s="265"/>
    </row>
    <row r="866" spans="1:8" ht="13.5" thickBot="1" x14ac:dyDescent="0.25">
      <c r="A866" s="349"/>
      <c r="C866" s="269" t="s">
        <v>572</v>
      </c>
      <c r="D866" s="270">
        <f>ROUNDUP(D863,0)</f>
        <v>350</v>
      </c>
      <c r="E866" s="271" t="s">
        <v>38</v>
      </c>
      <c r="H866" s="265"/>
    </row>
    <row r="867" spans="1:8" ht="13.5" thickBot="1" x14ac:dyDescent="0.25">
      <c r="A867" s="350"/>
      <c r="B867" s="266"/>
      <c r="C867" s="266"/>
      <c r="D867" s="266"/>
      <c r="E867" s="266"/>
      <c r="F867" s="266"/>
      <c r="G867" s="266"/>
      <c r="H867" s="267"/>
    </row>
    <row r="868" spans="1:8" ht="12.75" customHeight="1" x14ac:dyDescent="0.2">
      <c r="A868" s="343" t="str">
        <f>'A IV.A'!A99</f>
        <v>3.9.4</v>
      </c>
      <c r="B868" s="466" t="str">
        <f>'A IV.A'!B99</f>
        <v xml:space="preserve">CAMADA DE REGULARIZAÇÃO EM ARGAMASSA DESEMPENADA E=3CM, IMPERMEABILIZANTE E ADITIVO ADESIVO </v>
      </c>
      <c r="C868" s="466"/>
      <c r="D868" s="466"/>
      <c r="E868" s="466"/>
      <c r="F868" s="466"/>
      <c r="G868" s="466"/>
      <c r="H868" s="467"/>
    </row>
    <row r="869" spans="1:8" x14ac:dyDescent="0.2">
      <c r="A869" s="344"/>
      <c r="B869" s="468"/>
      <c r="C869" s="468"/>
      <c r="D869" s="468"/>
      <c r="E869" s="468"/>
      <c r="F869" s="468"/>
      <c r="G869" s="468"/>
      <c r="H869" s="469"/>
    </row>
    <row r="870" spans="1:8" x14ac:dyDescent="0.2">
      <c r="A870" s="349"/>
      <c r="H870" s="265"/>
    </row>
    <row r="871" spans="1:8" x14ac:dyDescent="0.2">
      <c r="A871" s="349"/>
      <c r="B871" s="261"/>
      <c r="H871" s="265"/>
    </row>
    <row r="872" spans="1:8" x14ac:dyDescent="0.2">
      <c r="A872" s="349"/>
      <c r="H872" s="265"/>
    </row>
    <row r="873" spans="1:8" x14ac:dyDescent="0.2">
      <c r="A873" s="349"/>
      <c r="B873" s="261" t="s">
        <v>970</v>
      </c>
      <c r="D873">
        <v>45</v>
      </c>
      <c r="H873" s="265"/>
    </row>
    <row r="874" spans="1:8" ht="13.5" thickBot="1" x14ac:dyDescent="0.25">
      <c r="A874" s="349"/>
      <c r="H874" s="265"/>
    </row>
    <row r="875" spans="1:8" ht="13.5" thickBot="1" x14ac:dyDescent="0.25">
      <c r="A875" s="349"/>
      <c r="C875" s="269" t="s">
        <v>572</v>
      </c>
      <c r="D875" s="270">
        <f>D873</f>
        <v>45</v>
      </c>
      <c r="E875" s="271" t="s">
        <v>38</v>
      </c>
      <c r="H875" s="265"/>
    </row>
    <row r="876" spans="1:8" ht="13.5" thickBot="1" x14ac:dyDescent="0.25">
      <c r="A876" s="350"/>
      <c r="B876" s="266"/>
      <c r="C876" s="266"/>
      <c r="D876" s="266"/>
      <c r="E876" s="266"/>
      <c r="F876" s="266"/>
      <c r="G876" s="266"/>
      <c r="H876" s="267"/>
    </row>
    <row r="877" spans="1:8" ht="13.5" thickBot="1" x14ac:dyDescent="0.25">
      <c r="A877" s="353" t="str">
        <f>'A IV.A'!A100</f>
        <v>3.10</v>
      </c>
      <c r="B877" s="276" t="str">
        <f>'A IV.A'!B100:M100</f>
        <v>COBERTURA - ITENS 8.10.1 A 8.10.4 DO TERMO DE REFERÊNCIA</v>
      </c>
      <c r="C877" s="279"/>
      <c r="D877" s="279"/>
      <c r="E877" s="279"/>
      <c r="F877" s="279"/>
      <c r="G877" s="279"/>
      <c r="H877" s="271"/>
    </row>
    <row r="878" spans="1:8" x14ac:dyDescent="0.2">
      <c r="A878" s="343" t="str">
        <f>'A IV.A'!A101</f>
        <v>3.10.1</v>
      </c>
      <c r="B878" s="466" t="str">
        <f>'A IV.A'!B101</f>
        <v xml:space="preserve">LAJE PRE-MOLDADA P/FORRO, E=8CM, C/LAJOTAS E CAP.C/CONC FCK=20MPA, 3CM, INTER-EIXO 38CM, C/ESCORAMENTO E FERRAGEM NEGATIVA </v>
      </c>
      <c r="C878" s="466"/>
      <c r="D878" s="466"/>
      <c r="E878" s="466"/>
      <c r="F878" s="466"/>
      <c r="G878" s="466"/>
      <c r="H878" s="467"/>
    </row>
    <row r="879" spans="1:8" x14ac:dyDescent="0.2">
      <c r="A879" s="344"/>
      <c r="B879" s="468"/>
      <c r="C879" s="468"/>
      <c r="D879" s="468"/>
      <c r="E879" s="468"/>
      <c r="F879" s="468"/>
      <c r="G879" s="468"/>
      <c r="H879" s="469"/>
    </row>
    <row r="880" spans="1:8" x14ac:dyDescent="0.2">
      <c r="A880" s="344"/>
      <c r="B880" s="468"/>
      <c r="C880" s="468"/>
      <c r="D880" s="468"/>
      <c r="E880" s="468"/>
      <c r="F880" s="468"/>
      <c r="G880" s="468"/>
      <c r="H880" s="469"/>
    </row>
    <row r="881" spans="1:8" x14ac:dyDescent="0.2">
      <c r="A881" s="349"/>
      <c r="H881" s="265"/>
    </row>
    <row r="882" spans="1:8" x14ac:dyDescent="0.2">
      <c r="A882" s="349"/>
      <c r="B882" s="261" t="s">
        <v>1133</v>
      </c>
      <c r="E882" s="268">
        <f>'[9]Mem Global'!$G$5354</f>
        <v>202.39999999999998</v>
      </c>
      <c r="H882" s="265"/>
    </row>
    <row r="883" spans="1:8" x14ac:dyDescent="0.2">
      <c r="A883" s="349"/>
      <c r="B883" s="261"/>
      <c r="E883" s="268"/>
      <c r="H883" s="265"/>
    </row>
    <row r="884" spans="1:8" hidden="1" x14ac:dyDescent="0.2">
      <c r="A884" s="349"/>
      <c r="E884" s="268">
        <f>SUM(E882:E883)</f>
        <v>202.39999999999998</v>
      </c>
      <c r="H884" s="265"/>
    </row>
    <row r="885" spans="1:8" ht="13.5" thickBot="1" x14ac:dyDescent="0.25">
      <c r="A885" s="349"/>
      <c r="H885" s="265"/>
    </row>
    <row r="886" spans="1:8" ht="13.5" thickBot="1" x14ac:dyDescent="0.25">
      <c r="A886" s="349"/>
      <c r="C886" s="269" t="s">
        <v>572</v>
      </c>
      <c r="D886" s="270">
        <f>ROUNDUP(E884,0)</f>
        <v>203</v>
      </c>
      <c r="E886" s="271" t="s">
        <v>38</v>
      </c>
      <c r="H886" s="265"/>
    </row>
    <row r="887" spans="1:8" ht="13.5" thickBot="1" x14ac:dyDescent="0.25">
      <c r="A887" s="350"/>
      <c r="B887" s="266"/>
      <c r="C887" s="266"/>
      <c r="D887" s="266"/>
      <c r="E887" s="266"/>
      <c r="F887" s="266"/>
      <c r="G887" s="266"/>
      <c r="H887" s="267"/>
    </row>
    <row r="888" spans="1:8" x14ac:dyDescent="0.2">
      <c r="A888" s="343" t="str">
        <f>'A IV.A'!A102</f>
        <v>3.10.2</v>
      </c>
      <c r="B888" s="466" t="str">
        <f>'A IV.A'!B102</f>
        <v>TRAMA DE MADEIRA COMPOSTA POR TERÇAS PARA TELHADOS DE ATÉ 2 ÁGUAS PARA TELHA ONDULADA DE FIBROCIMENTO, METÁLICA, PLÁSTICA OU TERMOACÚSTICA</v>
      </c>
      <c r="C888" s="466"/>
      <c r="D888" s="466"/>
      <c r="E888" s="466"/>
      <c r="F888" s="466"/>
      <c r="G888" s="466"/>
      <c r="H888" s="467"/>
    </row>
    <row r="889" spans="1:8" x14ac:dyDescent="0.2">
      <c r="A889" s="344"/>
      <c r="B889" s="468"/>
      <c r="C889" s="468"/>
      <c r="D889" s="468"/>
      <c r="E889" s="468"/>
      <c r="F889" s="468"/>
      <c r="G889" s="468"/>
      <c r="H889" s="469"/>
    </row>
    <row r="890" spans="1:8" x14ac:dyDescent="0.2">
      <c r="A890" s="344"/>
      <c r="B890" s="468"/>
      <c r="C890" s="468"/>
      <c r="D890" s="468"/>
      <c r="E890" s="468"/>
      <c r="F890" s="468"/>
      <c r="G890" s="468"/>
      <c r="H890" s="469"/>
    </row>
    <row r="891" spans="1:8" x14ac:dyDescent="0.2">
      <c r="A891" s="349"/>
      <c r="H891" s="265"/>
    </row>
    <row r="892" spans="1:8" x14ac:dyDescent="0.2">
      <c r="A892" s="349"/>
      <c r="B892" s="261" t="s">
        <v>998</v>
      </c>
      <c r="D892" s="268">
        <v>50</v>
      </c>
      <c r="H892" s="265"/>
    </row>
    <row r="893" spans="1:8" ht="13.5" thickBot="1" x14ac:dyDescent="0.25">
      <c r="A893" s="349"/>
      <c r="H893" s="265"/>
    </row>
    <row r="894" spans="1:8" ht="13.5" thickBot="1" x14ac:dyDescent="0.25">
      <c r="A894" s="349"/>
      <c r="C894" s="269" t="s">
        <v>572</v>
      </c>
      <c r="D894" s="270">
        <v>50</v>
      </c>
      <c r="E894" s="271" t="s">
        <v>38</v>
      </c>
      <c r="H894" s="265"/>
    </row>
    <row r="895" spans="1:8" ht="13.5" thickBot="1" x14ac:dyDescent="0.25">
      <c r="A895" s="350"/>
      <c r="B895" s="266"/>
      <c r="C895" s="266"/>
      <c r="D895" s="266"/>
      <c r="E895" s="266"/>
      <c r="F895" s="266"/>
      <c r="G895" s="266"/>
      <c r="H895" s="267"/>
    </row>
    <row r="896" spans="1:8" x14ac:dyDescent="0.2">
      <c r="A896" s="343" t="str">
        <f>'A IV.A'!A103</f>
        <v>3.10.3</v>
      </c>
      <c r="B896" s="262" t="str">
        <f>'A IV.A'!B103</f>
        <v xml:space="preserve">TELHA DE FIBROCIMENTO ONDULADA E=6MM </v>
      </c>
      <c r="C896" s="262"/>
      <c r="D896" s="262"/>
      <c r="E896" s="262"/>
      <c r="F896" s="262"/>
      <c r="G896" s="262"/>
      <c r="H896" s="273"/>
    </row>
    <row r="897" spans="1:8" x14ac:dyDescent="0.2">
      <c r="A897" s="349"/>
      <c r="H897" s="265"/>
    </row>
    <row r="898" spans="1:8" x14ac:dyDescent="0.2">
      <c r="A898" s="349"/>
      <c r="B898" s="261" t="str">
        <f>B892</f>
        <v>Solo Pinheiro</v>
      </c>
      <c r="D898" s="268">
        <f>D892</f>
        <v>50</v>
      </c>
      <c r="H898" s="265"/>
    </row>
    <row r="899" spans="1:8" ht="13.5" thickBot="1" x14ac:dyDescent="0.25">
      <c r="A899" s="349"/>
      <c r="H899" s="265"/>
    </row>
    <row r="900" spans="1:8" ht="13.5" thickBot="1" x14ac:dyDescent="0.25">
      <c r="A900" s="349"/>
      <c r="C900" s="269" t="s">
        <v>572</v>
      </c>
      <c r="D900" s="270">
        <v>50</v>
      </c>
      <c r="E900" s="271" t="s">
        <v>38</v>
      </c>
      <c r="H900" s="265"/>
    </row>
    <row r="901" spans="1:8" ht="13.5" thickBot="1" x14ac:dyDescent="0.25">
      <c r="A901" s="350"/>
      <c r="B901" s="266"/>
      <c r="C901" s="266"/>
      <c r="D901" s="266"/>
      <c r="E901" s="266"/>
      <c r="F901" s="266"/>
      <c r="G901" s="266"/>
      <c r="H901" s="267"/>
    </row>
    <row r="902" spans="1:8" x14ac:dyDescent="0.2">
      <c r="A902" s="343" t="str">
        <f>'A IV.A'!A104</f>
        <v>3.10.4</v>
      </c>
      <c r="B902" s="262" t="str">
        <f>'A IV.A'!B104</f>
        <v xml:space="preserve">TELHA TIPO KALHETA E=8MM, COM FIO SINTÉTICO CRFS - PERFIL TRAPEZOIDAL DE 44CM </v>
      </c>
      <c r="C902" s="262"/>
      <c r="D902" s="262"/>
      <c r="E902" s="262"/>
      <c r="F902" s="262"/>
      <c r="G902" s="262"/>
      <c r="H902" s="273"/>
    </row>
    <row r="903" spans="1:8" x14ac:dyDescent="0.2">
      <c r="A903" s="349"/>
      <c r="H903" s="265"/>
    </row>
    <row r="904" spans="1:8" x14ac:dyDescent="0.2">
      <c r="A904" s="349"/>
      <c r="B904" s="261" t="s">
        <v>579</v>
      </c>
      <c r="C904">
        <v>20</v>
      </c>
      <c r="H904" s="265"/>
    </row>
    <row r="905" spans="1:8" ht="13.5" thickBot="1" x14ac:dyDescent="0.25">
      <c r="A905" s="349"/>
      <c r="H905" s="265"/>
    </row>
    <row r="906" spans="1:8" ht="13.5" thickBot="1" x14ac:dyDescent="0.25">
      <c r="A906" s="349"/>
      <c r="C906" s="269" t="s">
        <v>572</v>
      </c>
      <c r="D906" s="270">
        <v>20</v>
      </c>
      <c r="E906" s="271" t="s">
        <v>38</v>
      </c>
      <c r="H906" s="265"/>
    </row>
    <row r="907" spans="1:8" ht="13.5" thickBot="1" x14ac:dyDescent="0.25">
      <c r="A907" s="350"/>
      <c r="B907" s="266"/>
      <c r="C907" s="266"/>
      <c r="D907" s="266"/>
      <c r="E907" s="266"/>
      <c r="F907" s="266"/>
      <c r="G907" s="266"/>
      <c r="H907" s="267"/>
    </row>
    <row r="908" spans="1:8" x14ac:dyDescent="0.2">
      <c r="A908" s="343" t="str">
        <f>'A IV.A'!A105</f>
        <v>3.10.5</v>
      </c>
      <c r="B908" s="262" t="str">
        <f>'A IV.A'!B105</f>
        <v>CALHA DE CHAPA GALVANIZADA N° 26</v>
      </c>
      <c r="C908" s="262"/>
      <c r="D908" s="262"/>
      <c r="E908" s="262"/>
      <c r="F908" s="262"/>
      <c r="G908" s="262"/>
      <c r="H908" s="273"/>
    </row>
    <row r="909" spans="1:8" x14ac:dyDescent="0.2">
      <c r="A909" s="349"/>
      <c r="H909" s="265"/>
    </row>
    <row r="910" spans="1:8" x14ac:dyDescent="0.2">
      <c r="A910" s="349"/>
      <c r="B910" s="261" t="s">
        <v>970</v>
      </c>
      <c r="D910" s="268">
        <v>25</v>
      </c>
      <c r="H910" s="265"/>
    </row>
    <row r="911" spans="1:8" x14ac:dyDescent="0.2">
      <c r="A911" s="349"/>
      <c r="H911" s="265"/>
    </row>
    <row r="912" spans="1:8" x14ac:dyDescent="0.2">
      <c r="A912" s="349"/>
      <c r="B912" s="261" t="s">
        <v>624</v>
      </c>
      <c r="D912">
        <v>7</v>
      </c>
      <c r="H912" s="265"/>
    </row>
    <row r="913" spans="1:8" ht="13.5" thickBot="1" x14ac:dyDescent="0.25">
      <c r="A913" s="349"/>
      <c r="H913" s="265"/>
    </row>
    <row r="914" spans="1:8" ht="13.5" thickBot="1" x14ac:dyDescent="0.25">
      <c r="A914" s="349"/>
      <c r="C914" s="269" t="s">
        <v>572</v>
      </c>
      <c r="D914" s="270">
        <v>10</v>
      </c>
      <c r="E914" s="271" t="s">
        <v>36</v>
      </c>
      <c r="H914" s="265"/>
    </row>
    <row r="915" spans="1:8" ht="13.5" thickBot="1" x14ac:dyDescent="0.25">
      <c r="A915" s="350"/>
      <c r="B915" s="266"/>
      <c r="C915" s="266"/>
      <c r="D915" s="266"/>
      <c r="E915" s="266"/>
      <c r="F915" s="266"/>
      <c r="G915" s="266"/>
      <c r="H915" s="267"/>
    </row>
    <row r="916" spans="1:8" x14ac:dyDescent="0.2">
      <c r="A916" s="343" t="str">
        <f>'A IV.A'!A106</f>
        <v>3.10.6</v>
      </c>
      <c r="B916" s="262" t="str">
        <f>'A IV.A'!B106</f>
        <v xml:space="preserve">RUFO / PINGADEIRA DE CHAPA GALVANIZADA Nº 26 </v>
      </c>
      <c r="C916" s="262"/>
      <c r="D916" s="262"/>
      <c r="E916" s="262"/>
      <c r="F916" s="262"/>
      <c r="G916" s="262"/>
      <c r="H916" s="273"/>
    </row>
    <row r="917" spans="1:8" x14ac:dyDescent="0.2">
      <c r="A917" s="349"/>
      <c r="H917" s="265"/>
    </row>
    <row r="918" spans="1:8" x14ac:dyDescent="0.2">
      <c r="A918" s="349"/>
      <c r="B918" s="261" t="s">
        <v>998</v>
      </c>
      <c r="D918" s="268">
        <v>25</v>
      </c>
      <c r="H918" s="265"/>
    </row>
    <row r="919" spans="1:8" x14ac:dyDescent="0.2">
      <c r="A919" s="349"/>
      <c r="H919" s="265"/>
    </row>
    <row r="920" spans="1:8" x14ac:dyDescent="0.2">
      <c r="A920" s="349"/>
      <c r="B920" s="261" t="s">
        <v>624</v>
      </c>
      <c r="D920">
        <v>56.5</v>
      </c>
      <c r="H920" s="265"/>
    </row>
    <row r="921" spans="1:8" ht="13.5" thickBot="1" x14ac:dyDescent="0.25">
      <c r="A921" s="349"/>
      <c r="H921" s="265"/>
    </row>
    <row r="922" spans="1:8" ht="13.5" thickBot="1" x14ac:dyDescent="0.25">
      <c r="A922" s="349"/>
      <c r="C922" s="269" t="s">
        <v>572</v>
      </c>
      <c r="D922" s="270">
        <f>D918</f>
        <v>25</v>
      </c>
      <c r="E922" s="271" t="s">
        <v>36</v>
      </c>
      <c r="H922" s="265"/>
    </row>
    <row r="923" spans="1:8" ht="13.5" thickBot="1" x14ac:dyDescent="0.25">
      <c r="A923" s="350"/>
      <c r="B923" s="266"/>
      <c r="C923" s="266"/>
      <c r="D923" s="266"/>
      <c r="E923" s="266"/>
      <c r="F923" s="266"/>
      <c r="G923" s="266"/>
      <c r="H923" s="267"/>
    </row>
    <row r="924" spans="1:8" ht="13.5" thickBot="1" x14ac:dyDescent="0.25">
      <c r="A924" s="352" t="str">
        <f>'A IV.A'!A107</f>
        <v>3.11</v>
      </c>
      <c r="B924" s="279" t="str">
        <f>'A IV.A'!B107:M107</f>
        <v>VIDRO - ITEM 8.11 DO TERMO DE REFERÊNCIA</v>
      </c>
      <c r="C924" s="279"/>
      <c r="D924" s="279"/>
      <c r="E924" s="279"/>
      <c r="F924" s="279"/>
      <c r="G924" s="279"/>
      <c r="H924" s="271"/>
    </row>
    <row r="925" spans="1:8" x14ac:dyDescent="0.2">
      <c r="A925" s="354" t="str">
        <f>'A IV.A'!A108</f>
        <v>3.11.1</v>
      </c>
      <c r="B925" s="466" t="str">
        <f>'A IV.A'!B108</f>
        <v xml:space="preserve">VIDRO FANTASIA, COLOCADO EM CAIXILIO COM OU SEM BAGUETE, DUAS DEMÃOS DE MASSA E= 4 MM </v>
      </c>
      <c r="C925" s="466"/>
      <c r="D925" s="466"/>
      <c r="E925" s="466"/>
      <c r="F925" s="466"/>
      <c r="G925" s="466"/>
      <c r="H925" s="467"/>
    </row>
    <row r="926" spans="1:8" x14ac:dyDescent="0.2">
      <c r="A926" s="344"/>
      <c r="B926" s="468"/>
      <c r="C926" s="468"/>
      <c r="D926" s="468"/>
      <c r="E926" s="468"/>
      <c r="F926" s="468"/>
      <c r="G926" s="468"/>
      <c r="H926" s="469"/>
    </row>
    <row r="927" spans="1:8" x14ac:dyDescent="0.2">
      <c r="A927" s="349"/>
      <c r="H927" s="265"/>
    </row>
    <row r="928" spans="1:8" x14ac:dyDescent="0.2">
      <c r="A928" s="349"/>
      <c r="B928" s="261" t="s">
        <v>970</v>
      </c>
      <c r="E928" s="275">
        <v>16</v>
      </c>
      <c r="F928" s="261"/>
      <c r="H928" s="265"/>
    </row>
    <row r="929" spans="1:8" ht="13.5" thickBot="1" x14ac:dyDescent="0.25">
      <c r="A929" s="349"/>
      <c r="H929" s="265"/>
    </row>
    <row r="930" spans="1:8" ht="13.5" thickBot="1" x14ac:dyDescent="0.25">
      <c r="A930" s="349"/>
      <c r="C930" s="269" t="s">
        <v>572</v>
      </c>
      <c r="D930" s="270">
        <f>ROUNDUP(E928,0)</f>
        <v>16</v>
      </c>
      <c r="E930" s="271" t="s">
        <v>38</v>
      </c>
      <c r="H930" s="265"/>
    </row>
    <row r="931" spans="1:8" ht="13.5" thickBot="1" x14ac:dyDescent="0.25">
      <c r="A931" s="350"/>
      <c r="B931" s="266"/>
      <c r="C931" s="266"/>
      <c r="D931" s="266"/>
      <c r="E931" s="266"/>
      <c r="F931" s="266"/>
      <c r="G931" s="266"/>
      <c r="H931" s="267"/>
    </row>
    <row r="932" spans="1:8" x14ac:dyDescent="0.2">
      <c r="A932" s="354" t="str">
        <f>'A IV.A'!A109</f>
        <v>3.11.2</v>
      </c>
      <c r="B932" s="466" t="str">
        <f>'A IV.A'!B109</f>
        <v xml:space="preserve">VIDRO COMUM LISO, COLOCADO EM CAIXILHO COM OU SEM BAGUETE, DUAS DEMÃOS DE MASSA E= 4 MM </v>
      </c>
      <c r="C932" s="466"/>
      <c r="D932" s="466"/>
      <c r="E932" s="466"/>
      <c r="F932" s="466"/>
      <c r="G932" s="466"/>
      <c r="H932" s="467"/>
    </row>
    <row r="933" spans="1:8" x14ac:dyDescent="0.2">
      <c r="A933" s="344"/>
      <c r="B933" s="468"/>
      <c r="C933" s="468"/>
      <c r="D933" s="468"/>
      <c r="E933" s="468"/>
      <c r="F933" s="468"/>
      <c r="G933" s="468"/>
      <c r="H933" s="469"/>
    </row>
    <row r="934" spans="1:8" x14ac:dyDescent="0.2">
      <c r="A934" s="349"/>
      <c r="H934" s="265"/>
    </row>
    <row r="935" spans="1:8" x14ac:dyDescent="0.2">
      <c r="A935" s="349"/>
      <c r="B935" s="261" t="s">
        <v>970</v>
      </c>
      <c r="D935" s="275">
        <v>16</v>
      </c>
      <c r="H935" s="265"/>
    </row>
    <row r="936" spans="1:8" x14ac:dyDescent="0.2">
      <c r="A936" s="349"/>
      <c r="B936" s="261"/>
      <c r="D936" s="268"/>
      <c r="H936" s="265"/>
    </row>
    <row r="937" spans="1:8" hidden="1" x14ac:dyDescent="0.2">
      <c r="A937" s="349"/>
      <c r="D937" s="275"/>
      <c r="H937" s="265"/>
    </row>
    <row r="938" spans="1:8" ht="13.5" thickBot="1" x14ac:dyDescent="0.25">
      <c r="A938" s="349"/>
      <c r="H938" s="265"/>
    </row>
    <row r="939" spans="1:8" ht="13.5" thickBot="1" x14ac:dyDescent="0.25">
      <c r="A939" s="349"/>
      <c r="C939" s="269" t="s">
        <v>572</v>
      </c>
      <c r="D939" s="270">
        <f>ROUNDUP(D935,0)</f>
        <v>16</v>
      </c>
      <c r="E939" s="271" t="s">
        <v>38</v>
      </c>
      <c r="H939" s="265"/>
    </row>
    <row r="940" spans="1:8" ht="13.5" thickBot="1" x14ac:dyDescent="0.25">
      <c r="A940" s="350"/>
      <c r="B940" s="266"/>
      <c r="C940" s="266"/>
      <c r="D940" s="266"/>
      <c r="E940" s="266"/>
      <c r="F940" s="266"/>
      <c r="G940" s="266"/>
      <c r="H940" s="267"/>
    </row>
    <row r="941" spans="1:8" ht="12.75" customHeight="1" x14ac:dyDescent="0.2">
      <c r="A941" s="342" t="str">
        <f>'A IV.A'!A110</f>
        <v>3.11.3</v>
      </c>
      <c r="B941" s="474" t="str">
        <f>'A IV.A'!B110</f>
        <v xml:space="preserve">REMOÇÃO DE VIDRO COMUM </v>
      </c>
      <c r="C941" s="474"/>
      <c r="D941" s="474"/>
      <c r="E941" s="474"/>
      <c r="F941" s="474"/>
      <c r="G941" s="474"/>
      <c r="H941" s="475"/>
    </row>
    <row r="942" spans="1:8" x14ac:dyDescent="0.2">
      <c r="A942" s="344"/>
      <c r="B942" s="498"/>
      <c r="C942" s="498"/>
      <c r="D942" s="498"/>
      <c r="E942" s="498"/>
      <c r="F942" s="498"/>
      <c r="G942" s="498"/>
      <c r="H942" s="499"/>
    </row>
    <row r="943" spans="1:8" x14ac:dyDescent="0.2">
      <c r="A943" s="349"/>
      <c r="H943" s="265"/>
    </row>
    <row r="944" spans="1:8" x14ac:dyDescent="0.2">
      <c r="A944" s="349"/>
      <c r="B944" s="261" t="s">
        <v>970</v>
      </c>
      <c r="D944" s="275">
        <f>D935+E928</f>
        <v>32</v>
      </c>
      <c r="H944" s="265"/>
    </row>
    <row r="945" spans="1:8" x14ac:dyDescent="0.2">
      <c r="A945" s="349"/>
      <c r="B945" s="261"/>
      <c r="D945" s="268"/>
      <c r="H945" s="265"/>
    </row>
    <row r="946" spans="1:8" x14ac:dyDescent="0.2">
      <c r="A946" s="349"/>
      <c r="D946" s="275"/>
      <c r="H946" s="265"/>
    </row>
    <row r="947" spans="1:8" ht="13.5" thickBot="1" x14ac:dyDescent="0.25">
      <c r="A947" s="349"/>
      <c r="H947" s="265"/>
    </row>
    <row r="948" spans="1:8" ht="13.5" thickBot="1" x14ac:dyDescent="0.25">
      <c r="A948" s="349"/>
      <c r="C948" s="269" t="s">
        <v>572</v>
      </c>
      <c r="D948" s="270">
        <f>ROUNDUP(D944,0)</f>
        <v>32</v>
      </c>
      <c r="E948" s="271" t="s">
        <v>38</v>
      </c>
      <c r="H948" s="265"/>
    </row>
    <row r="949" spans="1:8" ht="13.5" thickBot="1" x14ac:dyDescent="0.25">
      <c r="A949" s="350"/>
      <c r="B949" s="266"/>
      <c r="C949" s="266"/>
      <c r="D949" s="266"/>
      <c r="E949" s="266"/>
      <c r="F949" s="266"/>
      <c r="G949" s="266"/>
      <c r="H949" s="267"/>
    </row>
    <row r="950" spans="1:8" ht="26.1" customHeight="1" thickBot="1" x14ac:dyDescent="0.25">
      <c r="A950" s="345" t="str">
        <f>'A IV.A'!A112</f>
        <v>4.0</v>
      </c>
      <c r="B950" s="488" t="str">
        <f>'A IV.A'!B112</f>
        <v>FORNECIMENTO E INSTALAÇÕES HIDRAULICAS - ITEM 9.0 DO TERMO DE REFERÊNCIA</v>
      </c>
      <c r="C950" s="488"/>
      <c r="D950" s="488"/>
      <c r="E950" s="488"/>
      <c r="F950" s="488"/>
      <c r="G950" s="488"/>
      <c r="H950" s="489"/>
    </row>
    <row r="951" spans="1:8" ht="12.75" customHeight="1" x14ac:dyDescent="0.2">
      <c r="A951" s="342" t="str">
        <f>'A IV.A'!A114</f>
        <v>4.1</v>
      </c>
      <c r="B951" s="466" t="str">
        <f>'A IV.A'!B114</f>
        <v>RALO SECO DE PVC RÍGIDO, ALTURA 50MM, DIÂMETRO DE ENTRADA 40MM, COM GRELHA QUADRADA DE PVC BRANCO, DIMENSÕES 100X100MM</v>
      </c>
      <c r="C951" s="466"/>
      <c r="D951" s="466"/>
      <c r="E951" s="466"/>
      <c r="F951" s="466"/>
      <c r="G951" s="466"/>
      <c r="H951" s="467"/>
    </row>
    <row r="952" spans="1:8" x14ac:dyDescent="0.2">
      <c r="A952" s="344"/>
      <c r="B952" s="468"/>
      <c r="C952" s="468"/>
      <c r="D952" s="468"/>
      <c r="E952" s="468"/>
      <c r="F952" s="468"/>
      <c r="G952" s="468"/>
      <c r="H952" s="469"/>
    </row>
    <row r="953" spans="1:8" x14ac:dyDescent="0.2">
      <c r="A953" s="344"/>
      <c r="B953" s="468"/>
      <c r="C953" s="468"/>
      <c r="D953" s="468"/>
      <c r="E953" s="468"/>
      <c r="F953" s="468"/>
      <c r="G953" s="468"/>
      <c r="H953" s="469"/>
    </row>
    <row r="954" spans="1:8" x14ac:dyDescent="0.2">
      <c r="A954" s="349"/>
      <c r="H954" s="265"/>
    </row>
    <row r="955" spans="1:8" x14ac:dyDescent="0.2">
      <c r="A955" s="349"/>
      <c r="B955" s="261" t="s">
        <v>623</v>
      </c>
      <c r="D955" s="268">
        <v>20</v>
      </c>
      <c r="H955" s="265"/>
    </row>
    <row r="956" spans="1:8" ht="13.5" thickBot="1" x14ac:dyDescent="0.25">
      <c r="A956" s="349"/>
      <c r="H956" s="265"/>
    </row>
    <row r="957" spans="1:8" ht="13.5" thickBot="1" x14ac:dyDescent="0.25">
      <c r="A957" s="349"/>
      <c r="C957" s="269" t="s">
        <v>572</v>
      </c>
      <c r="D957" s="270">
        <v>20</v>
      </c>
      <c r="E957" s="271" t="s">
        <v>448</v>
      </c>
      <c r="H957" s="265"/>
    </row>
    <row r="958" spans="1:8" ht="13.5" thickBot="1" x14ac:dyDescent="0.25">
      <c r="A958" s="350"/>
      <c r="B958" s="266"/>
      <c r="C958" s="266"/>
      <c r="D958" s="266"/>
      <c r="E958" s="266"/>
      <c r="F958" s="266"/>
      <c r="G958" s="266"/>
      <c r="H958" s="267"/>
    </row>
    <row r="959" spans="1:8" ht="12.75" customHeight="1" x14ac:dyDescent="0.2">
      <c r="A959" s="342" t="str">
        <f>'A IV.A'!A115</f>
        <v>4.2</v>
      </c>
      <c r="B959" s="466" t="str">
        <f>'A IV.A'!B115</f>
        <v>RALO SECO DE PVC RÍGIDO, ALTURA 50MM, DIÂMETRO DE ENTRADA 40MM, COM GRELHA QUADRADA METÁLICA, DIMENSÕES 100X100MM</v>
      </c>
      <c r="C959" s="466"/>
      <c r="D959" s="466"/>
      <c r="E959" s="466"/>
      <c r="F959" s="466"/>
      <c r="G959" s="466"/>
      <c r="H959" s="467"/>
    </row>
    <row r="960" spans="1:8" x14ac:dyDescent="0.2">
      <c r="A960" s="344"/>
      <c r="B960" s="468"/>
      <c r="C960" s="468"/>
      <c r="D960" s="468"/>
      <c r="E960" s="468"/>
      <c r="F960" s="468"/>
      <c r="G960" s="468"/>
      <c r="H960" s="469"/>
    </row>
    <row r="961" spans="1:8" ht="13.5" thickBot="1" x14ac:dyDescent="0.25">
      <c r="A961" s="349"/>
      <c r="H961" s="265"/>
    </row>
    <row r="962" spans="1:8" ht="13.5" thickBot="1" x14ac:dyDescent="0.25">
      <c r="A962" s="349"/>
      <c r="C962" s="269" t="s">
        <v>572</v>
      </c>
      <c r="D962" s="270">
        <v>20</v>
      </c>
      <c r="E962" s="271" t="s">
        <v>448</v>
      </c>
      <c r="H962" s="265"/>
    </row>
    <row r="963" spans="1:8" ht="13.5" thickBot="1" x14ac:dyDescent="0.25">
      <c r="A963" s="350"/>
      <c r="B963" s="266"/>
      <c r="C963" s="266"/>
      <c r="D963" s="266"/>
      <c r="E963" s="266"/>
      <c r="F963" s="266"/>
      <c r="G963" s="266"/>
      <c r="H963" s="267"/>
    </row>
    <row r="964" spans="1:8" ht="12.75" customHeight="1" x14ac:dyDescent="0.2">
      <c r="A964" s="342" t="str">
        <f>'A IV.A'!A116</f>
        <v>4.3</v>
      </c>
      <c r="B964" s="466" t="str">
        <f>'A IV.A'!B116</f>
        <v xml:space="preserve">CAIXA SIFONADA DE PVC RÍGIDO, ALTURA DE 50MM, COM GRELHA REDONDA DE PVC BRANCO, NAS DIMENSÕES DN = 150MM </v>
      </c>
      <c r="C964" s="466"/>
      <c r="D964" s="466"/>
      <c r="E964" s="466"/>
      <c r="F964" s="466"/>
      <c r="G964" s="466"/>
      <c r="H964" s="467"/>
    </row>
    <row r="965" spans="1:8" x14ac:dyDescent="0.2">
      <c r="A965" s="344"/>
      <c r="B965" s="468"/>
      <c r="C965" s="468"/>
      <c r="D965" s="468"/>
      <c r="E965" s="468"/>
      <c r="F965" s="468"/>
      <c r="G965" s="468"/>
      <c r="H965" s="469"/>
    </row>
    <row r="966" spans="1:8" x14ac:dyDescent="0.2">
      <c r="A966" s="349"/>
      <c r="H966" s="265"/>
    </row>
    <row r="967" spans="1:8" x14ac:dyDescent="0.2">
      <c r="A967" s="349"/>
      <c r="B967" s="261" t="s">
        <v>999</v>
      </c>
      <c r="D967" s="268">
        <v>2</v>
      </c>
      <c r="H967" s="265"/>
    </row>
    <row r="968" spans="1:8" ht="13.5" thickBot="1" x14ac:dyDescent="0.25">
      <c r="A968" s="349"/>
      <c r="H968" s="265"/>
    </row>
    <row r="969" spans="1:8" ht="13.5" thickBot="1" x14ac:dyDescent="0.25">
      <c r="A969" s="349"/>
      <c r="C969" s="269" t="s">
        <v>572</v>
      </c>
      <c r="D969" s="270">
        <v>2</v>
      </c>
      <c r="E969" s="271" t="s">
        <v>448</v>
      </c>
      <c r="H969" s="265"/>
    </row>
    <row r="970" spans="1:8" ht="13.5" thickBot="1" x14ac:dyDescent="0.25">
      <c r="A970" s="350"/>
      <c r="B970" s="266"/>
      <c r="C970" s="266"/>
      <c r="D970" s="266"/>
      <c r="E970" s="266"/>
      <c r="F970" s="266"/>
      <c r="G970" s="266"/>
      <c r="H970" s="267"/>
    </row>
    <row r="971" spans="1:8" ht="12.75" customHeight="1" x14ac:dyDescent="0.2">
      <c r="A971" s="342" t="str">
        <f>'A IV.A'!A117</f>
        <v>4.4</v>
      </c>
      <c r="B971" s="466" t="str">
        <f>'A IV.A'!B117</f>
        <v>TUBO PVC RÍGIDO SOLDÁVEL MARROM, DN = 25 MM (3/4'), INCLUSE CONEXÕES</v>
      </c>
      <c r="C971" s="466"/>
      <c r="D971" s="466"/>
      <c r="E971" s="466"/>
      <c r="F971" s="466"/>
      <c r="G971" s="466"/>
      <c r="H971" s="467"/>
    </row>
    <row r="972" spans="1:8" x14ac:dyDescent="0.2">
      <c r="A972" s="344"/>
      <c r="B972" s="468"/>
      <c r="C972" s="468"/>
      <c r="D972" s="468"/>
      <c r="E972" s="468"/>
      <c r="F972" s="468"/>
      <c r="G972" s="468"/>
      <c r="H972" s="469"/>
    </row>
    <row r="973" spans="1:8" x14ac:dyDescent="0.2">
      <c r="A973" s="349"/>
      <c r="H973" s="265"/>
    </row>
    <row r="974" spans="1:8" x14ac:dyDescent="0.2">
      <c r="A974" s="349"/>
      <c r="B974" s="261" t="s">
        <v>999</v>
      </c>
      <c r="D974">
        <v>20</v>
      </c>
      <c r="E974" s="268"/>
      <c r="H974" s="265"/>
    </row>
    <row r="975" spans="1:8" ht="13.5" thickBot="1" x14ac:dyDescent="0.25">
      <c r="A975" s="349"/>
      <c r="H975" s="265"/>
    </row>
    <row r="976" spans="1:8" ht="13.5" thickBot="1" x14ac:dyDescent="0.25">
      <c r="A976" s="349"/>
      <c r="C976" s="269" t="s">
        <v>572</v>
      </c>
      <c r="D976" s="270">
        <v>20</v>
      </c>
      <c r="E976" s="271" t="s">
        <v>36</v>
      </c>
      <c r="H976" s="265"/>
    </row>
    <row r="977" spans="1:8" ht="13.5" thickBot="1" x14ac:dyDescent="0.25">
      <c r="A977" s="350"/>
      <c r="B977" s="266"/>
      <c r="C977" s="266"/>
      <c r="D977" s="266"/>
      <c r="E977" s="266"/>
      <c r="F977" s="266"/>
      <c r="G977" s="266"/>
      <c r="H977" s="267"/>
    </row>
    <row r="978" spans="1:8" x14ac:dyDescent="0.2">
      <c r="A978" s="342" t="str">
        <f>'A IV.A'!A118</f>
        <v>4.5</v>
      </c>
      <c r="B978" s="466" t="str">
        <f>'A IV.A'!B118</f>
        <v>TUBO PVC RÍGIDO SOLDÁVEL MARROM, DN = 40 MM (1.1/4'), INCLUSE CONEXÕES</v>
      </c>
      <c r="C978" s="466"/>
      <c r="D978" s="466"/>
      <c r="E978" s="466"/>
      <c r="F978" s="466"/>
      <c r="G978" s="466"/>
      <c r="H978" s="467"/>
    </row>
    <row r="979" spans="1:8" x14ac:dyDescent="0.2">
      <c r="A979" s="344"/>
      <c r="B979" s="468"/>
      <c r="C979" s="468"/>
      <c r="D979" s="468"/>
      <c r="E979" s="468"/>
      <c r="F979" s="468"/>
      <c r="G979" s="468"/>
      <c r="H979" s="469"/>
    </row>
    <row r="980" spans="1:8" x14ac:dyDescent="0.2">
      <c r="A980" s="349"/>
      <c r="H980" s="265"/>
    </row>
    <row r="981" spans="1:8" x14ac:dyDescent="0.2">
      <c r="A981" s="349"/>
      <c r="B981" s="261" t="s">
        <v>999</v>
      </c>
      <c r="D981">
        <v>10</v>
      </c>
      <c r="E981" s="268"/>
      <c r="H981" s="265"/>
    </row>
    <row r="982" spans="1:8" ht="13.5" thickBot="1" x14ac:dyDescent="0.25">
      <c r="A982" s="349"/>
      <c r="H982" s="265"/>
    </row>
    <row r="983" spans="1:8" ht="13.5" thickBot="1" x14ac:dyDescent="0.25">
      <c r="A983" s="349"/>
      <c r="C983" s="269" t="s">
        <v>572</v>
      </c>
      <c r="D983" s="270">
        <v>10</v>
      </c>
      <c r="E983" s="271" t="s">
        <v>36</v>
      </c>
      <c r="H983" s="265"/>
    </row>
    <row r="984" spans="1:8" ht="13.5" thickBot="1" x14ac:dyDescent="0.25">
      <c r="A984" s="350"/>
      <c r="B984" s="266"/>
      <c r="C984" s="266"/>
      <c r="D984" s="266"/>
      <c r="E984" s="266"/>
      <c r="F984" s="266"/>
      <c r="G984" s="266"/>
      <c r="H984" s="267"/>
    </row>
    <row r="985" spans="1:8" x14ac:dyDescent="0.2">
      <c r="A985" s="342" t="str">
        <f>'A IV.A'!A119</f>
        <v>4.6</v>
      </c>
      <c r="B985" s="466" t="str">
        <f>'A IV.A'!B119</f>
        <v>TUBO PVC RÍGIDO SOLDÁVEL MARROM, DN = 50 MM (1.1/2'), INCLUSE CONEXÕES</v>
      </c>
      <c r="C985" s="466"/>
      <c r="D985" s="466"/>
      <c r="E985" s="466"/>
      <c r="F985" s="466"/>
      <c r="G985" s="466"/>
      <c r="H985" s="467"/>
    </row>
    <row r="986" spans="1:8" x14ac:dyDescent="0.2">
      <c r="A986" s="344"/>
      <c r="B986" s="468"/>
      <c r="C986" s="468"/>
      <c r="D986" s="468"/>
      <c r="E986" s="468"/>
      <c r="F986" s="468"/>
      <c r="G986" s="468"/>
      <c r="H986" s="469"/>
    </row>
    <row r="987" spans="1:8" x14ac:dyDescent="0.2">
      <c r="A987" s="349"/>
      <c r="H987" s="265"/>
    </row>
    <row r="988" spans="1:8" x14ac:dyDescent="0.2">
      <c r="A988" s="349"/>
      <c r="B988" s="261" t="s">
        <v>999</v>
      </c>
      <c r="D988">
        <v>40</v>
      </c>
      <c r="E988" s="268"/>
      <c r="H988" s="265"/>
    </row>
    <row r="989" spans="1:8" ht="13.5" thickBot="1" x14ac:dyDescent="0.25">
      <c r="A989" s="349"/>
      <c r="H989" s="265"/>
    </row>
    <row r="990" spans="1:8" ht="13.5" thickBot="1" x14ac:dyDescent="0.25">
      <c r="A990" s="349"/>
      <c r="C990" s="269" t="s">
        <v>572</v>
      </c>
      <c r="D990" s="270">
        <v>40</v>
      </c>
      <c r="E990" s="271" t="s">
        <v>36</v>
      </c>
      <c r="H990" s="265"/>
    </row>
    <row r="991" spans="1:8" ht="13.5" thickBot="1" x14ac:dyDescent="0.25">
      <c r="A991" s="350"/>
      <c r="B991" s="266"/>
      <c r="C991" s="266"/>
      <c r="D991" s="266"/>
      <c r="E991" s="266"/>
      <c r="F991" s="266"/>
      <c r="G991" s="266"/>
      <c r="H991" s="267"/>
    </row>
    <row r="992" spans="1:8" ht="12.75" customHeight="1" x14ac:dyDescent="0.2">
      <c r="A992" s="342" t="str">
        <f>'A IV.A'!A120</f>
        <v>4.7</v>
      </c>
      <c r="B992" s="466" t="str">
        <f>'A IV.A'!B120</f>
        <v>TUBO EM PVC RÍGIDO BRANCO, SÉRIE NORMAL, INCLUSIVE CONEXÕES, DN =  40 MM</v>
      </c>
      <c r="C992" s="466"/>
      <c r="D992" s="466"/>
      <c r="E992" s="466"/>
      <c r="F992" s="466"/>
      <c r="G992" s="466"/>
      <c r="H992" s="467"/>
    </row>
    <row r="993" spans="1:8" x14ac:dyDescent="0.2">
      <c r="A993" s="344"/>
      <c r="B993" s="468"/>
      <c r="C993" s="468"/>
      <c r="D993" s="468"/>
      <c r="E993" s="468"/>
      <c r="F993" s="468"/>
      <c r="G993" s="468"/>
      <c r="H993" s="469"/>
    </row>
    <row r="994" spans="1:8" x14ac:dyDescent="0.2">
      <c r="A994" s="349"/>
      <c r="H994" s="265"/>
    </row>
    <row r="995" spans="1:8" x14ac:dyDescent="0.2">
      <c r="A995" s="349"/>
      <c r="B995" s="261" t="s">
        <v>683</v>
      </c>
      <c r="D995" s="268">
        <f>'[10]Casas C-F'!$S$24</f>
        <v>24</v>
      </c>
      <c r="E995" s="261" t="s">
        <v>36</v>
      </c>
      <c r="H995" s="265"/>
    </row>
    <row r="996" spans="1:8" hidden="1" x14ac:dyDescent="0.2">
      <c r="A996" s="349"/>
      <c r="H996" s="265"/>
    </row>
    <row r="997" spans="1:8" hidden="1" x14ac:dyDescent="0.2">
      <c r="A997" s="349"/>
      <c r="B997" s="261"/>
      <c r="D997" s="268"/>
      <c r="H997" s="265"/>
    </row>
    <row r="998" spans="1:8" ht="13.5" thickBot="1" x14ac:dyDescent="0.25">
      <c r="A998" s="349"/>
      <c r="H998" s="265"/>
    </row>
    <row r="999" spans="1:8" ht="13.5" thickBot="1" x14ac:dyDescent="0.25">
      <c r="A999" s="349"/>
      <c r="C999" s="269" t="s">
        <v>572</v>
      </c>
      <c r="D999" s="270">
        <v>25</v>
      </c>
      <c r="E999" s="271" t="s">
        <v>36</v>
      </c>
      <c r="H999" s="265"/>
    </row>
    <row r="1000" spans="1:8" ht="13.5" thickBot="1" x14ac:dyDescent="0.25">
      <c r="A1000" s="350"/>
      <c r="B1000" s="266"/>
      <c r="C1000" s="266"/>
      <c r="D1000" s="266"/>
      <c r="E1000" s="266"/>
      <c r="F1000" s="266"/>
      <c r="G1000" s="266"/>
      <c r="H1000" s="267"/>
    </row>
    <row r="1001" spans="1:8" x14ac:dyDescent="0.2">
      <c r="A1001" s="342" t="str">
        <f>'A IV.A'!A121</f>
        <v>4.8</v>
      </c>
      <c r="B1001" s="466" t="str">
        <f>'A IV.A'!B121</f>
        <v>TUBO EM PVC RÍGIDO BRANCO, SÉRIE NORMAL, INCLUSIVE CONEXÕES, DN =  50 MM</v>
      </c>
      <c r="C1001" s="466"/>
      <c r="D1001" s="466"/>
      <c r="E1001" s="466"/>
      <c r="F1001" s="466"/>
      <c r="G1001" s="466"/>
      <c r="H1001" s="467"/>
    </row>
    <row r="1002" spans="1:8" x14ac:dyDescent="0.2">
      <c r="A1002" s="344"/>
      <c r="B1002" s="468"/>
      <c r="C1002" s="468"/>
      <c r="D1002" s="468"/>
      <c r="E1002" s="468"/>
      <c r="F1002" s="468"/>
      <c r="G1002" s="468"/>
      <c r="H1002" s="469"/>
    </row>
    <row r="1003" spans="1:8" x14ac:dyDescent="0.2">
      <c r="A1003" s="349"/>
      <c r="H1003" s="265"/>
    </row>
    <row r="1004" spans="1:8" x14ac:dyDescent="0.2">
      <c r="A1004" s="349"/>
      <c r="B1004" s="261" t="s">
        <v>999</v>
      </c>
      <c r="D1004">
        <v>30</v>
      </c>
      <c r="E1004" s="268"/>
      <c r="H1004" s="265"/>
    </row>
    <row r="1005" spans="1:8" ht="13.5" thickBot="1" x14ac:dyDescent="0.25">
      <c r="A1005" s="349"/>
      <c r="H1005" s="265"/>
    </row>
    <row r="1006" spans="1:8" ht="13.5" thickBot="1" x14ac:dyDescent="0.25">
      <c r="A1006" s="349"/>
      <c r="C1006" s="269" t="s">
        <v>572</v>
      </c>
      <c r="D1006" s="270">
        <v>30</v>
      </c>
      <c r="E1006" s="271" t="s">
        <v>36</v>
      </c>
      <c r="H1006" s="265"/>
    </row>
    <row r="1007" spans="1:8" ht="13.5" thickBot="1" x14ac:dyDescent="0.25">
      <c r="A1007" s="350"/>
      <c r="B1007" s="266"/>
      <c r="C1007" s="266"/>
      <c r="D1007" s="266"/>
      <c r="E1007" s="266"/>
      <c r="F1007" s="266"/>
      <c r="G1007" s="266"/>
      <c r="H1007" s="267"/>
    </row>
    <row r="1008" spans="1:8" x14ac:dyDescent="0.2">
      <c r="A1008" s="342" t="str">
        <f>'A IV.A'!A122</f>
        <v>4.9</v>
      </c>
      <c r="B1008" s="466" t="str">
        <f>'A IV.A'!B122</f>
        <v>TUBO EM PVC RÍGIDO BRANCO, SÉRIE NORMAL, INCLUSIVE CONEXÕES, DN =  100 MM</v>
      </c>
      <c r="C1008" s="466"/>
      <c r="D1008" s="466"/>
      <c r="E1008" s="466"/>
      <c r="F1008" s="466"/>
      <c r="G1008" s="466"/>
      <c r="H1008" s="467"/>
    </row>
    <row r="1009" spans="1:8" x14ac:dyDescent="0.2">
      <c r="A1009" s="344"/>
      <c r="B1009" s="468"/>
      <c r="C1009" s="468"/>
      <c r="D1009" s="468"/>
      <c r="E1009" s="468"/>
      <c r="F1009" s="468"/>
      <c r="G1009" s="468"/>
      <c r="H1009" s="469"/>
    </row>
    <row r="1010" spans="1:8" x14ac:dyDescent="0.2">
      <c r="A1010" s="349"/>
      <c r="H1010" s="265"/>
    </row>
    <row r="1011" spans="1:8" x14ac:dyDescent="0.2">
      <c r="A1011" s="349"/>
      <c r="B1011" s="261" t="s">
        <v>999</v>
      </c>
      <c r="D1011">
        <v>150</v>
      </c>
      <c r="E1011" s="268"/>
      <c r="H1011" s="265"/>
    </row>
    <row r="1012" spans="1:8" ht="13.5" thickBot="1" x14ac:dyDescent="0.25">
      <c r="A1012" s="349"/>
      <c r="H1012" s="265"/>
    </row>
    <row r="1013" spans="1:8" ht="13.5" thickBot="1" x14ac:dyDescent="0.25">
      <c r="A1013" s="349"/>
      <c r="C1013" s="269" t="s">
        <v>572</v>
      </c>
      <c r="D1013" s="270">
        <v>150</v>
      </c>
      <c r="E1013" s="271" t="s">
        <v>36</v>
      </c>
      <c r="H1013" s="265"/>
    </row>
    <row r="1014" spans="1:8" ht="13.5" thickBot="1" x14ac:dyDescent="0.25">
      <c r="A1014" s="350"/>
      <c r="B1014" s="266"/>
      <c r="C1014" s="266"/>
      <c r="D1014" s="266"/>
      <c r="E1014" s="266"/>
      <c r="F1014" s="266"/>
      <c r="G1014" s="266"/>
      <c r="H1014" s="267"/>
    </row>
    <row r="1015" spans="1:8" ht="12.75" customHeight="1" x14ac:dyDescent="0.2">
      <c r="A1015" s="342" t="str">
        <f>'A IV.A'!A123</f>
        <v>4.10</v>
      </c>
      <c r="B1015" s="466" t="str">
        <f>'A IV.A'!B123</f>
        <v>REGISTRO DE ESFERA PVC, SOLDÁVEL, COM VOLANTE, Ø 40 MM</v>
      </c>
      <c r="C1015" s="466"/>
      <c r="D1015" s="466"/>
      <c r="E1015" s="466"/>
      <c r="F1015" s="466"/>
      <c r="G1015" s="466"/>
      <c r="H1015" s="467"/>
    </row>
    <row r="1016" spans="1:8" x14ac:dyDescent="0.2">
      <c r="A1016" s="349"/>
      <c r="H1016" s="265"/>
    </row>
    <row r="1017" spans="1:8" x14ac:dyDescent="0.2">
      <c r="A1017" s="349"/>
      <c r="B1017" s="261" t="s">
        <v>623</v>
      </c>
      <c r="D1017" s="268">
        <f>'[10]Casas C-F'!$S$25</f>
        <v>24</v>
      </c>
      <c r="H1017" s="265"/>
    </row>
    <row r="1018" spans="1:8" ht="13.5" thickBot="1" x14ac:dyDescent="0.25">
      <c r="A1018" s="349"/>
      <c r="H1018" s="265"/>
    </row>
    <row r="1019" spans="1:8" ht="13.5" thickBot="1" x14ac:dyDescent="0.25">
      <c r="A1019" s="349"/>
      <c r="C1019" s="269" t="s">
        <v>572</v>
      </c>
      <c r="D1019" s="270">
        <v>25</v>
      </c>
      <c r="E1019" s="271" t="s">
        <v>448</v>
      </c>
      <c r="H1019" s="265"/>
    </row>
    <row r="1020" spans="1:8" ht="13.5" thickBot="1" x14ac:dyDescent="0.25">
      <c r="A1020" s="350"/>
      <c r="B1020" s="266"/>
      <c r="C1020" s="266"/>
      <c r="D1020" s="266"/>
      <c r="E1020" s="266"/>
      <c r="F1020" s="266"/>
      <c r="G1020" s="266"/>
      <c r="H1020" s="267"/>
    </row>
    <row r="1021" spans="1:8" ht="12.75" customHeight="1" x14ac:dyDescent="0.2">
      <c r="A1021" s="342" t="str">
        <f>'A IV.A'!A124</f>
        <v>4.11</v>
      </c>
      <c r="B1021" s="466" t="str">
        <f>'A IV.A'!B124</f>
        <v>CONDUTOR VERTICAL DE ÁGUAS PLUVIAIS EM TUBO PVC, SÉRIE R, ÁGUA PLUVIAL, DN 100 MM, INCLUSIVE CONEXÕES</v>
      </c>
      <c r="C1021" s="466"/>
      <c r="D1021" s="466"/>
      <c r="E1021" s="466"/>
      <c r="F1021" s="466"/>
      <c r="G1021" s="466"/>
      <c r="H1021" s="467"/>
    </row>
    <row r="1022" spans="1:8" x14ac:dyDescent="0.2">
      <c r="A1022" s="344"/>
      <c r="B1022" s="468"/>
      <c r="C1022" s="468"/>
      <c r="D1022" s="468"/>
      <c r="E1022" s="468"/>
      <c r="F1022" s="468"/>
      <c r="G1022" s="468"/>
      <c r="H1022" s="469"/>
    </row>
    <row r="1023" spans="1:8" x14ac:dyDescent="0.2">
      <c r="A1023" s="349"/>
      <c r="H1023" s="265"/>
    </row>
    <row r="1024" spans="1:8" x14ac:dyDescent="0.2">
      <c r="A1024" s="349"/>
      <c r="B1024" s="261"/>
      <c r="D1024" s="268"/>
      <c r="H1024" s="265"/>
    </row>
    <row r="1025" spans="1:8" x14ac:dyDescent="0.2">
      <c r="A1025" s="349"/>
      <c r="H1025" s="265"/>
    </row>
    <row r="1026" spans="1:8" x14ac:dyDescent="0.2">
      <c r="A1026" s="349"/>
      <c r="B1026" s="261" t="s">
        <v>999</v>
      </c>
      <c r="D1026">
        <v>60</v>
      </c>
      <c r="H1026" s="265"/>
    </row>
    <row r="1027" spans="1:8" ht="13.5" thickBot="1" x14ac:dyDescent="0.25">
      <c r="A1027" s="349"/>
      <c r="H1027" s="265"/>
    </row>
    <row r="1028" spans="1:8" ht="13.5" thickBot="1" x14ac:dyDescent="0.25">
      <c r="A1028" s="349"/>
      <c r="C1028" s="269" t="s">
        <v>572</v>
      </c>
      <c r="D1028" s="270">
        <v>60</v>
      </c>
      <c r="E1028" s="271" t="s">
        <v>36</v>
      </c>
      <c r="H1028" s="265"/>
    </row>
    <row r="1029" spans="1:8" ht="13.5" thickBot="1" x14ac:dyDescent="0.25">
      <c r="A1029" s="350"/>
      <c r="B1029" s="266"/>
      <c r="C1029" s="266"/>
      <c r="D1029" s="266"/>
      <c r="E1029" s="266"/>
      <c r="F1029" s="266"/>
      <c r="G1029" s="266"/>
      <c r="H1029" s="267"/>
    </row>
    <row r="1030" spans="1:8" ht="25.5" customHeight="1" thickBot="1" x14ac:dyDescent="0.25">
      <c r="A1030" s="355" t="str">
        <f>'A IV.A'!A126</f>
        <v>5.0</v>
      </c>
      <c r="B1030" s="488" t="str">
        <f>'A IV.A'!B126</f>
        <v>RECUPERAÇÃO E TRATAMENTO DE SUPERFÍCIES EM CONCRETO ARMADO - ITEM 10.0 DO TERMO DE REFERÊNCIA</v>
      </c>
      <c r="C1030" s="488"/>
      <c r="D1030" s="488"/>
      <c r="E1030" s="488"/>
      <c r="F1030" s="488"/>
      <c r="G1030" s="488"/>
      <c r="H1030" s="489"/>
    </row>
    <row r="1031" spans="1:8" x14ac:dyDescent="0.2">
      <c r="A1031" s="342" t="str">
        <f>'A IV.A'!A128</f>
        <v>5.1</v>
      </c>
      <c r="B1031" s="480" t="str">
        <f>'A IV.A'!B128</f>
        <v xml:space="preserve">IDENTIFICAÇÃO DE TRINCAS, MAPEAMENTO, PREPARAÇÃO  E TRATAMENTO COM MASTIQUE </v>
      </c>
      <c r="C1031" s="466"/>
      <c r="D1031" s="466"/>
      <c r="E1031" s="466"/>
      <c r="F1031" s="466"/>
      <c r="G1031" s="466"/>
      <c r="H1031" s="467"/>
    </row>
    <row r="1032" spans="1:8" x14ac:dyDescent="0.2">
      <c r="A1032" s="344"/>
      <c r="B1032" s="468"/>
      <c r="C1032" s="468"/>
      <c r="D1032" s="468"/>
      <c r="E1032" s="468"/>
      <c r="F1032" s="468"/>
      <c r="G1032" s="468"/>
      <c r="H1032" s="469"/>
    </row>
    <row r="1033" spans="1:8" x14ac:dyDescent="0.2">
      <c r="A1033" s="349"/>
      <c r="H1033" s="265"/>
    </row>
    <row r="1034" spans="1:8" x14ac:dyDescent="0.2">
      <c r="A1034" s="349"/>
      <c r="B1034" s="261" t="s">
        <v>579</v>
      </c>
      <c r="H1034" s="265"/>
    </row>
    <row r="1035" spans="1:8" ht="13.5" thickBot="1" x14ac:dyDescent="0.25">
      <c r="A1035" s="349"/>
      <c r="H1035" s="265"/>
    </row>
    <row r="1036" spans="1:8" ht="13.5" thickBot="1" x14ac:dyDescent="0.25">
      <c r="A1036" s="349"/>
      <c r="C1036" s="269" t="s">
        <v>572</v>
      </c>
      <c r="D1036" s="270">
        <v>20</v>
      </c>
      <c r="E1036" s="271" t="s">
        <v>36</v>
      </c>
      <c r="H1036" s="265"/>
    </row>
    <row r="1037" spans="1:8" ht="13.5" thickBot="1" x14ac:dyDescent="0.25">
      <c r="A1037" s="350"/>
      <c r="B1037" s="266"/>
      <c r="C1037" s="266"/>
      <c r="D1037" s="266"/>
      <c r="E1037" s="266"/>
      <c r="F1037" s="266"/>
      <c r="G1037" s="266"/>
      <c r="H1037" s="267"/>
    </row>
    <row r="1038" spans="1:8" x14ac:dyDescent="0.2">
      <c r="A1038" s="342" t="str">
        <f>'A IV.A'!A129</f>
        <v>5.2</v>
      </c>
      <c r="B1038" s="480" t="str">
        <f>'A IV.A'!B129</f>
        <v xml:space="preserve">IMPERMEABILIZACAO DE SUPERFICIE COM CIMENTO IMPERMEABILIZANTE DE PEGA ULTRARRAPIDA </v>
      </c>
      <c r="C1038" s="466"/>
      <c r="D1038" s="466"/>
      <c r="E1038" s="466"/>
      <c r="F1038" s="466"/>
      <c r="G1038" s="466"/>
      <c r="H1038" s="467"/>
    </row>
    <row r="1039" spans="1:8" x14ac:dyDescent="0.2">
      <c r="A1039" s="344"/>
      <c r="B1039" s="468"/>
      <c r="C1039" s="468"/>
      <c r="D1039" s="468"/>
      <c r="E1039" s="468"/>
      <c r="F1039" s="468"/>
      <c r="G1039" s="468"/>
      <c r="H1039" s="469"/>
    </row>
    <row r="1040" spans="1:8" x14ac:dyDescent="0.2">
      <c r="A1040" s="349"/>
      <c r="H1040" s="265"/>
    </row>
    <row r="1041" spans="1:8" x14ac:dyDescent="0.2">
      <c r="A1041" s="349"/>
      <c r="B1041" s="261" t="s">
        <v>579</v>
      </c>
      <c r="H1041" s="265"/>
    </row>
    <row r="1042" spans="1:8" ht="13.5" thickBot="1" x14ac:dyDescent="0.25">
      <c r="A1042" s="349"/>
      <c r="H1042" s="265"/>
    </row>
    <row r="1043" spans="1:8" ht="13.5" thickBot="1" x14ac:dyDescent="0.25">
      <c r="A1043" s="349"/>
      <c r="C1043" s="269" t="s">
        <v>572</v>
      </c>
      <c r="D1043" s="270">
        <v>25</v>
      </c>
      <c r="E1043" s="271" t="s">
        <v>38</v>
      </c>
      <c r="H1043" s="265"/>
    </row>
    <row r="1044" spans="1:8" ht="13.5" thickBot="1" x14ac:dyDescent="0.25">
      <c r="A1044" s="350"/>
      <c r="B1044" s="266"/>
      <c r="C1044" s="266"/>
      <c r="D1044" s="266"/>
      <c r="E1044" s="266"/>
      <c r="F1044" s="266"/>
      <c r="G1044" s="266"/>
      <c r="H1044" s="267"/>
    </row>
    <row r="1045" spans="1:8" x14ac:dyDescent="0.2">
      <c r="A1045" s="342" t="str">
        <f>'A IV.A'!A131</f>
        <v>5.4</v>
      </c>
      <c r="B1045" s="480" t="str">
        <f>'A IV.A'!B131</f>
        <v xml:space="preserve">IMPERMEABILIZACAO DE SUPERFICIE COM IMPERMEABILIZANTE FLEXIVEL A BASE DE RESINA ACRÍLICA </v>
      </c>
      <c r="C1045" s="466"/>
      <c r="D1045" s="466"/>
      <c r="E1045" s="466"/>
      <c r="F1045" s="466"/>
      <c r="G1045" s="466"/>
      <c r="H1045" s="467"/>
    </row>
    <row r="1046" spans="1:8" x14ac:dyDescent="0.2">
      <c r="A1046" s="344"/>
      <c r="B1046" s="468"/>
      <c r="C1046" s="468"/>
      <c r="D1046" s="468"/>
      <c r="E1046" s="468"/>
      <c r="F1046" s="468"/>
      <c r="G1046" s="468"/>
      <c r="H1046" s="469"/>
    </row>
    <row r="1047" spans="1:8" x14ac:dyDescent="0.2">
      <c r="A1047" s="349"/>
      <c r="H1047" s="265"/>
    </row>
    <row r="1048" spans="1:8" x14ac:dyDescent="0.2">
      <c r="A1048" s="349"/>
      <c r="B1048" s="261" t="s">
        <v>579</v>
      </c>
      <c r="H1048" s="265"/>
    </row>
    <row r="1049" spans="1:8" ht="13.5" thickBot="1" x14ac:dyDescent="0.25">
      <c r="A1049" s="349"/>
      <c r="H1049" s="265"/>
    </row>
    <row r="1050" spans="1:8" ht="13.5" thickBot="1" x14ac:dyDescent="0.25">
      <c r="A1050" s="349"/>
      <c r="C1050" s="269" t="s">
        <v>572</v>
      </c>
      <c r="D1050" s="270">
        <v>20</v>
      </c>
      <c r="E1050" s="271" t="s">
        <v>38</v>
      </c>
      <c r="H1050" s="265"/>
    </row>
    <row r="1051" spans="1:8" ht="13.5" thickBot="1" x14ac:dyDescent="0.25">
      <c r="A1051" s="350"/>
      <c r="B1051" s="266"/>
      <c r="C1051" s="266"/>
      <c r="D1051" s="266"/>
      <c r="E1051" s="266"/>
      <c r="F1051" s="266"/>
      <c r="G1051" s="266"/>
      <c r="H1051" s="267"/>
    </row>
    <row r="1052" spans="1:8" x14ac:dyDescent="0.2">
      <c r="A1052" s="342" t="str">
        <f>'A IV.A'!A132</f>
        <v>5.5</v>
      </c>
      <c r="B1052" s="480" t="str">
        <f>'A IV.A'!B132</f>
        <v xml:space="preserve">TRATAMENTO FLEXÍVEL C/INJEÇÃO DE SELANTE À BASE DE POLIURETANO HIDROATIVADO E GEL </v>
      </c>
      <c r="C1052" s="466"/>
      <c r="D1052" s="466"/>
      <c r="E1052" s="466"/>
      <c r="F1052" s="466"/>
      <c r="G1052" s="466"/>
      <c r="H1052" s="467"/>
    </row>
    <row r="1053" spans="1:8" x14ac:dyDescent="0.2">
      <c r="A1053" s="344"/>
      <c r="B1053" s="468"/>
      <c r="C1053" s="468"/>
      <c r="D1053" s="468"/>
      <c r="E1053" s="468"/>
      <c r="F1053" s="468"/>
      <c r="G1053" s="468"/>
      <c r="H1053" s="469"/>
    </row>
    <row r="1054" spans="1:8" x14ac:dyDescent="0.2">
      <c r="A1054" s="349"/>
      <c r="H1054" s="265"/>
    </row>
    <row r="1055" spans="1:8" x14ac:dyDescent="0.2">
      <c r="A1055" s="349"/>
      <c r="B1055" s="261" t="s">
        <v>579</v>
      </c>
      <c r="H1055" s="265"/>
    </row>
    <row r="1056" spans="1:8" ht="13.5" thickBot="1" x14ac:dyDescent="0.25">
      <c r="A1056" s="349"/>
      <c r="H1056" s="265"/>
    </row>
    <row r="1057" spans="1:10" ht="13.5" thickBot="1" x14ac:dyDescent="0.25">
      <c r="A1057" s="349"/>
      <c r="C1057" s="269" t="s">
        <v>572</v>
      </c>
      <c r="D1057" s="270">
        <v>20</v>
      </c>
      <c r="E1057" s="271" t="s">
        <v>36</v>
      </c>
      <c r="H1057" s="265"/>
    </row>
    <row r="1058" spans="1:10" ht="13.5" thickBot="1" x14ac:dyDescent="0.25">
      <c r="A1058" s="350"/>
      <c r="B1058" s="266"/>
      <c r="C1058" s="266"/>
      <c r="D1058" s="266"/>
      <c r="E1058" s="266"/>
      <c r="F1058" s="266"/>
      <c r="G1058" s="266"/>
      <c r="H1058" s="267"/>
    </row>
    <row r="1059" spans="1:10" ht="13.5" thickBot="1" x14ac:dyDescent="0.25">
      <c r="A1059" s="348" t="str">
        <f>'A IV.A'!A134</f>
        <v>6.0</v>
      </c>
      <c r="B1059" s="488" t="str">
        <f>'A IV.A'!B134</f>
        <v>PINTURAS - ITEM 11.0 DO TERMO DE REFERÊNCIA</v>
      </c>
      <c r="C1059" s="488"/>
      <c r="D1059" s="488"/>
      <c r="E1059" s="488"/>
      <c r="F1059" s="488"/>
      <c r="G1059" s="488"/>
      <c r="H1059" s="489"/>
    </row>
    <row r="1060" spans="1:10" ht="12.75" customHeight="1" x14ac:dyDescent="0.2">
      <c r="A1060" s="342" t="str">
        <f>'A IV.A'!A136</f>
        <v>6.1</v>
      </c>
      <c r="B1060" s="466" t="str">
        <f>'A IV.A'!B136</f>
        <v>PREPARAÇÃO DE SUPERFÍCIE PARA PINTURA COM RETIRADA DE LIMO, MATERIAIS DESAGREGADOS (CASCAS DE MATERIAIS CIMENTÍCIOS) ATRAVÉS DE HIDROJATEAMENTO</v>
      </c>
      <c r="C1060" s="466"/>
      <c r="D1060" s="466"/>
      <c r="E1060" s="466"/>
      <c r="F1060" s="466"/>
      <c r="G1060" s="466"/>
      <c r="H1060" s="467"/>
    </row>
    <row r="1061" spans="1:10" x14ac:dyDescent="0.2">
      <c r="A1061" s="344"/>
      <c r="B1061" s="468"/>
      <c r="C1061" s="468"/>
      <c r="D1061" s="468"/>
      <c r="E1061" s="468"/>
      <c r="F1061" s="468"/>
      <c r="G1061" s="468"/>
      <c r="H1061" s="469"/>
    </row>
    <row r="1062" spans="1:10" x14ac:dyDescent="0.2">
      <c r="A1062" s="344"/>
      <c r="B1062" s="468"/>
      <c r="C1062" s="468"/>
      <c r="D1062" s="468"/>
      <c r="E1062" s="468"/>
      <c r="F1062" s="468"/>
      <c r="G1062" s="468"/>
      <c r="H1062" s="469"/>
    </row>
    <row r="1063" spans="1:10" x14ac:dyDescent="0.2">
      <c r="A1063" s="349"/>
      <c r="H1063" s="265"/>
    </row>
    <row r="1064" spans="1:10" hidden="1" x14ac:dyDescent="0.2">
      <c r="A1064" s="349"/>
      <c r="B1064" s="261"/>
      <c r="H1064" s="265"/>
    </row>
    <row r="1065" spans="1:10" hidden="1" x14ac:dyDescent="0.2">
      <c r="A1065" s="349"/>
      <c r="B1065" s="261" t="s">
        <v>981</v>
      </c>
      <c r="D1065">
        <v>1012.66</v>
      </c>
      <c r="H1065" s="265"/>
    </row>
    <row r="1066" spans="1:10" hidden="1" x14ac:dyDescent="0.2">
      <c r="A1066" s="349"/>
      <c r="B1066" s="261"/>
      <c r="H1066" s="265"/>
    </row>
    <row r="1067" spans="1:10" x14ac:dyDescent="0.2">
      <c r="A1067" s="349"/>
      <c r="B1067" s="261" t="s">
        <v>970</v>
      </c>
      <c r="D1067">
        <v>880</v>
      </c>
      <c r="H1067" s="265"/>
      <c r="J1067">
        <f>550*K2</f>
        <v>880</v>
      </c>
    </row>
    <row r="1068" spans="1:10" ht="13.5" thickBot="1" x14ac:dyDescent="0.25">
      <c r="A1068" s="349"/>
      <c r="B1068" s="261"/>
      <c r="H1068" s="265"/>
    </row>
    <row r="1069" spans="1:10" ht="13.5" thickBot="1" x14ac:dyDescent="0.25">
      <c r="A1069" s="349"/>
      <c r="B1069" s="261"/>
      <c r="C1069" s="269" t="s">
        <v>572</v>
      </c>
      <c r="D1069" s="270">
        <f>D1067</f>
        <v>880</v>
      </c>
      <c r="E1069" s="271" t="s">
        <v>38</v>
      </c>
      <c r="H1069" s="265"/>
    </row>
    <row r="1070" spans="1:10" ht="13.5" thickBot="1" x14ac:dyDescent="0.25">
      <c r="A1070" s="350"/>
      <c r="B1070" s="266"/>
      <c r="C1070" s="266"/>
      <c r="D1070" s="266"/>
      <c r="E1070" s="266"/>
      <c r="F1070" s="266"/>
      <c r="G1070" s="266"/>
      <c r="H1070" s="267"/>
    </row>
    <row r="1071" spans="1:10" x14ac:dyDescent="0.2">
      <c r="A1071" s="342" t="e">
        <f>'A IV.A'!#REF!</f>
        <v>#REF!</v>
      </c>
      <c r="B1071" s="466" t="e">
        <f>'A IV.A'!#REF!</f>
        <v>#REF!</v>
      </c>
      <c r="C1071" s="466"/>
      <c r="D1071" s="466"/>
      <c r="E1071" s="466"/>
      <c r="F1071" s="466"/>
      <c r="G1071" s="466"/>
      <c r="H1071" s="467"/>
    </row>
    <row r="1072" spans="1:10" x14ac:dyDescent="0.2">
      <c r="A1072" s="344"/>
      <c r="B1072" s="468"/>
      <c r="C1072" s="468"/>
      <c r="D1072" s="468"/>
      <c r="E1072" s="468"/>
      <c r="F1072" s="468"/>
      <c r="G1072" s="468"/>
      <c r="H1072" s="469"/>
    </row>
    <row r="1073" spans="1:8" x14ac:dyDescent="0.2">
      <c r="A1073" s="349"/>
      <c r="H1073" s="265"/>
    </row>
    <row r="1074" spans="1:8" hidden="1" x14ac:dyDescent="0.2">
      <c r="A1074" s="349"/>
      <c r="C1074" s="261"/>
      <c r="D1074" s="268"/>
      <c r="H1074" s="265"/>
    </row>
    <row r="1075" spans="1:8" hidden="1" x14ac:dyDescent="0.2">
      <c r="A1075" s="349"/>
      <c r="B1075" s="261" t="s">
        <v>981</v>
      </c>
      <c r="C1075" s="261"/>
      <c r="D1075" s="268">
        <v>1090.53</v>
      </c>
      <c r="H1075" s="265"/>
    </row>
    <row r="1076" spans="1:8" x14ac:dyDescent="0.2">
      <c r="A1076" s="349"/>
      <c r="B1076" s="261" t="s">
        <v>1112</v>
      </c>
      <c r="C1076" s="261"/>
      <c r="D1076" s="268">
        <f>'[9]Mem Global'!$G$6708</f>
        <v>1207.2</v>
      </c>
      <c r="H1076" s="265"/>
    </row>
    <row r="1077" spans="1:8" x14ac:dyDescent="0.2">
      <c r="A1077" s="349"/>
      <c r="B1077" s="261" t="s">
        <v>970</v>
      </c>
      <c r="C1077" s="261"/>
      <c r="D1077" s="268">
        <f>'[11]Estimativa de Preços'!$AH$9</f>
        <v>1376.25</v>
      </c>
      <c r="H1077" s="265"/>
    </row>
    <row r="1078" spans="1:8" x14ac:dyDescent="0.2">
      <c r="A1078" s="349"/>
      <c r="C1078" s="261"/>
      <c r="D1078" s="268"/>
      <c r="H1078" s="265"/>
    </row>
    <row r="1079" spans="1:8" hidden="1" x14ac:dyDescent="0.2">
      <c r="A1079" s="349"/>
      <c r="C1079" s="261"/>
      <c r="D1079" s="268"/>
      <c r="H1079" s="265"/>
    </row>
    <row r="1080" spans="1:8" ht="13.5" thickBot="1" x14ac:dyDescent="0.25">
      <c r="A1080" s="349"/>
      <c r="H1080" s="265"/>
    </row>
    <row r="1081" spans="1:8" ht="13.5" thickBot="1" x14ac:dyDescent="0.25">
      <c r="A1081" s="349"/>
      <c r="C1081" s="269" t="s">
        <v>572</v>
      </c>
      <c r="D1081" s="270">
        <f>ROUNDUP(D1077,0)+D1076</f>
        <v>2584.1999999999998</v>
      </c>
      <c r="E1081" s="271" t="s">
        <v>38</v>
      </c>
      <c r="H1081" s="265"/>
    </row>
    <row r="1082" spans="1:8" ht="13.5" thickBot="1" x14ac:dyDescent="0.25">
      <c r="A1082" s="350"/>
      <c r="B1082" s="266"/>
      <c r="C1082" s="266"/>
      <c r="D1082" s="266"/>
      <c r="E1082" s="266"/>
      <c r="F1082" s="266"/>
      <c r="G1082" s="266"/>
      <c r="H1082" s="267"/>
    </row>
    <row r="1083" spans="1:8" x14ac:dyDescent="0.2">
      <c r="A1083" s="342" t="e">
        <f>'A IV.A'!#REF!</f>
        <v>#REF!</v>
      </c>
      <c r="B1083" s="262" t="e">
        <f>'A IV.A'!#REF!</f>
        <v>#REF!</v>
      </c>
      <c r="C1083" s="262"/>
      <c r="D1083" s="262"/>
      <c r="E1083" s="262"/>
      <c r="F1083" s="262"/>
      <c r="G1083" s="262"/>
      <c r="H1083" s="273"/>
    </row>
    <row r="1084" spans="1:8" x14ac:dyDescent="0.2">
      <c r="A1084" s="349"/>
      <c r="H1084" s="265"/>
    </row>
    <row r="1085" spans="1:8" hidden="1" x14ac:dyDescent="0.2">
      <c r="A1085" s="349"/>
      <c r="B1085" s="261" t="s">
        <v>628</v>
      </c>
      <c r="H1085" s="265"/>
    </row>
    <row r="1086" spans="1:8" hidden="1" x14ac:dyDescent="0.2">
      <c r="A1086" s="349"/>
      <c r="C1086" s="288"/>
      <c r="H1086" s="265"/>
    </row>
    <row r="1087" spans="1:8" hidden="1" x14ac:dyDescent="0.2">
      <c r="A1087" s="349"/>
      <c r="B1087" s="261" t="s">
        <v>982</v>
      </c>
      <c r="C1087" s="288"/>
      <c r="D1087">
        <v>997.9</v>
      </c>
      <c r="H1087" s="265"/>
    </row>
    <row r="1088" spans="1:8" x14ac:dyDescent="0.2">
      <c r="A1088" s="349"/>
      <c r="B1088" s="261" t="s">
        <v>1113</v>
      </c>
      <c r="C1088" s="288"/>
      <c r="D1088" s="268">
        <f>'[9]Mem Global'!$G$6762</f>
        <v>525.20000000000005</v>
      </c>
      <c r="H1088" s="265"/>
    </row>
    <row r="1089" spans="1:10" x14ac:dyDescent="0.2">
      <c r="A1089" s="349"/>
      <c r="B1089" s="261" t="s">
        <v>980</v>
      </c>
      <c r="C1089" s="288"/>
      <c r="D1089" s="275">
        <f>'[11]Estimativa de Preços'!$AH$10</f>
        <v>65</v>
      </c>
      <c r="H1089" s="265"/>
      <c r="J1089">
        <f>630*K2</f>
        <v>1008</v>
      </c>
    </row>
    <row r="1090" spans="1:10" ht="13.5" thickBot="1" x14ac:dyDescent="0.25">
      <c r="A1090" s="349"/>
      <c r="C1090" s="288"/>
      <c r="H1090" s="265"/>
    </row>
    <row r="1091" spans="1:10" ht="13.5" thickBot="1" x14ac:dyDescent="0.25">
      <c r="A1091" s="349"/>
      <c r="C1091" s="269" t="s">
        <v>572</v>
      </c>
      <c r="D1091" s="270">
        <f>D1089+D1088</f>
        <v>590.20000000000005</v>
      </c>
      <c r="E1091" s="271" t="s">
        <v>38</v>
      </c>
      <c r="H1091" s="265"/>
    </row>
    <row r="1092" spans="1:10" ht="13.5" thickBot="1" x14ac:dyDescent="0.25">
      <c r="A1092" s="350"/>
      <c r="B1092" s="266"/>
      <c r="C1092" s="266"/>
      <c r="D1092" s="266"/>
      <c r="E1092" s="266"/>
      <c r="F1092" s="266"/>
      <c r="G1092" s="266"/>
      <c r="H1092" s="267"/>
    </row>
    <row r="1093" spans="1:10" x14ac:dyDescent="0.2">
      <c r="A1093" s="342" t="str">
        <f>'A IV.A'!A139</f>
        <v>6.2</v>
      </c>
      <c r="B1093" s="262" t="str">
        <f>'A IV.A'!B139</f>
        <v>EMASSAMENTO DE PAREDE COM MASSA PVA PARA PINTURA LÁTEX</v>
      </c>
      <c r="C1093" s="262"/>
      <c r="D1093" s="262"/>
      <c r="E1093" s="262"/>
      <c r="F1093" s="262"/>
      <c r="G1093" s="262"/>
      <c r="H1093" s="273"/>
    </row>
    <row r="1094" spans="1:10" x14ac:dyDescent="0.2">
      <c r="A1094" s="349"/>
      <c r="H1094" s="265"/>
    </row>
    <row r="1095" spans="1:10" x14ac:dyDescent="0.2">
      <c r="A1095" s="349"/>
      <c r="B1095" s="261" t="s">
        <v>980</v>
      </c>
      <c r="D1095">
        <v>50</v>
      </c>
      <c r="E1095" s="268"/>
      <c r="H1095" s="265"/>
    </row>
    <row r="1096" spans="1:10" x14ac:dyDescent="0.2">
      <c r="A1096" s="349"/>
      <c r="E1096" s="268"/>
      <c r="H1096" s="265"/>
    </row>
    <row r="1097" spans="1:10" ht="13.5" thickBot="1" x14ac:dyDescent="0.25">
      <c r="A1097" s="349"/>
      <c r="H1097" s="265"/>
    </row>
    <row r="1098" spans="1:10" ht="13.5" thickBot="1" x14ac:dyDescent="0.25">
      <c r="A1098" s="349"/>
      <c r="C1098" s="269" t="s">
        <v>572</v>
      </c>
      <c r="D1098" s="270">
        <v>50</v>
      </c>
      <c r="E1098" s="271" t="s">
        <v>38</v>
      </c>
      <c r="H1098" s="265"/>
    </row>
    <row r="1099" spans="1:10" ht="13.5" thickBot="1" x14ac:dyDescent="0.25">
      <c r="A1099" s="350"/>
      <c r="B1099" s="266"/>
      <c r="C1099" s="266"/>
      <c r="D1099" s="266"/>
      <c r="E1099" s="266"/>
      <c r="F1099" s="266"/>
      <c r="G1099" s="266"/>
      <c r="H1099" s="267"/>
    </row>
    <row r="1100" spans="1:10" x14ac:dyDescent="0.2">
      <c r="A1100" s="342" t="e">
        <f>'A IV.A'!#REF!</f>
        <v>#REF!</v>
      </c>
      <c r="B1100" s="262" t="e">
        <f>'A IV.A'!#REF!</f>
        <v>#REF!</v>
      </c>
      <c r="C1100" s="262"/>
      <c r="D1100" s="262"/>
      <c r="E1100" s="262"/>
      <c r="F1100" s="262"/>
      <c r="G1100" s="262"/>
      <c r="H1100" s="273"/>
    </row>
    <row r="1101" spans="1:10" x14ac:dyDescent="0.2">
      <c r="A1101" s="349"/>
      <c r="H1101" s="265"/>
    </row>
    <row r="1102" spans="1:10" x14ac:dyDescent="0.2">
      <c r="A1102" s="349"/>
      <c r="C1102" s="261"/>
      <c r="D1102" s="274"/>
      <c r="H1102" s="265"/>
    </row>
    <row r="1103" spans="1:10" x14ac:dyDescent="0.2">
      <c r="A1103" s="349"/>
      <c r="B1103" s="261" t="s">
        <v>981</v>
      </c>
      <c r="C1103" s="261"/>
      <c r="D1103" s="274">
        <v>0</v>
      </c>
      <c r="H1103" s="265"/>
    </row>
    <row r="1104" spans="1:10" x14ac:dyDescent="0.2">
      <c r="A1104" s="349"/>
      <c r="C1104" s="261"/>
      <c r="D1104" s="274"/>
      <c r="H1104" s="265"/>
    </row>
    <row r="1105" spans="1:10" x14ac:dyDescent="0.2">
      <c r="A1105" s="349"/>
      <c r="B1105" s="261" t="s">
        <v>970</v>
      </c>
      <c r="C1105" s="261"/>
      <c r="D1105" s="274">
        <f>'[11]Estimativa de Preços'!$AH$12</f>
        <v>2355</v>
      </c>
      <c r="E1105" s="261" t="s">
        <v>983</v>
      </c>
      <c r="H1105" s="265"/>
    </row>
    <row r="1106" spans="1:10" x14ac:dyDescent="0.2">
      <c r="A1106" s="349"/>
      <c r="C1106" s="261"/>
      <c r="D1106" s="274"/>
      <c r="H1106" s="265"/>
    </row>
    <row r="1107" spans="1:10" ht="13.5" thickBot="1" x14ac:dyDescent="0.25">
      <c r="A1107" s="349"/>
      <c r="H1107" s="265"/>
    </row>
    <row r="1108" spans="1:10" ht="13.5" thickBot="1" x14ac:dyDescent="0.25">
      <c r="A1108" s="349"/>
      <c r="C1108" s="269" t="s">
        <v>572</v>
      </c>
      <c r="D1108" s="276">
        <f>ROUNDUP(D1105,0)</f>
        <v>2355</v>
      </c>
      <c r="E1108" s="271" t="s">
        <v>38</v>
      </c>
      <c r="H1108" s="265"/>
    </row>
    <row r="1109" spans="1:10" ht="13.5" thickBot="1" x14ac:dyDescent="0.25">
      <c r="A1109" s="350"/>
      <c r="B1109" s="266"/>
      <c r="C1109" s="266"/>
      <c r="D1109" s="266"/>
      <c r="E1109" s="266"/>
      <c r="F1109" s="266"/>
      <c r="G1109" s="266"/>
      <c r="H1109" s="267"/>
    </row>
    <row r="1110" spans="1:10" x14ac:dyDescent="0.2">
      <c r="A1110" s="342" t="str">
        <f>'A IV.A'!A140</f>
        <v>6.3</v>
      </c>
      <c r="B1110" s="262" t="str">
        <f>'A IV.A'!B140</f>
        <v>PINTURA LÁTEX ACRÍLICA EM ALVENARIA OU CONCRETO EM GERAL</v>
      </c>
      <c r="C1110" s="262"/>
      <c r="D1110" s="262"/>
      <c r="E1110" s="262"/>
      <c r="F1110" s="262"/>
      <c r="G1110" s="262"/>
      <c r="H1110" s="273"/>
    </row>
    <row r="1111" spans="1:10" x14ac:dyDescent="0.2">
      <c r="A1111" s="349"/>
      <c r="H1111" s="265"/>
    </row>
    <row r="1112" spans="1:10" x14ac:dyDescent="0.2">
      <c r="A1112" s="349"/>
      <c r="B1112" s="261" t="s">
        <v>1113</v>
      </c>
      <c r="C1112" s="275"/>
      <c r="D1112" s="268">
        <f>'[9]Mem Global'!$G$6924</f>
        <v>10359.200000000001</v>
      </c>
      <c r="H1112" s="265"/>
    </row>
    <row r="1113" spans="1:10" x14ac:dyDescent="0.2">
      <c r="A1113" s="349"/>
      <c r="B1113" s="261"/>
      <c r="C1113" s="275"/>
      <c r="H1113" s="265"/>
    </row>
    <row r="1114" spans="1:10" x14ac:dyDescent="0.2">
      <c r="A1114" s="349"/>
      <c r="B1114" s="261" t="s">
        <v>970</v>
      </c>
      <c r="C1114" s="275"/>
      <c r="D1114" s="268">
        <f>'[11]Estimativa de Preços'!$AH$13</f>
        <v>13708.75</v>
      </c>
      <c r="H1114" s="265"/>
      <c r="J1114">
        <f>(3391.99*K2)+(F508*3*2)</f>
        <v>5427.1840000000002</v>
      </c>
    </row>
    <row r="1115" spans="1:10" x14ac:dyDescent="0.2">
      <c r="A1115" s="349"/>
      <c r="B1115" s="261"/>
      <c r="C1115" s="275"/>
      <c r="H1115" s="265"/>
    </row>
    <row r="1116" spans="1:10" ht="13.5" thickBot="1" x14ac:dyDescent="0.25">
      <c r="A1116" s="349"/>
      <c r="H1116" s="265"/>
    </row>
    <row r="1117" spans="1:10" ht="13.5" thickBot="1" x14ac:dyDescent="0.25">
      <c r="A1117" s="349"/>
      <c r="C1117" s="269" t="s">
        <v>572</v>
      </c>
      <c r="D1117" s="276">
        <f>ROUND(D1114+D1112,0)</f>
        <v>24068</v>
      </c>
      <c r="E1117" s="271" t="s">
        <v>38</v>
      </c>
      <c r="H1117" s="265"/>
      <c r="J1117" s="261" t="s">
        <v>631</v>
      </c>
    </row>
    <row r="1118" spans="1:10" ht="13.5" thickBot="1" x14ac:dyDescent="0.25">
      <c r="A1118" s="350"/>
      <c r="B1118" s="266"/>
      <c r="C1118" s="266"/>
      <c r="D1118" s="266"/>
      <c r="E1118" s="266"/>
      <c r="F1118" s="266"/>
      <c r="G1118" s="266"/>
      <c r="H1118" s="267"/>
    </row>
    <row r="1119" spans="1:10" x14ac:dyDescent="0.2">
      <c r="A1119" s="342" t="e">
        <f>'A IV.A'!#REF!</f>
        <v>#REF!</v>
      </c>
      <c r="B1119" s="466" t="e">
        <f>'A IV.A'!#REF!</f>
        <v>#REF!</v>
      </c>
      <c r="C1119" s="466"/>
      <c r="D1119" s="466"/>
      <c r="E1119" s="466"/>
      <c r="F1119" s="466"/>
      <c r="G1119" s="466"/>
      <c r="H1119" s="467"/>
    </row>
    <row r="1120" spans="1:10" x14ac:dyDescent="0.2">
      <c r="A1120" s="344"/>
      <c r="B1120" s="468"/>
      <c r="C1120" s="468"/>
      <c r="D1120" s="468"/>
      <c r="E1120" s="468"/>
      <c r="F1120" s="468"/>
      <c r="G1120" s="468"/>
      <c r="H1120" s="469"/>
    </row>
    <row r="1121" spans="1:10" x14ac:dyDescent="0.2">
      <c r="A1121" s="349"/>
      <c r="H1121" s="265"/>
    </row>
    <row r="1122" spans="1:10" x14ac:dyDescent="0.2">
      <c r="A1122" s="349"/>
      <c r="B1122" s="261" t="s">
        <v>984</v>
      </c>
      <c r="E1122" s="268">
        <f>'[9]Mem Global'!$G$6978</f>
        <v>254</v>
      </c>
      <c r="H1122" s="265"/>
    </row>
    <row r="1123" spans="1:10" x14ac:dyDescent="0.2">
      <c r="A1123" s="349"/>
      <c r="B1123" s="261" t="s">
        <v>970</v>
      </c>
      <c r="E1123" s="268">
        <f>'[11]Estimativa de Preços'!$AH$14</f>
        <v>317.5</v>
      </c>
      <c r="H1123" s="265"/>
    </row>
    <row r="1124" spans="1:10" ht="13.5" thickBot="1" x14ac:dyDescent="0.25">
      <c r="A1124" s="349"/>
      <c r="H1124" s="265"/>
    </row>
    <row r="1125" spans="1:10" ht="13.5" thickBot="1" x14ac:dyDescent="0.25">
      <c r="A1125" s="349"/>
      <c r="C1125" s="269" t="s">
        <v>572</v>
      </c>
      <c r="D1125" s="270">
        <f>ROUNDUP(E1122+E1123,0)</f>
        <v>572</v>
      </c>
      <c r="E1125" s="271" t="s">
        <v>38</v>
      </c>
      <c r="H1125" s="265"/>
    </row>
    <row r="1126" spans="1:10" ht="13.5" thickBot="1" x14ac:dyDescent="0.25">
      <c r="A1126" s="350"/>
      <c r="B1126" s="266"/>
      <c r="C1126" s="266"/>
      <c r="D1126" s="266"/>
      <c r="E1126" s="266"/>
      <c r="F1126" s="266"/>
      <c r="G1126" s="266"/>
      <c r="H1126" s="267"/>
    </row>
    <row r="1127" spans="1:10" ht="25.5" customHeight="1" x14ac:dyDescent="0.2">
      <c r="A1127" s="342" t="str">
        <f>'A IV.A'!A141</f>
        <v>6.4</v>
      </c>
      <c r="B1127" s="466" t="str">
        <f>'A IV.A'!B141</f>
        <v>PINTURA LÁTEX ACRÍLICA NA COR BRANCA EM PILARETES E MURETAS</v>
      </c>
      <c r="C1127" s="466"/>
      <c r="D1127" s="466"/>
      <c r="E1127" s="466"/>
      <c r="F1127" s="466"/>
      <c r="G1127" s="466"/>
      <c r="H1127" s="467"/>
    </row>
    <row r="1128" spans="1:10" x14ac:dyDescent="0.2">
      <c r="A1128" s="349"/>
      <c r="H1128" s="265"/>
    </row>
    <row r="1129" spans="1:10" x14ac:dyDescent="0.2">
      <c r="A1129" s="349"/>
      <c r="B1129" s="261" t="s">
        <v>970</v>
      </c>
      <c r="D1129" s="268">
        <f>'[11]Estimativa de Preços'!$AH$15</f>
        <v>4517.5</v>
      </c>
      <c r="H1129" s="265"/>
      <c r="J1129">
        <f>1784.67*K2</f>
        <v>2855.4720000000002</v>
      </c>
    </row>
    <row r="1130" spans="1:10" x14ac:dyDescent="0.2">
      <c r="A1130" s="349"/>
      <c r="D1130" s="261"/>
      <c r="F1130" s="293"/>
      <c r="H1130" s="265"/>
      <c r="J1130" s="261"/>
    </row>
    <row r="1131" spans="1:10" hidden="1" x14ac:dyDescent="0.2">
      <c r="A1131" s="349"/>
      <c r="B1131" s="261" t="s">
        <v>629</v>
      </c>
      <c r="D1131" s="268">
        <f>7071.54*K2</f>
        <v>11314.464</v>
      </c>
      <c r="E1131" s="261" t="s">
        <v>38</v>
      </c>
      <c r="H1131" s="265"/>
    </row>
    <row r="1132" spans="1:10" ht="13.5" thickBot="1" x14ac:dyDescent="0.25">
      <c r="A1132" s="349"/>
      <c r="H1132" s="265"/>
    </row>
    <row r="1133" spans="1:10" ht="13.5" thickBot="1" x14ac:dyDescent="0.25">
      <c r="A1133" s="349"/>
      <c r="D1133" s="269" t="s">
        <v>572</v>
      </c>
      <c r="E1133" s="276">
        <f>ROUNDUP(D1129,0)</f>
        <v>4518</v>
      </c>
      <c r="F1133" s="271" t="s">
        <v>38</v>
      </c>
      <c r="H1133" s="265"/>
    </row>
    <row r="1134" spans="1:10" ht="13.5" thickBot="1" x14ac:dyDescent="0.25">
      <c r="A1134" s="350"/>
      <c r="B1134" s="266"/>
      <c r="C1134" s="266"/>
      <c r="D1134" s="266"/>
      <c r="E1134" s="266"/>
      <c r="F1134" s="266"/>
      <c r="G1134" s="266"/>
      <c r="H1134" s="267"/>
    </row>
    <row r="1135" spans="1:10" ht="37.700000000000003" customHeight="1" x14ac:dyDescent="0.2">
      <c r="A1135" s="342" t="str">
        <f>'A IV.A'!A142</f>
        <v>6.5</v>
      </c>
      <c r="B1135" s="484" t="str">
        <f>'A IV.A'!B142</f>
        <v>PINTURA DE SINALIZAÇÃO HORIZONTAL COM TINTA RETRORREFLETIVA A BASE DE RESINA ACRÍLICA COM MICROESFERAS DE VIDRO</v>
      </c>
      <c r="C1135" s="484"/>
      <c r="D1135" s="484"/>
      <c r="E1135" s="484"/>
      <c r="F1135" s="484"/>
      <c r="G1135" s="484"/>
      <c r="H1135" s="485"/>
    </row>
    <row r="1136" spans="1:10" x14ac:dyDescent="0.2">
      <c r="A1136" s="349"/>
      <c r="H1136" s="265"/>
    </row>
    <row r="1137" spans="1:10" x14ac:dyDescent="0.2">
      <c r="A1137" s="349"/>
      <c r="B1137" s="261" t="s">
        <v>630</v>
      </c>
      <c r="H1137" s="265"/>
    </row>
    <row r="1138" spans="1:10" ht="13.5" thickBot="1" x14ac:dyDescent="0.25">
      <c r="A1138" s="349"/>
      <c r="H1138" s="265"/>
    </row>
    <row r="1139" spans="1:10" ht="13.5" thickBot="1" x14ac:dyDescent="0.25">
      <c r="A1139" s="349"/>
      <c r="D1139" s="269" t="s">
        <v>572</v>
      </c>
      <c r="E1139" s="276">
        <v>50</v>
      </c>
      <c r="F1139" s="271" t="s">
        <v>38</v>
      </c>
      <c r="H1139" s="265"/>
    </row>
    <row r="1140" spans="1:10" ht="13.5" thickBot="1" x14ac:dyDescent="0.25">
      <c r="A1140" s="350"/>
      <c r="B1140" s="266"/>
      <c r="C1140" s="266"/>
      <c r="D1140" s="266"/>
      <c r="E1140" s="266"/>
      <c r="F1140" s="266"/>
      <c r="G1140" s="266"/>
      <c r="H1140" s="267"/>
    </row>
    <row r="1141" spans="1:10" x14ac:dyDescent="0.2">
      <c r="A1141" s="342" t="str">
        <f>'A IV.A'!A143</f>
        <v>6.6</v>
      </c>
      <c r="B1141" s="466" t="str">
        <f>'A IV.A'!B143</f>
        <v>PINTURA DE RESERV. ELEVADO DE CONCRETO - LÁTEX ACRÍLICO FOSCO COR BRANCA 2 DEMÃOS E FAIXAS AZUIS CONFORME PADRÃO SEMAE</v>
      </c>
      <c r="C1141" s="466"/>
      <c r="D1141" s="466"/>
      <c r="E1141" s="466"/>
      <c r="F1141" s="466"/>
      <c r="G1141" s="466"/>
      <c r="H1141" s="467"/>
    </row>
    <row r="1142" spans="1:10" x14ac:dyDescent="0.2">
      <c r="A1142" s="344"/>
      <c r="B1142" s="468"/>
      <c r="C1142" s="468"/>
      <c r="D1142" s="468"/>
      <c r="E1142" s="468"/>
      <c r="F1142" s="468"/>
      <c r="G1142" s="468"/>
      <c r="H1142" s="469"/>
    </row>
    <row r="1143" spans="1:10" x14ac:dyDescent="0.2">
      <c r="A1143" s="344"/>
      <c r="B1143" s="468"/>
      <c r="C1143" s="468"/>
      <c r="D1143" s="468"/>
      <c r="E1143" s="468"/>
      <c r="F1143" s="468"/>
      <c r="G1143" s="468"/>
      <c r="H1143" s="469"/>
    </row>
    <row r="1144" spans="1:10" x14ac:dyDescent="0.2">
      <c r="A1144" s="349"/>
      <c r="H1144" s="265"/>
    </row>
    <row r="1145" spans="1:10" x14ac:dyDescent="0.2">
      <c r="A1145" s="349"/>
      <c r="B1145" s="261" t="s">
        <v>981</v>
      </c>
      <c r="C1145" s="261"/>
      <c r="D1145" s="275"/>
      <c r="F1145" s="275"/>
      <c r="H1145" s="265"/>
    </row>
    <row r="1146" spans="1:10" x14ac:dyDescent="0.2">
      <c r="A1146" s="349"/>
      <c r="C1146" s="261"/>
      <c r="D1146" s="275"/>
      <c r="H1146" s="265"/>
      <c r="J1146" s="261">
        <f>360.45*33</f>
        <v>11894.85</v>
      </c>
    </row>
    <row r="1147" spans="1:10" x14ac:dyDescent="0.2">
      <c r="A1147" s="349"/>
      <c r="B1147" s="261" t="s">
        <v>970</v>
      </c>
      <c r="C1147" s="261"/>
      <c r="D1147" s="281">
        <f>'[11]Estimativa de Preços'!$AH$17</f>
        <v>17511.25</v>
      </c>
      <c r="H1147" s="265"/>
      <c r="J1147">
        <f>7024.01*K2</f>
        <v>11238.416000000001</v>
      </c>
    </row>
    <row r="1148" spans="1:10" x14ac:dyDescent="0.2">
      <c r="A1148" s="349"/>
      <c r="C1148" s="261"/>
      <c r="D1148" s="275"/>
      <c r="H1148" s="265"/>
    </row>
    <row r="1149" spans="1:10" ht="13.5" thickBot="1" x14ac:dyDescent="0.25">
      <c r="A1149" s="349"/>
      <c r="H1149" s="265"/>
    </row>
    <row r="1150" spans="1:10" ht="13.5" thickBot="1" x14ac:dyDescent="0.25">
      <c r="A1150" s="349"/>
      <c r="D1150" s="269" t="s">
        <v>572</v>
      </c>
      <c r="E1150" s="276">
        <f>ROUND(D1147,)</f>
        <v>17511</v>
      </c>
      <c r="F1150" s="271" t="s">
        <v>38</v>
      </c>
      <c r="H1150" s="265"/>
    </row>
    <row r="1151" spans="1:10" ht="13.5" thickBot="1" x14ac:dyDescent="0.25">
      <c r="A1151" s="350"/>
      <c r="B1151" s="266"/>
      <c r="C1151" s="266"/>
      <c r="D1151" s="266"/>
      <c r="E1151" s="266"/>
      <c r="F1151" s="266"/>
      <c r="G1151" s="266"/>
      <c r="H1151" s="267"/>
    </row>
    <row r="1152" spans="1:10" x14ac:dyDescent="0.2">
      <c r="A1152" s="342" t="str">
        <f>'A IV.A'!A144</f>
        <v>6.7</v>
      </c>
      <c r="B1152" s="466" t="str">
        <f>'A IV.A'!B144</f>
        <v>PINTURA DE RESERV. APOIADO DE CONCRETO - LÁTEX ACRÍLICO FOSCO COR BRANCA 2 DEMÃOS E FAIXAS AZUIS CONFORME PADRÃO SEMAE</v>
      </c>
      <c r="C1152" s="466"/>
      <c r="D1152" s="466"/>
      <c r="E1152" s="466"/>
      <c r="F1152" s="466"/>
      <c r="G1152" s="466"/>
      <c r="H1152" s="467"/>
    </row>
    <row r="1153" spans="1:10" x14ac:dyDescent="0.2">
      <c r="A1153" s="344"/>
      <c r="B1153" s="468"/>
      <c r="C1153" s="468"/>
      <c r="D1153" s="468"/>
      <c r="E1153" s="468"/>
      <c r="F1153" s="468"/>
      <c r="G1153" s="468"/>
      <c r="H1153" s="469"/>
    </row>
    <row r="1154" spans="1:10" x14ac:dyDescent="0.2">
      <c r="A1154" s="349"/>
      <c r="H1154" s="265"/>
    </row>
    <row r="1155" spans="1:10" x14ac:dyDescent="0.2">
      <c r="A1155" s="349"/>
      <c r="B1155" s="261"/>
      <c r="C1155" s="261"/>
      <c r="H1155" s="265"/>
    </row>
    <row r="1156" spans="1:10" x14ac:dyDescent="0.2">
      <c r="A1156" s="349"/>
      <c r="B1156" s="261" t="s">
        <v>970</v>
      </c>
      <c r="C1156" s="261"/>
      <c r="D1156" s="268">
        <f>'[11]Estimativa de Preços'!$AH$18</f>
        <v>7878.75</v>
      </c>
      <c r="H1156" s="265"/>
    </row>
    <row r="1157" spans="1:10" ht="13.5" thickBot="1" x14ac:dyDescent="0.25">
      <c r="A1157" s="349"/>
      <c r="B1157" s="261"/>
      <c r="C1157" s="261"/>
      <c r="H1157" s="265"/>
    </row>
    <row r="1158" spans="1:10" ht="13.5" thickBot="1" x14ac:dyDescent="0.25">
      <c r="A1158" s="349"/>
      <c r="D1158" s="269" t="s">
        <v>572</v>
      </c>
      <c r="E1158" s="276">
        <f>ROUNDUP(D1156,0)+1</f>
        <v>7880</v>
      </c>
      <c r="F1158" s="271" t="s">
        <v>38</v>
      </c>
      <c r="H1158" s="265"/>
    </row>
    <row r="1159" spans="1:10" x14ac:dyDescent="0.2">
      <c r="A1159" s="350"/>
      <c r="B1159" s="266"/>
      <c r="C1159" s="266"/>
      <c r="D1159" s="266"/>
      <c r="E1159" s="266"/>
      <c r="F1159" s="266"/>
      <c r="G1159" s="266"/>
      <c r="H1159" s="267"/>
    </row>
    <row r="1160" spans="1:10" x14ac:dyDescent="0.2">
      <c r="A1160" s="342" t="str">
        <f>'A IV.A'!A145</f>
        <v>6.8</v>
      </c>
      <c r="B1160" s="466" t="str">
        <f>'A IV.A'!B145</f>
        <v>PINTURA EM ESMALTE SINTÉTICO SOBRE FUNDO ANTICORROSIVO - 02 DEMÃOS</v>
      </c>
      <c r="C1160" s="466"/>
      <c r="D1160" s="466"/>
      <c r="E1160" s="466"/>
      <c r="F1160" s="466"/>
      <c r="G1160" s="466"/>
      <c r="H1160" s="467"/>
    </row>
    <row r="1161" spans="1:10" x14ac:dyDescent="0.2">
      <c r="A1161" s="344"/>
      <c r="B1161" s="468"/>
      <c r="C1161" s="468"/>
      <c r="D1161" s="468"/>
      <c r="E1161" s="468"/>
      <c r="F1161" s="468"/>
      <c r="G1161" s="468"/>
      <c r="H1161" s="469"/>
    </row>
    <row r="1162" spans="1:10" x14ac:dyDescent="0.2">
      <c r="A1162" s="349"/>
      <c r="H1162" s="265"/>
    </row>
    <row r="1163" spans="1:10" x14ac:dyDescent="0.2">
      <c r="A1163" s="349"/>
      <c r="B1163" s="261"/>
      <c r="C1163" s="261"/>
      <c r="H1163" s="265"/>
    </row>
    <row r="1164" spans="1:10" x14ac:dyDescent="0.2">
      <c r="A1164" s="349"/>
      <c r="B1164" s="261" t="s">
        <v>981</v>
      </c>
      <c r="C1164" s="261"/>
      <c r="D1164" s="268">
        <v>6731.2977999999985</v>
      </c>
      <c r="H1164" s="265"/>
    </row>
    <row r="1165" spans="1:10" x14ac:dyDescent="0.2">
      <c r="A1165" s="349"/>
      <c r="B1165" s="261"/>
      <c r="C1165" s="261"/>
      <c r="H1165" s="265"/>
    </row>
    <row r="1166" spans="1:10" x14ac:dyDescent="0.2">
      <c r="A1166" s="349"/>
      <c r="B1166" s="261" t="s">
        <v>970</v>
      </c>
      <c r="C1166" s="261"/>
      <c r="D1166" s="268">
        <f>'[11]Estimativa de Preços'!$AH$19</f>
        <v>5176.25</v>
      </c>
      <c r="H1166" s="265"/>
      <c r="J1166">
        <v>2052.4699999999998</v>
      </c>
    </row>
    <row r="1167" spans="1:10" ht="13.5" thickBot="1" x14ac:dyDescent="0.25">
      <c r="A1167" s="349"/>
      <c r="B1167" s="261"/>
      <c r="C1167" s="261"/>
      <c r="H1167" s="265"/>
    </row>
    <row r="1168" spans="1:10" ht="13.5" thickBot="1" x14ac:dyDescent="0.25">
      <c r="A1168" s="349"/>
      <c r="D1168" s="269" t="s">
        <v>572</v>
      </c>
      <c r="E1168" s="276">
        <f>ROUNDUP(D1166,0)</f>
        <v>5177</v>
      </c>
      <c r="F1168" s="271" t="s">
        <v>38</v>
      </c>
      <c r="H1168" s="265"/>
    </row>
    <row r="1169" spans="1:10" ht="13.5" thickBot="1" x14ac:dyDescent="0.25">
      <c r="A1169" s="350"/>
      <c r="B1169" s="266"/>
      <c r="C1169" s="266"/>
      <c r="D1169" s="266"/>
      <c r="E1169" s="266"/>
      <c r="F1169" s="266"/>
      <c r="G1169" s="266"/>
      <c r="H1169" s="267"/>
    </row>
    <row r="1170" spans="1:10" ht="12.75" customHeight="1" x14ac:dyDescent="0.2">
      <c r="A1170" s="342" t="str">
        <f>'A IV.A'!A146</f>
        <v>6.9</v>
      </c>
      <c r="B1170" s="484" t="str">
        <f>'A IV.A'!B146</f>
        <v>PINTURA DE TUBULAÇÕES ELEVADAS EM ESMALTE SINTÉTICO AZUL FRANÇA SOBRE FUNDO ANTICORROSIVO 2 DEMÃOS</v>
      </c>
      <c r="C1170" s="484"/>
      <c r="D1170" s="484"/>
      <c r="E1170" s="484"/>
      <c r="F1170" s="484"/>
      <c r="G1170" s="484"/>
      <c r="H1170" s="485"/>
    </row>
    <row r="1171" spans="1:10" x14ac:dyDescent="0.2">
      <c r="A1171" s="344"/>
      <c r="B1171" s="486"/>
      <c r="C1171" s="486"/>
      <c r="D1171" s="486"/>
      <c r="E1171" s="486"/>
      <c r="F1171" s="486"/>
      <c r="G1171" s="486"/>
      <c r="H1171" s="487"/>
    </row>
    <row r="1172" spans="1:10" x14ac:dyDescent="0.2">
      <c r="A1172" s="349"/>
      <c r="B1172" s="214"/>
      <c r="C1172" s="214"/>
      <c r="D1172" s="214"/>
      <c r="E1172" s="214"/>
      <c r="F1172" s="214"/>
      <c r="G1172" s="214"/>
      <c r="H1172" s="289"/>
    </row>
    <row r="1173" spans="1:10" x14ac:dyDescent="0.2">
      <c r="A1173" s="349"/>
      <c r="B1173" s="261"/>
      <c r="H1173" s="265"/>
    </row>
    <row r="1174" spans="1:10" x14ac:dyDescent="0.2">
      <c r="A1174" s="349"/>
      <c r="H1174" s="265"/>
    </row>
    <row r="1175" spans="1:10" x14ac:dyDescent="0.2">
      <c r="A1175" s="349"/>
      <c r="C1175" s="261" t="s">
        <v>624</v>
      </c>
      <c r="E1175" s="268">
        <v>766.7183</v>
      </c>
      <c r="H1175" s="265"/>
    </row>
    <row r="1176" spans="1:10" x14ac:dyDescent="0.2">
      <c r="A1176" s="349"/>
      <c r="H1176" s="265"/>
    </row>
    <row r="1177" spans="1:10" x14ac:dyDescent="0.2">
      <c r="A1177" s="349"/>
      <c r="C1177" t="s">
        <v>970</v>
      </c>
      <c r="E1177" s="268">
        <f>'[11]Estimativa de Preços'!$AH$20</f>
        <v>437.5</v>
      </c>
      <c r="H1177" s="265"/>
      <c r="J1177">
        <v>214.18</v>
      </c>
    </row>
    <row r="1178" spans="1:10" ht="13.5" thickBot="1" x14ac:dyDescent="0.25">
      <c r="A1178" s="349"/>
      <c r="H1178" s="265"/>
    </row>
    <row r="1179" spans="1:10" ht="13.5" thickBot="1" x14ac:dyDescent="0.25">
      <c r="A1179" s="349"/>
      <c r="D1179" s="269" t="s">
        <v>572</v>
      </c>
      <c r="E1179" s="276">
        <f>ROUNDUP(E1177,0)</f>
        <v>438</v>
      </c>
      <c r="F1179" s="271" t="s">
        <v>38</v>
      </c>
      <c r="H1179" s="265"/>
    </row>
    <row r="1180" spans="1:10" ht="13.5" thickBot="1" x14ac:dyDescent="0.25">
      <c r="A1180" s="350"/>
      <c r="B1180" s="266"/>
      <c r="C1180" s="266"/>
      <c r="D1180" s="266"/>
      <c r="E1180" s="266"/>
      <c r="F1180" s="266"/>
      <c r="G1180" s="266"/>
      <c r="H1180" s="267"/>
    </row>
    <row r="1181" spans="1:10" x14ac:dyDescent="0.2">
      <c r="A1181" s="342" t="str">
        <f>'A IV.A'!A147</f>
        <v>6.10</v>
      </c>
      <c r="B1181" s="484" t="str">
        <f>'A IV.A'!B147</f>
        <v>PINTURA ESMALTE SINTÉTICO SOBRE FUNDO ANTICORROSIVO EM ESCADA/GRADIL, 2 DEMÃOS</v>
      </c>
      <c r="C1181" s="484"/>
      <c r="D1181" s="484"/>
      <c r="E1181" s="484"/>
      <c r="F1181" s="484"/>
      <c r="G1181" s="484"/>
      <c r="H1181" s="485"/>
    </row>
    <row r="1182" spans="1:10" x14ac:dyDescent="0.2">
      <c r="A1182" s="344"/>
      <c r="B1182" s="486"/>
      <c r="C1182" s="486"/>
      <c r="D1182" s="486"/>
      <c r="E1182" s="486"/>
      <c r="F1182" s="486"/>
      <c r="G1182" s="486"/>
      <c r="H1182" s="487"/>
    </row>
    <row r="1183" spans="1:10" x14ac:dyDescent="0.2">
      <c r="A1183" s="349"/>
      <c r="H1183" s="265"/>
    </row>
    <row r="1184" spans="1:10" x14ac:dyDescent="0.2">
      <c r="A1184" s="349"/>
      <c r="B1184" s="261" t="s">
        <v>981</v>
      </c>
      <c r="D1184" s="268">
        <v>983.37</v>
      </c>
      <c r="H1184" s="265"/>
    </row>
    <row r="1185" spans="1:10" x14ac:dyDescent="0.2">
      <c r="A1185" s="349"/>
      <c r="B1185" s="261"/>
      <c r="D1185" s="268"/>
      <c r="H1185" s="265"/>
    </row>
    <row r="1186" spans="1:10" x14ac:dyDescent="0.2">
      <c r="A1186" s="349"/>
      <c r="B1186" s="261" t="s">
        <v>970</v>
      </c>
      <c r="D1186" s="268">
        <f>'[11]Estimativa de Preços'!$AH$21</f>
        <v>640</v>
      </c>
      <c r="H1186" s="265"/>
      <c r="J1186">
        <v>109.15</v>
      </c>
    </row>
    <row r="1187" spans="1:10" ht="13.5" thickBot="1" x14ac:dyDescent="0.25">
      <c r="A1187" s="349"/>
      <c r="H1187" s="265"/>
    </row>
    <row r="1188" spans="1:10" ht="13.5" thickBot="1" x14ac:dyDescent="0.25">
      <c r="A1188" s="349"/>
      <c r="D1188" s="269" t="s">
        <v>572</v>
      </c>
      <c r="E1188" s="276">
        <f>ROUNDUP(D1186,0)</f>
        <v>640</v>
      </c>
      <c r="F1188" s="271" t="s">
        <v>36</v>
      </c>
      <c r="H1188" s="265"/>
    </row>
    <row r="1189" spans="1:10" ht="13.5" thickBot="1" x14ac:dyDescent="0.25">
      <c r="A1189" s="350"/>
      <c r="B1189" s="266"/>
      <c r="C1189" s="266"/>
      <c r="D1189" s="266"/>
      <c r="E1189" s="266"/>
      <c r="F1189" s="266"/>
      <c r="G1189" s="266"/>
      <c r="H1189" s="267"/>
    </row>
    <row r="1190" spans="1:10" ht="12.75" customHeight="1" x14ac:dyDescent="0.2">
      <c r="A1190" s="342" t="str">
        <f>'A IV.A'!A148</f>
        <v>6.11</v>
      </c>
      <c r="B1190" s="466" t="str">
        <f>'A IV.A'!B148</f>
        <v>PINTURA HIDROFUGANTE A BASE DE SILICONE, INCOLOR, 1 DEMÃO</v>
      </c>
      <c r="C1190" s="466"/>
      <c r="D1190" s="466"/>
      <c r="E1190" s="466"/>
      <c r="F1190" s="466"/>
      <c r="G1190" s="466"/>
      <c r="H1190" s="467"/>
    </row>
    <row r="1191" spans="1:10" x14ac:dyDescent="0.2">
      <c r="A1191" s="349"/>
      <c r="H1191" s="265"/>
    </row>
    <row r="1192" spans="1:10" ht="13.5" thickBot="1" x14ac:dyDescent="0.25">
      <c r="A1192" s="349"/>
      <c r="B1192" s="261" t="s">
        <v>579</v>
      </c>
      <c r="H1192" s="265"/>
    </row>
    <row r="1193" spans="1:10" ht="13.5" thickBot="1" x14ac:dyDescent="0.25">
      <c r="A1193" s="349"/>
      <c r="D1193" s="269" t="s">
        <v>572</v>
      </c>
      <c r="E1193" s="276">
        <v>50</v>
      </c>
      <c r="F1193" s="271" t="s">
        <v>38</v>
      </c>
      <c r="H1193" s="265"/>
    </row>
    <row r="1194" spans="1:10" ht="13.5" thickBot="1" x14ac:dyDescent="0.25">
      <c r="A1194" s="350"/>
      <c r="B1194" s="266"/>
      <c r="C1194" s="266"/>
      <c r="D1194" s="266"/>
      <c r="E1194" s="266"/>
      <c r="F1194" s="266"/>
      <c r="G1194" s="266"/>
      <c r="H1194" s="267"/>
    </row>
    <row r="1195" spans="1:10" ht="12.75" customHeight="1" x14ac:dyDescent="0.2">
      <c r="A1195" s="342" t="str">
        <f>'A IV.A'!A149</f>
        <v>6.12</v>
      </c>
      <c r="B1195" s="474" t="str">
        <f>'A IV.A'!B149</f>
        <v>PINTURA COM TINTA EPOXI, DUAS DEMÃOS</v>
      </c>
      <c r="C1195" s="474"/>
      <c r="D1195" s="474"/>
      <c r="E1195" s="474"/>
      <c r="F1195" s="474"/>
      <c r="G1195" s="474"/>
      <c r="H1195" s="475"/>
    </row>
    <row r="1196" spans="1:10" x14ac:dyDescent="0.2">
      <c r="A1196" s="349"/>
      <c r="H1196" s="265"/>
    </row>
    <row r="1197" spans="1:10" ht="13.5" thickBot="1" x14ac:dyDescent="0.25">
      <c r="A1197" s="349"/>
      <c r="B1197" s="261" t="s">
        <v>579</v>
      </c>
      <c r="H1197" s="265"/>
    </row>
    <row r="1198" spans="1:10" ht="13.5" thickBot="1" x14ac:dyDescent="0.25">
      <c r="A1198" s="349"/>
      <c r="D1198" s="269" t="s">
        <v>572</v>
      </c>
      <c r="E1198" s="276">
        <v>50</v>
      </c>
      <c r="F1198" s="271" t="s">
        <v>38</v>
      </c>
      <c r="H1198" s="265"/>
    </row>
    <row r="1199" spans="1:10" ht="13.5" thickBot="1" x14ac:dyDescent="0.25">
      <c r="A1199" s="350"/>
      <c r="B1199" s="266"/>
      <c r="C1199" s="266"/>
      <c r="D1199" s="266"/>
      <c r="E1199" s="266"/>
      <c r="F1199" s="266"/>
      <c r="G1199" s="266"/>
      <c r="H1199" s="267"/>
    </row>
    <row r="1200" spans="1:10" ht="12.75" customHeight="1" x14ac:dyDescent="0.2">
      <c r="A1200" s="342" t="str">
        <f>'A IV.A'!A150</f>
        <v>6.13</v>
      </c>
      <c r="B1200" s="466" t="str">
        <f>'A IV.A'!B150</f>
        <v>PINTURA DO LOGOTIPO “SEMAE“ NA FACE DO RESERVATÓRIO</v>
      </c>
      <c r="C1200" s="466"/>
      <c r="D1200" s="466"/>
      <c r="E1200" s="466"/>
      <c r="F1200" s="466"/>
      <c r="G1200" s="466"/>
      <c r="H1200" s="467"/>
    </row>
    <row r="1201" spans="1:10" x14ac:dyDescent="0.2">
      <c r="A1201" s="349"/>
      <c r="H1201" s="265"/>
    </row>
    <row r="1202" spans="1:10" x14ac:dyDescent="0.2">
      <c r="A1202" s="349"/>
      <c r="B1202" s="261" t="s">
        <v>970</v>
      </c>
      <c r="D1202" s="275">
        <f>'[11]Estimativa de Preços'!$AH$24</f>
        <v>73</v>
      </c>
      <c r="H1202" s="265"/>
    </row>
    <row r="1203" spans="1:10" ht="13.5" thickBot="1" x14ac:dyDescent="0.25">
      <c r="A1203" s="349"/>
      <c r="H1203" s="265"/>
    </row>
    <row r="1204" spans="1:10" ht="13.5" thickBot="1" x14ac:dyDescent="0.25">
      <c r="A1204" s="349"/>
      <c r="D1204" s="269" t="s">
        <v>572</v>
      </c>
      <c r="E1204" s="276">
        <f>D1202</f>
        <v>73</v>
      </c>
      <c r="F1204" s="271" t="s">
        <v>448</v>
      </c>
      <c r="H1204" s="265"/>
    </row>
    <row r="1205" spans="1:10" x14ac:dyDescent="0.2">
      <c r="A1205" s="350"/>
      <c r="B1205" s="266"/>
      <c r="C1205" s="266"/>
      <c r="D1205" s="266"/>
      <c r="E1205" s="266"/>
      <c r="F1205" s="266"/>
      <c r="G1205" s="266"/>
      <c r="H1205" s="267"/>
    </row>
    <row r="1206" spans="1:10" x14ac:dyDescent="0.2">
      <c r="A1206" s="342" t="str">
        <f>'A IV.A'!A151</f>
        <v>6.14</v>
      </c>
      <c r="B1206" s="262" t="str">
        <f>'A IV.A'!B151</f>
        <v>PINTURA DA LOGOMARCA DO MUNICÍPIO DE SÃO JOSÉ DO RIO PRETO E NOME DO SISTEMA</v>
      </c>
      <c r="C1206" s="262"/>
      <c r="D1206" s="262"/>
      <c r="E1206" s="262"/>
      <c r="F1206" s="262"/>
      <c r="G1206" s="262"/>
      <c r="H1206" s="273"/>
    </row>
    <row r="1207" spans="1:10" x14ac:dyDescent="0.2">
      <c r="A1207" s="349"/>
      <c r="H1207" s="265"/>
    </row>
    <row r="1208" spans="1:10" x14ac:dyDescent="0.2">
      <c r="A1208" s="349"/>
      <c r="B1208" s="261" t="s">
        <v>968</v>
      </c>
      <c r="D1208" s="275">
        <f>'[11]Estimativa de Preços'!$AH$25</f>
        <v>64</v>
      </c>
      <c r="H1208" s="265"/>
    </row>
    <row r="1209" spans="1:10" ht="13.5" thickBot="1" x14ac:dyDescent="0.25">
      <c r="A1209" s="349"/>
      <c r="H1209" s="265"/>
    </row>
    <row r="1210" spans="1:10" ht="13.5" thickBot="1" x14ac:dyDescent="0.25">
      <c r="A1210" s="349"/>
      <c r="D1210" s="269" t="s">
        <v>572</v>
      </c>
      <c r="E1210" s="276">
        <f>D1208</f>
        <v>64</v>
      </c>
      <c r="F1210" s="271" t="s">
        <v>448</v>
      </c>
      <c r="H1210" s="265"/>
    </row>
    <row r="1211" spans="1:10" ht="13.5" thickBot="1" x14ac:dyDescent="0.25">
      <c r="A1211" s="350"/>
      <c r="B1211" s="266"/>
      <c r="C1211" s="266"/>
      <c r="D1211" s="266"/>
      <c r="E1211" s="266"/>
      <c r="F1211" s="266"/>
      <c r="G1211" s="266"/>
      <c r="H1211" s="267"/>
    </row>
    <row r="1212" spans="1:10" x14ac:dyDescent="0.2">
      <c r="A1212" s="342" t="str">
        <f>'A IV.A'!A152</f>
        <v>6.15</v>
      </c>
      <c r="B1212" s="262" t="str">
        <f>'A IV.A'!B152</f>
        <v>PINTURA DE PISO NA COR GRAFITE, DUAS DEMÃOS</v>
      </c>
      <c r="C1212" s="262"/>
      <c r="D1212" s="262"/>
      <c r="E1212" s="262"/>
      <c r="F1212" s="262"/>
      <c r="G1212" s="262"/>
      <c r="H1212" s="273"/>
    </row>
    <row r="1213" spans="1:10" x14ac:dyDescent="0.2">
      <c r="A1213" s="349"/>
      <c r="H1213" s="265"/>
    </row>
    <row r="1214" spans="1:10" x14ac:dyDescent="0.2">
      <c r="A1214" s="349"/>
      <c r="B1214" s="261" t="s">
        <v>970</v>
      </c>
      <c r="C1214" s="261"/>
      <c r="D1214" s="275">
        <f>'[11]Estimativa de Preços'!$AH$26</f>
        <v>3053.75</v>
      </c>
      <c r="H1214" s="265"/>
      <c r="J1214">
        <v>1262.82</v>
      </c>
    </row>
    <row r="1215" spans="1:10" x14ac:dyDescent="0.2">
      <c r="A1215" s="349"/>
      <c r="H1215" s="265"/>
    </row>
    <row r="1216" spans="1:10" x14ac:dyDescent="0.2">
      <c r="A1216" s="349"/>
      <c r="B1216" s="261" t="s">
        <v>1113</v>
      </c>
      <c r="D1216" s="268">
        <f>'[9]Mem Global'!$G$7680</f>
        <v>279.60000000000002</v>
      </c>
      <c r="H1216" s="265"/>
    </row>
    <row r="1217" spans="1:10" ht="13.5" thickBot="1" x14ac:dyDescent="0.25">
      <c r="A1217" s="349"/>
      <c r="H1217" s="265"/>
    </row>
    <row r="1218" spans="1:10" ht="13.5" thickBot="1" x14ac:dyDescent="0.25">
      <c r="A1218" s="349"/>
      <c r="D1218" s="269" t="s">
        <v>572</v>
      </c>
      <c r="E1218" s="276">
        <f>ROUNDUP(D1214+D1216,0)</f>
        <v>3334</v>
      </c>
      <c r="F1218" s="271" t="s">
        <v>36</v>
      </c>
      <c r="H1218" s="265"/>
    </row>
    <row r="1219" spans="1:10" ht="13.5" thickBot="1" x14ac:dyDescent="0.25">
      <c r="A1219" s="349"/>
      <c r="H1219" s="265"/>
    </row>
    <row r="1220" spans="1:10" x14ac:dyDescent="0.2">
      <c r="A1220" s="342" t="str">
        <f>'A IV.A'!A153</f>
        <v>6.16</v>
      </c>
      <c r="B1220" s="262" t="str">
        <f>'A IV.A'!B153</f>
        <v>PINTURA TIPO CAIAÇÃO DE GUIAS</v>
      </c>
      <c r="C1220" s="262"/>
      <c r="D1220" s="262"/>
      <c r="E1220" s="262"/>
      <c r="F1220" s="262"/>
      <c r="G1220" s="262"/>
      <c r="H1220" s="273"/>
    </row>
    <row r="1221" spans="1:10" x14ac:dyDescent="0.2">
      <c r="A1221" s="349"/>
      <c r="H1221" s="265"/>
    </row>
    <row r="1222" spans="1:10" x14ac:dyDescent="0.2">
      <c r="A1222" s="349"/>
      <c r="B1222" s="261" t="s">
        <v>970</v>
      </c>
      <c r="C1222" s="261"/>
      <c r="D1222" s="275">
        <f>'[11]Estimativa de Preços'!$AH$27</f>
        <v>4351.25</v>
      </c>
      <c r="H1222" s="265"/>
      <c r="J1222">
        <f>1318.55*K2+(4*80)</f>
        <v>2429.6799999999998</v>
      </c>
    </row>
    <row r="1223" spans="1:10" x14ac:dyDescent="0.2">
      <c r="A1223" s="349"/>
      <c r="H1223" s="265"/>
    </row>
    <row r="1224" spans="1:10" hidden="1" x14ac:dyDescent="0.2">
      <c r="A1224" s="349"/>
      <c r="B1224" s="261" t="s">
        <v>624</v>
      </c>
      <c r="D1224" s="268">
        <f>8075.7</f>
        <v>8075.7</v>
      </c>
      <c r="H1224" s="265"/>
    </row>
    <row r="1225" spans="1:10" ht="13.5" thickBot="1" x14ac:dyDescent="0.25">
      <c r="A1225" s="349"/>
      <c r="H1225" s="265"/>
    </row>
    <row r="1226" spans="1:10" ht="13.5" thickBot="1" x14ac:dyDescent="0.25">
      <c r="A1226" s="349"/>
      <c r="D1226" s="269" t="s">
        <v>572</v>
      </c>
      <c r="E1226" s="276">
        <f>ROUNDUP(D1222,0)</f>
        <v>4352</v>
      </c>
      <c r="F1226" s="271" t="s">
        <v>36</v>
      </c>
      <c r="H1226" s="265"/>
    </row>
    <row r="1227" spans="1:10" ht="13.5" thickBot="1" x14ac:dyDescent="0.25">
      <c r="A1227" s="350"/>
      <c r="B1227" s="266"/>
      <c r="C1227" s="266"/>
      <c r="D1227" s="266"/>
      <c r="E1227" s="266"/>
      <c r="F1227" s="266"/>
      <c r="G1227" s="266"/>
      <c r="H1227" s="267"/>
    </row>
    <row r="1228" spans="1:10" ht="13.5" thickBot="1" x14ac:dyDescent="0.25">
      <c r="A1228" s="346" t="str">
        <f>'A IV.A'!A155</f>
        <v>7.0</v>
      </c>
      <c r="B1228" s="279" t="str">
        <f>'A IV.A'!B155</f>
        <v>SERVIÇOS COMPLEMENTARES - ITEM 12.0 DO TERMO DE REFERÊNCIA</v>
      </c>
      <c r="C1228" s="279"/>
      <c r="D1228" s="279"/>
      <c r="E1228" s="279"/>
      <c r="F1228" s="279"/>
      <c r="G1228" s="279"/>
      <c r="H1228" s="271"/>
    </row>
    <row r="1229" spans="1:10" x14ac:dyDescent="0.2">
      <c r="A1229" s="342" t="e">
        <f>'A IV.A'!#REF!</f>
        <v>#REF!</v>
      </c>
      <c r="B1229" s="466" t="e">
        <f>'A IV.A'!#REF!</f>
        <v>#REF!</v>
      </c>
      <c r="C1229" s="466"/>
      <c r="D1229" s="466"/>
      <c r="E1229" s="466"/>
      <c r="F1229" s="466"/>
      <c r="G1229" s="466"/>
      <c r="H1229" s="467"/>
    </row>
    <row r="1230" spans="1:10" x14ac:dyDescent="0.2">
      <c r="A1230" s="344"/>
      <c r="B1230" s="468"/>
      <c r="C1230" s="468"/>
      <c r="D1230" s="468"/>
      <c r="E1230" s="468"/>
      <c r="F1230" s="468"/>
      <c r="G1230" s="468"/>
      <c r="H1230" s="469"/>
    </row>
    <row r="1231" spans="1:10" x14ac:dyDescent="0.2">
      <c r="A1231" s="349"/>
      <c r="H1231" s="265"/>
    </row>
    <row r="1232" spans="1:10" hidden="1" x14ac:dyDescent="0.2">
      <c r="A1232" s="349"/>
      <c r="B1232" s="261"/>
      <c r="E1232" s="275"/>
      <c r="H1232" s="265"/>
    </row>
    <row r="1233" spans="1:8" x14ac:dyDescent="0.2">
      <c r="A1233" s="349"/>
      <c r="B1233" s="261"/>
      <c r="E1233" s="268"/>
      <c r="H1233" s="265"/>
    </row>
    <row r="1234" spans="1:8" x14ac:dyDescent="0.2">
      <c r="A1234" s="349"/>
      <c r="B1234" s="261" t="s">
        <v>970</v>
      </c>
      <c r="E1234" s="268">
        <v>50</v>
      </c>
      <c r="H1234" s="265"/>
    </row>
    <row r="1235" spans="1:8" x14ac:dyDescent="0.2">
      <c r="A1235" s="349"/>
      <c r="B1235" s="261"/>
      <c r="E1235" s="268"/>
      <c r="H1235" s="265"/>
    </row>
    <row r="1236" spans="1:8" hidden="1" x14ac:dyDescent="0.2">
      <c r="A1236" s="349"/>
      <c r="E1236" s="275">
        <f>SUM(E1232:E1235)</f>
        <v>50</v>
      </c>
      <c r="H1236" s="265"/>
    </row>
    <row r="1237" spans="1:8" ht="13.5" thickBot="1" x14ac:dyDescent="0.25">
      <c r="A1237" s="349"/>
      <c r="H1237" s="265"/>
    </row>
    <row r="1238" spans="1:8" ht="13.5" thickBot="1" x14ac:dyDescent="0.25">
      <c r="A1238" s="349"/>
      <c r="D1238" s="269" t="s">
        <v>572</v>
      </c>
      <c r="E1238" s="276">
        <f>E1234</f>
        <v>50</v>
      </c>
      <c r="F1238" s="271" t="s">
        <v>38</v>
      </c>
      <c r="H1238" s="265"/>
    </row>
    <row r="1239" spans="1:8" ht="13.5" thickBot="1" x14ac:dyDescent="0.25">
      <c r="A1239" s="350"/>
      <c r="B1239" s="266"/>
      <c r="C1239" s="266"/>
      <c r="D1239" s="266"/>
      <c r="E1239" s="266"/>
      <c r="F1239" s="266"/>
      <c r="G1239" s="266"/>
      <c r="H1239" s="267"/>
    </row>
    <row r="1240" spans="1:8" x14ac:dyDescent="0.2">
      <c r="A1240" s="342" t="str">
        <f>'A IV.A'!A157</f>
        <v>7.1</v>
      </c>
      <c r="B1240" s="466" t="str">
        <f>'A IV.A'!B157</f>
        <v>FORNECIMENTO E INSTALAÇÃO DE LONA PLASTICA PRETA PARA IMPERMEABILIZAÇÃO</v>
      </c>
      <c r="C1240" s="466"/>
      <c r="D1240" s="466"/>
      <c r="E1240" s="466"/>
      <c r="F1240" s="466"/>
      <c r="G1240" s="466"/>
      <c r="H1240" s="467"/>
    </row>
    <row r="1241" spans="1:8" x14ac:dyDescent="0.2">
      <c r="A1241" s="344"/>
      <c r="B1241" s="468"/>
      <c r="C1241" s="468"/>
      <c r="D1241" s="468"/>
      <c r="E1241" s="468"/>
      <c r="F1241" s="468"/>
      <c r="G1241" s="468"/>
      <c r="H1241" s="469"/>
    </row>
    <row r="1242" spans="1:8" x14ac:dyDescent="0.2">
      <c r="A1242" s="349"/>
      <c r="H1242" s="265"/>
    </row>
    <row r="1243" spans="1:8" x14ac:dyDescent="0.2">
      <c r="A1243" s="349"/>
      <c r="B1243" s="261" t="s">
        <v>991</v>
      </c>
      <c r="D1243" s="268">
        <v>150</v>
      </c>
      <c r="H1243" s="265"/>
    </row>
    <row r="1244" spans="1:8" ht="13.5" thickBot="1" x14ac:dyDescent="0.25">
      <c r="A1244" s="349"/>
      <c r="H1244" s="265"/>
    </row>
    <row r="1245" spans="1:8" ht="13.5" thickBot="1" x14ac:dyDescent="0.25">
      <c r="A1245" s="349"/>
      <c r="D1245" s="269" t="s">
        <v>572</v>
      </c>
      <c r="E1245" s="276">
        <f>D1243</f>
        <v>150</v>
      </c>
      <c r="F1245" s="271" t="s">
        <v>38</v>
      </c>
      <c r="H1245" s="265"/>
    </row>
    <row r="1246" spans="1:8" ht="13.5" thickBot="1" x14ac:dyDescent="0.25">
      <c r="A1246" s="350"/>
      <c r="B1246" s="266"/>
      <c r="C1246" s="266"/>
      <c r="D1246" s="266"/>
      <c r="E1246" s="266"/>
      <c r="F1246" s="266"/>
      <c r="G1246" s="266"/>
      <c r="H1246" s="267"/>
    </row>
    <row r="1247" spans="1:8" x14ac:dyDescent="0.2">
      <c r="A1247" s="342" t="str">
        <f>'A IV.A'!A158</f>
        <v>7.2</v>
      </c>
      <c r="B1247" s="466" t="str">
        <f>'A IV.A'!B158</f>
        <v>FORNECIMENTO E LANÇAMENTO DE ELETRODUTO FLEXÍVEL CORRUGADO REFORÇADO, PVC, DN 25 MM (3/4")</v>
      </c>
      <c r="C1247" s="466"/>
      <c r="D1247" s="466"/>
      <c r="E1247" s="466"/>
      <c r="F1247" s="466"/>
      <c r="G1247" s="466"/>
      <c r="H1247" s="467"/>
    </row>
    <row r="1248" spans="1:8" x14ac:dyDescent="0.2">
      <c r="A1248" s="344"/>
      <c r="B1248" s="468"/>
      <c r="C1248" s="468"/>
      <c r="D1248" s="468"/>
      <c r="E1248" s="468"/>
      <c r="F1248" s="468"/>
      <c r="G1248" s="468"/>
      <c r="H1248" s="469"/>
    </row>
    <row r="1249" spans="1:8" x14ac:dyDescent="0.2">
      <c r="A1249" s="349"/>
      <c r="H1249" s="265"/>
    </row>
    <row r="1250" spans="1:8" x14ac:dyDescent="0.2">
      <c r="A1250" s="349"/>
      <c r="B1250" s="261" t="s">
        <v>1000</v>
      </c>
      <c r="D1250" s="268">
        <v>70</v>
      </c>
      <c r="H1250" s="265"/>
    </row>
    <row r="1251" spans="1:8" ht="13.5" thickBot="1" x14ac:dyDescent="0.25">
      <c r="A1251" s="349"/>
      <c r="H1251" s="265"/>
    </row>
    <row r="1252" spans="1:8" ht="13.5" thickBot="1" x14ac:dyDescent="0.25">
      <c r="A1252" s="349"/>
      <c r="D1252" s="269" t="s">
        <v>572</v>
      </c>
      <c r="E1252" s="276">
        <f>D1250</f>
        <v>70</v>
      </c>
      <c r="F1252" s="271" t="s">
        <v>36</v>
      </c>
      <c r="H1252" s="265"/>
    </row>
    <row r="1253" spans="1:8" ht="13.5" thickBot="1" x14ac:dyDescent="0.25">
      <c r="A1253" s="350"/>
      <c r="B1253" s="266"/>
      <c r="C1253" s="266"/>
      <c r="D1253" s="266"/>
      <c r="E1253" s="266"/>
      <c r="F1253" s="266"/>
      <c r="G1253" s="266"/>
      <c r="H1253" s="267"/>
    </row>
    <row r="1254" spans="1:8" x14ac:dyDescent="0.2">
      <c r="A1254" s="342" t="str">
        <f>'A IV.A'!A159</f>
        <v>7.3</v>
      </c>
      <c r="B1254" s="466" t="str">
        <f>'A IV.A'!B159</f>
        <v>FORNECIMENTO E LANÇAMENTO DE ELETRODUTO FLEXÍVEL CORRUGADO REFORÇADO, PVC, DN 32 MM (1")</v>
      </c>
      <c r="C1254" s="466"/>
      <c r="D1254" s="466"/>
      <c r="E1254" s="466"/>
      <c r="F1254" s="466"/>
      <c r="G1254" s="466"/>
      <c r="H1254" s="467"/>
    </row>
    <row r="1255" spans="1:8" x14ac:dyDescent="0.2">
      <c r="A1255" s="344"/>
      <c r="B1255" s="468"/>
      <c r="C1255" s="468"/>
      <c r="D1255" s="468"/>
      <c r="E1255" s="468"/>
      <c r="F1255" s="468"/>
      <c r="G1255" s="468"/>
      <c r="H1255" s="469"/>
    </row>
    <row r="1256" spans="1:8" x14ac:dyDescent="0.2">
      <c r="A1256" s="349"/>
      <c r="H1256" s="265"/>
    </row>
    <row r="1257" spans="1:8" x14ac:dyDescent="0.2">
      <c r="A1257" s="349"/>
      <c r="B1257" s="261" t="s">
        <v>970</v>
      </c>
      <c r="D1257" s="268">
        <v>50</v>
      </c>
      <c r="H1257" s="265"/>
    </row>
    <row r="1258" spans="1:8" ht="13.5" thickBot="1" x14ac:dyDescent="0.25">
      <c r="A1258" s="349"/>
      <c r="H1258" s="265"/>
    </row>
    <row r="1259" spans="1:8" ht="13.5" thickBot="1" x14ac:dyDescent="0.25">
      <c r="A1259" s="349"/>
      <c r="D1259" s="269" t="s">
        <v>572</v>
      </c>
      <c r="E1259" s="276">
        <f>D1257</f>
        <v>50</v>
      </c>
      <c r="F1259" s="271" t="s">
        <v>36</v>
      </c>
      <c r="H1259" s="265"/>
    </row>
    <row r="1260" spans="1:8" ht="13.5" thickBot="1" x14ac:dyDescent="0.25">
      <c r="A1260" s="350"/>
      <c r="B1260" s="266"/>
      <c r="C1260" s="266"/>
      <c r="D1260" s="266"/>
      <c r="E1260" s="266"/>
      <c r="F1260" s="266"/>
      <c r="G1260" s="266"/>
      <c r="H1260" s="267"/>
    </row>
    <row r="1261" spans="1:8" x14ac:dyDescent="0.2">
      <c r="A1261" s="342" t="str">
        <f>'A IV.A'!A160</f>
        <v>7.4</v>
      </c>
      <c r="B1261" s="466" t="str">
        <f>'A IV.A'!B160</f>
        <v>FORNECIMENTO E LANÇAMENTO DE ELETRODUTO FLEXÍVEL CORRUGADO, PEAD, DN 50 (1 1/2")</v>
      </c>
      <c r="C1261" s="466"/>
      <c r="D1261" s="466"/>
      <c r="E1261" s="466"/>
      <c r="F1261" s="466"/>
      <c r="G1261" s="466"/>
      <c r="H1261" s="467"/>
    </row>
    <row r="1262" spans="1:8" x14ac:dyDescent="0.2">
      <c r="A1262" s="344"/>
      <c r="B1262" s="468"/>
      <c r="C1262" s="468"/>
      <c r="D1262" s="468"/>
      <c r="E1262" s="468"/>
      <c r="F1262" s="468"/>
      <c r="G1262" s="468"/>
      <c r="H1262" s="469"/>
    </row>
    <row r="1263" spans="1:8" x14ac:dyDescent="0.2">
      <c r="A1263" s="349"/>
      <c r="H1263" s="265"/>
    </row>
    <row r="1264" spans="1:8" hidden="1" x14ac:dyDescent="0.2">
      <c r="A1264" s="349"/>
      <c r="B1264" s="261" t="s">
        <v>632</v>
      </c>
      <c r="E1264" s="275"/>
      <c r="H1264" s="265"/>
    </row>
    <row r="1265" spans="1:8" hidden="1" x14ac:dyDescent="0.2">
      <c r="A1265" s="349"/>
      <c r="B1265" s="261" t="s">
        <v>633</v>
      </c>
      <c r="E1265" s="268"/>
      <c r="H1265" s="265"/>
    </row>
    <row r="1266" spans="1:8" hidden="1" x14ac:dyDescent="0.2">
      <c r="A1266" s="349"/>
      <c r="B1266" s="261" t="s">
        <v>634</v>
      </c>
      <c r="E1266" s="268">
        <f>'[10]Abrigos elétrica maior'!$R$20</f>
        <v>14.4</v>
      </c>
      <c r="H1266" s="265"/>
    </row>
    <row r="1267" spans="1:8" hidden="1" x14ac:dyDescent="0.2">
      <c r="A1267" s="349"/>
      <c r="B1267" s="261" t="s">
        <v>621</v>
      </c>
      <c r="E1267" s="268">
        <f>'[10]Casas C-F'!$S$28</f>
        <v>108</v>
      </c>
      <c r="H1267" s="265"/>
    </row>
    <row r="1268" spans="1:8" hidden="1" x14ac:dyDescent="0.2">
      <c r="A1268" s="349"/>
      <c r="B1268" s="261" t="s">
        <v>622</v>
      </c>
      <c r="E1268" s="268"/>
      <c r="H1268" s="265"/>
    </row>
    <row r="1269" spans="1:8" x14ac:dyDescent="0.2">
      <c r="A1269" s="349"/>
      <c r="B1269" s="261"/>
      <c r="E1269" s="268"/>
      <c r="H1269" s="265"/>
    </row>
    <row r="1270" spans="1:8" x14ac:dyDescent="0.2">
      <c r="A1270" s="349"/>
      <c r="B1270" s="261" t="s">
        <v>970</v>
      </c>
      <c r="E1270" s="275">
        <v>224</v>
      </c>
      <c r="H1270" s="265"/>
    </row>
    <row r="1271" spans="1:8" ht="13.5" thickBot="1" x14ac:dyDescent="0.25">
      <c r="A1271" s="349"/>
      <c r="E1271" s="275"/>
      <c r="H1271" s="265"/>
    </row>
    <row r="1272" spans="1:8" ht="13.5" thickBot="1" x14ac:dyDescent="0.25">
      <c r="A1272" s="349"/>
      <c r="D1272" s="269" t="s">
        <v>572</v>
      </c>
      <c r="E1272" s="276">
        <f>E1270</f>
        <v>224</v>
      </c>
      <c r="F1272" s="271" t="s">
        <v>36</v>
      </c>
      <c r="H1272" s="265"/>
    </row>
    <row r="1273" spans="1:8" ht="13.5" thickBot="1" x14ac:dyDescent="0.25">
      <c r="A1273" s="350"/>
      <c r="B1273" s="266"/>
      <c r="C1273" s="266"/>
      <c r="D1273" s="266"/>
      <c r="E1273" s="266"/>
      <c r="F1273" s="266"/>
      <c r="G1273" s="266"/>
      <c r="H1273" s="267"/>
    </row>
    <row r="1274" spans="1:8" x14ac:dyDescent="0.2">
      <c r="A1274" s="342" t="str">
        <f>'A IV.A'!A161</f>
        <v>7.5</v>
      </c>
      <c r="B1274" s="466" t="str">
        <f>'A IV.A'!B161</f>
        <v>FORNECIMENTO E LANÇAMENTO DE ELETRODUTO FLEXÍVEL CORRUGADO, PEAD, DN 63 (2")</v>
      </c>
      <c r="C1274" s="466"/>
      <c r="D1274" s="466"/>
      <c r="E1274" s="466"/>
      <c r="F1274" s="466"/>
      <c r="G1274" s="466"/>
      <c r="H1274" s="467"/>
    </row>
    <row r="1275" spans="1:8" x14ac:dyDescent="0.2">
      <c r="A1275" s="344"/>
      <c r="B1275" s="468"/>
      <c r="C1275" s="468"/>
      <c r="D1275" s="468"/>
      <c r="E1275" s="468"/>
      <c r="F1275" s="468"/>
      <c r="G1275" s="468"/>
      <c r="H1275" s="469"/>
    </row>
    <row r="1276" spans="1:8" x14ac:dyDescent="0.2">
      <c r="A1276" s="349"/>
      <c r="H1276" s="265"/>
    </row>
    <row r="1277" spans="1:8" x14ac:dyDescent="0.2">
      <c r="A1277" s="349"/>
      <c r="B1277" s="261" t="s">
        <v>970</v>
      </c>
      <c r="E1277" s="275">
        <v>125</v>
      </c>
      <c r="H1277" s="265"/>
    </row>
    <row r="1278" spans="1:8" ht="13.5" thickBot="1" x14ac:dyDescent="0.25">
      <c r="A1278" s="349"/>
      <c r="H1278" s="265"/>
    </row>
    <row r="1279" spans="1:8" ht="13.5" thickBot="1" x14ac:dyDescent="0.25">
      <c r="A1279" s="349"/>
      <c r="D1279" s="269" t="s">
        <v>572</v>
      </c>
      <c r="E1279" s="276">
        <v>125</v>
      </c>
      <c r="F1279" s="271" t="s">
        <v>36</v>
      </c>
      <c r="H1279" s="265"/>
    </row>
    <row r="1280" spans="1:8" ht="13.5" thickBot="1" x14ac:dyDescent="0.25">
      <c r="A1280" s="350"/>
      <c r="B1280" s="266"/>
      <c r="C1280" s="266"/>
      <c r="D1280" s="266"/>
      <c r="E1280" s="266"/>
      <c r="F1280" s="266"/>
      <c r="G1280" s="266"/>
      <c r="H1280" s="267"/>
    </row>
    <row r="1281" spans="1:8" x14ac:dyDescent="0.2">
      <c r="A1281" s="342" t="str">
        <f>'A IV.A'!A162</f>
        <v>7.6</v>
      </c>
      <c r="B1281" s="466" t="str">
        <f>'A IV.A'!B162</f>
        <v>FORNECIMENTO E INSTALAÇÃO DE CAIXA RETANGULAR 4"X2", DE EMBUTIR</v>
      </c>
      <c r="C1281" s="466"/>
      <c r="D1281" s="466"/>
      <c r="E1281" s="466"/>
      <c r="F1281" s="466"/>
      <c r="G1281" s="466"/>
      <c r="H1281" s="467"/>
    </row>
    <row r="1282" spans="1:8" x14ac:dyDescent="0.2">
      <c r="A1282" s="344"/>
      <c r="B1282" s="468"/>
      <c r="C1282" s="468"/>
      <c r="D1282" s="468"/>
      <c r="E1282" s="468"/>
      <c r="F1282" s="468"/>
      <c r="G1282" s="468"/>
      <c r="H1282" s="469"/>
    </row>
    <row r="1283" spans="1:8" x14ac:dyDescent="0.2">
      <c r="A1283" s="349"/>
      <c r="H1283" s="265"/>
    </row>
    <row r="1284" spans="1:8" x14ac:dyDescent="0.2">
      <c r="A1284" s="349"/>
      <c r="B1284" s="261" t="s">
        <v>970</v>
      </c>
      <c r="D1284" s="268">
        <v>100</v>
      </c>
      <c r="H1284" s="265"/>
    </row>
    <row r="1285" spans="1:8" x14ac:dyDescent="0.2">
      <c r="A1285" s="349"/>
      <c r="B1285" s="261"/>
      <c r="D1285" s="268"/>
      <c r="H1285" s="265"/>
    </row>
    <row r="1286" spans="1:8" x14ac:dyDescent="0.2">
      <c r="A1286" s="349"/>
      <c r="D1286" s="268"/>
      <c r="H1286" s="265"/>
    </row>
    <row r="1287" spans="1:8" ht="13.5" thickBot="1" x14ac:dyDescent="0.25">
      <c r="A1287" s="349"/>
      <c r="H1287" s="265"/>
    </row>
    <row r="1288" spans="1:8" ht="13.5" thickBot="1" x14ac:dyDescent="0.25">
      <c r="A1288" s="349"/>
      <c r="D1288" s="269" t="s">
        <v>572</v>
      </c>
      <c r="E1288" s="276">
        <f>D1284</f>
        <v>100</v>
      </c>
      <c r="F1288" s="271" t="s">
        <v>448</v>
      </c>
      <c r="H1288" s="265"/>
    </row>
    <row r="1289" spans="1:8" ht="13.5" thickBot="1" x14ac:dyDescent="0.25">
      <c r="A1289" s="350"/>
      <c r="B1289" s="266"/>
      <c r="C1289" s="266"/>
      <c r="D1289" s="266"/>
      <c r="E1289" s="266"/>
      <c r="F1289" s="266"/>
      <c r="G1289" s="266"/>
      <c r="H1289" s="267"/>
    </row>
    <row r="1290" spans="1:8" ht="13.5" thickBot="1" x14ac:dyDescent="0.25">
      <c r="A1290" s="342" t="str">
        <f>'A IV.A'!A163</f>
        <v>7.7</v>
      </c>
      <c r="B1290" s="262" t="str">
        <f>'A IV.A'!B163</f>
        <v>LOCAÇÃO DE ANDAIMES METÁLICOS TIPO TORRE</v>
      </c>
      <c r="C1290" s="262"/>
      <c r="D1290" s="262"/>
      <c r="E1290" s="262"/>
      <c r="F1290" s="262"/>
      <c r="G1290" s="262"/>
      <c r="H1290" s="273"/>
    </row>
    <row r="1291" spans="1:8" x14ac:dyDescent="0.2">
      <c r="A1291" s="342" t="str">
        <f>'A IV.A'!A164</f>
        <v>7.8</v>
      </c>
      <c r="B1291" s="466" t="str">
        <f>'A IV.A'!B164</f>
        <v>ANDAIMES METÁLICOS TIPO TORRE - MONTAGEM E DESMONTAGEM</v>
      </c>
      <c r="C1291" s="466"/>
      <c r="D1291" s="466"/>
      <c r="E1291" s="466"/>
      <c r="F1291" s="466"/>
      <c r="G1291" s="466"/>
      <c r="H1291" s="467"/>
    </row>
    <row r="1292" spans="1:8" x14ac:dyDescent="0.2">
      <c r="A1292" s="344"/>
      <c r="B1292" s="468"/>
      <c r="C1292" s="468"/>
      <c r="D1292" s="468"/>
      <c r="E1292" s="468"/>
      <c r="F1292" s="468"/>
      <c r="G1292" s="468"/>
      <c r="H1292" s="469"/>
    </row>
    <row r="1293" spans="1:8" x14ac:dyDescent="0.2">
      <c r="A1293" s="349"/>
      <c r="H1293" s="265"/>
    </row>
    <row r="1294" spans="1:8" ht="13.5" thickBot="1" x14ac:dyDescent="0.25">
      <c r="A1294" s="349"/>
      <c r="B1294" s="261" t="s">
        <v>579</v>
      </c>
      <c r="H1294" s="265"/>
    </row>
    <row r="1295" spans="1:8" ht="13.5" thickBot="1" x14ac:dyDescent="0.25">
      <c r="A1295" s="349"/>
      <c r="D1295" s="269" t="s">
        <v>572</v>
      </c>
      <c r="E1295" s="276">
        <v>150</v>
      </c>
      <c r="F1295" s="271" t="s">
        <v>589</v>
      </c>
      <c r="H1295" s="265"/>
    </row>
    <row r="1296" spans="1:8" ht="13.5" thickBot="1" x14ac:dyDescent="0.25">
      <c r="A1296" s="349"/>
      <c r="D1296" s="269" t="s">
        <v>572</v>
      </c>
      <c r="E1296" s="276">
        <v>150</v>
      </c>
      <c r="F1296" s="271" t="s">
        <v>36</v>
      </c>
      <c r="H1296" s="265"/>
    </row>
    <row r="1297" spans="1:8" ht="13.5" thickBot="1" x14ac:dyDescent="0.25">
      <c r="A1297" s="350"/>
      <c r="B1297" s="266"/>
      <c r="C1297" s="266"/>
      <c r="D1297" s="266"/>
      <c r="E1297" s="266"/>
      <c r="F1297" s="266"/>
      <c r="G1297" s="266"/>
      <c r="H1297" s="267"/>
    </row>
    <row r="1298" spans="1:8" ht="30" customHeight="1" x14ac:dyDescent="0.2">
      <c r="A1298" s="342" t="e">
        <f>'A IV.A'!#REF!</f>
        <v>#REF!</v>
      </c>
      <c r="B1298" s="466" t="e">
        <f>'A IV.A'!#REF!</f>
        <v>#REF!</v>
      </c>
      <c r="C1298" s="466"/>
      <c r="D1298" s="466"/>
      <c r="E1298" s="466"/>
      <c r="F1298" s="466"/>
      <c r="G1298" s="466"/>
      <c r="H1298" s="467"/>
    </row>
    <row r="1299" spans="1:8" x14ac:dyDescent="0.2">
      <c r="A1299" s="349"/>
      <c r="H1299" s="265"/>
    </row>
    <row r="1300" spans="1:8" x14ac:dyDescent="0.2">
      <c r="A1300" s="349"/>
      <c r="B1300" t="s">
        <v>970</v>
      </c>
      <c r="E1300" s="275">
        <v>2</v>
      </c>
      <c r="H1300" s="265"/>
    </row>
    <row r="1301" spans="1:8" ht="13.5" thickBot="1" x14ac:dyDescent="0.25">
      <c r="A1301" s="349"/>
      <c r="H1301" s="265"/>
    </row>
    <row r="1302" spans="1:8" ht="13.5" thickBot="1" x14ac:dyDescent="0.25">
      <c r="A1302" s="349"/>
      <c r="D1302" s="269" t="s">
        <v>572</v>
      </c>
      <c r="E1302" s="276">
        <v>2</v>
      </c>
      <c r="F1302" s="271" t="s">
        <v>1015</v>
      </c>
      <c r="H1302" s="265"/>
    </row>
    <row r="1303" spans="1:8" ht="13.5" thickBot="1" x14ac:dyDescent="0.25">
      <c r="A1303" s="349"/>
      <c r="H1303" s="265"/>
    </row>
    <row r="1304" spans="1:8" x14ac:dyDescent="0.2">
      <c r="A1304" s="342" t="e">
        <f>'A IV.A'!#REF!</f>
        <v>#REF!</v>
      </c>
      <c r="B1304" s="466" t="e">
        <f>'A IV.A'!#REF!</f>
        <v>#REF!</v>
      </c>
      <c r="C1304" s="466"/>
      <c r="D1304" s="466"/>
      <c r="E1304" s="466"/>
      <c r="F1304" s="466"/>
      <c r="G1304" s="466"/>
      <c r="H1304" s="467"/>
    </row>
    <row r="1305" spans="1:8" x14ac:dyDescent="0.2">
      <c r="A1305" s="349"/>
      <c r="H1305" s="265"/>
    </row>
    <row r="1306" spans="1:8" x14ac:dyDescent="0.2">
      <c r="A1306" s="349"/>
      <c r="B1306" t="s">
        <v>970</v>
      </c>
      <c r="E1306" s="275">
        <v>2</v>
      </c>
      <c r="H1306" s="265"/>
    </row>
    <row r="1307" spans="1:8" ht="13.5" thickBot="1" x14ac:dyDescent="0.25">
      <c r="A1307" s="349"/>
      <c r="H1307" s="265"/>
    </row>
    <row r="1308" spans="1:8" ht="13.5" thickBot="1" x14ac:dyDescent="0.25">
      <c r="A1308" s="349"/>
      <c r="D1308" s="269" t="s">
        <v>572</v>
      </c>
      <c r="E1308" s="276">
        <v>2</v>
      </c>
      <c r="F1308" s="271" t="s">
        <v>1015</v>
      </c>
      <c r="H1308" s="265"/>
    </row>
    <row r="1309" spans="1:8" ht="13.5" thickBot="1" x14ac:dyDescent="0.25">
      <c r="A1309" s="349"/>
      <c r="H1309" s="265"/>
    </row>
    <row r="1310" spans="1:8" ht="26.1" customHeight="1" x14ac:dyDescent="0.2">
      <c r="A1310" s="342" t="e">
        <f>'A IV.A'!#REF!</f>
        <v>#REF!</v>
      </c>
      <c r="B1310" s="484" t="e">
        <f>'A IV.A'!#REF!</f>
        <v>#REF!</v>
      </c>
      <c r="C1310" s="484"/>
      <c r="D1310" s="484"/>
      <c r="E1310" s="484"/>
      <c r="F1310" s="484"/>
      <c r="G1310" s="484"/>
      <c r="H1310" s="485"/>
    </row>
    <row r="1311" spans="1:8" x14ac:dyDescent="0.2">
      <c r="A1311" s="349"/>
      <c r="H1311" s="265"/>
    </row>
    <row r="1312" spans="1:8" x14ac:dyDescent="0.2">
      <c r="A1312" s="349"/>
      <c r="B1312" t="s">
        <v>970</v>
      </c>
      <c r="E1312" s="275">
        <v>3</v>
      </c>
      <c r="H1312" s="265"/>
    </row>
    <row r="1313" spans="1:8" ht="13.5" thickBot="1" x14ac:dyDescent="0.25">
      <c r="A1313" s="349"/>
      <c r="H1313" s="265"/>
    </row>
    <row r="1314" spans="1:8" ht="13.5" thickBot="1" x14ac:dyDescent="0.25">
      <c r="A1314" s="349"/>
      <c r="D1314" s="269" t="s">
        <v>572</v>
      </c>
      <c r="E1314" s="276">
        <v>3</v>
      </c>
      <c r="F1314" s="271" t="s">
        <v>1015</v>
      </c>
      <c r="H1314" s="265"/>
    </row>
    <row r="1315" spans="1:8" ht="13.5" thickBot="1" x14ac:dyDescent="0.25">
      <c r="A1315" s="349"/>
      <c r="H1315" s="265"/>
    </row>
    <row r="1316" spans="1:8" ht="12.75" customHeight="1" x14ac:dyDescent="0.2">
      <c r="A1316" s="342" t="e">
        <f>'A IV.A'!#REF!</f>
        <v>#REF!</v>
      </c>
      <c r="B1316" s="466" t="e">
        <f>'A IV.A'!#REF!</f>
        <v>#REF!</v>
      </c>
      <c r="C1316" s="466"/>
      <c r="D1316" s="466"/>
      <c r="E1316" s="466"/>
      <c r="F1316" s="466"/>
      <c r="G1316" s="466"/>
      <c r="H1316" s="467"/>
    </row>
    <row r="1317" spans="1:8" x14ac:dyDescent="0.2">
      <c r="A1317" s="349"/>
      <c r="H1317" s="265"/>
    </row>
    <row r="1318" spans="1:8" x14ac:dyDescent="0.2">
      <c r="A1318" s="349"/>
      <c r="B1318" t="s">
        <v>970</v>
      </c>
      <c r="E1318" s="275">
        <f>(1.8+1.8)*2*4*6</f>
        <v>172.8</v>
      </c>
      <c r="H1318" s="265"/>
    </row>
    <row r="1319" spans="1:8" ht="13.5" thickBot="1" x14ac:dyDescent="0.25">
      <c r="A1319" s="349"/>
      <c r="H1319" s="265"/>
    </row>
    <row r="1320" spans="1:8" ht="13.5" thickBot="1" x14ac:dyDescent="0.25">
      <c r="A1320" s="349"/>
      <c r="D1320" s="269" t="s">
        <v>572</v>
      </c>
      <c r="E1320" s="276">
        <v>173</v>
      </c>
      <c r="F1320" s="271" t="s">
        <v>1027</v>
      </c>
      <c r="H1320" s="265"/>
    </row>
    <row r="1321" spans="1:8" ht="13.5" thickBot="1" x14ac:dyDescent="0.25">
      <c r="A1321" s="349"/>
      <c r="H1321" s="265"/>
    </row>
    <row r="1322" spans="1:8" x14ac:dyDescent="0.2">
      <c r="A1322" s="342" t="str">
        <f>'A IV.A'!A165</f>
        <v>7.9</v>
      </c>
      <c r="B1322" s="466" t="str">
        <f>'A IV.A'!B165</f>
        <v>CORTE COM SERRA CLIPPER EM PISO CIMENTADO OU PAVIMENTAÇÃO ASFÁLTICA</v>
      </c>
      <c r="C1322" s="466"/>
      <c r="D1322" s="466"/>
      <c r="E1322" s="466"/>
      <c r="F1322" s="466"/>
      <c r="G1322" s="466"/>
      <c r="H1322" s="467"/>
    </row>
    <row r="1323" spans="1:8" x14ac:dyDescent="0.2">
      <c r="A1323" s="349"/>
      <c r="H1323" s="265"/>
    </row>
    <row r="1324" spans="1:8" x14ac:dyDescent="0.2">
      <c r="A1324" s="349"/>
      <c r="B1324" t="s">
        <v>970</v>
      </c>
      <c r="E1324" s="275">
        <f>(1.9+1.8)*6</f>
        <v>22.200000000000003</v>
      </c>
      <c r="H1324" s="265"/>
    </row>
    <row r="1325" spans="1:8" ht="13.5" thickBot="1" x14ac:dyDescent="0.25">
      <c r="A1325" s="349"/>
      <c r="H1325" s="265"/>
    </row>
    <row r="1326" spans="1:8" ht="13.5" thickBot="1" x14ac:dyDescent="0.25">
      <c r="A1326" s="349"/>
      <c r="D1326" s="269" t="s">
        <v>572</v>
      </c>
      <c r="E1326" s="276">
        <v>23</v>
      </c>
      <c r="F1326" s="271" t="s">
        <v>1015</v>
      </c>
      <c r="H1326" s="265"/>
    </row>
    <row r="1327" spans="1:8" ht="13.5" thickBot="1" x14ac:dyDescent="0.25">
      <c r="A1327" s="349"/>
      <c r="H1327" s="265"/>
    </row>
    <row r="1328" spans="1:8" ht="30" customHeight="1" x14ac:dyDescent="0.2">
      <c r="A1328" s="342" t="str">
        <f>'A IV.A'!A168</f>
        <v>7.12</v>
      </c>
      <c r="B1328" s="466" t="str">
        <f>'A IV.A'!B168</f>
        <v>FORNECIMENTO E INSTALAÇÃO DE BANCO PRÉ-FABRICADO DE CONCRETO, ESTILO EUROPEU</v>
      </c>
      <c r="C1328" s="466"/>
      <c r="D1328" s="466"/>
      <c r="E1328" s="466"/>
      <c r="F1328" s="466"/>
      <c r="G1328" s="466"/>
      <c r="H1328" s="467"/>
    </row>
    <row r="1329" spans="1:8" x14ac:dyDescent="0.2">
      <c r="A1329" s="349"/>
      <c r="H1329" s="265"/>
    </row>
    <row r="1330" spans="1:8" x14ac:dyDescent="0.2">
      <c r="A1330" s="349"/>
      <c r="B1330" t="s">
        <v>970</v>
      </c>
      <c r="E1330" s="275">
        <v>10</v>
      </c>
      <c r="H1330" s="265"/>
    </row>
    <row r="1331" spans="1:8" ht="13.5" thickBot="1" x14ac:dyDescent="0.25">
      <c r="A1331" s="349"/>
      <c r="H1331" s="265"/>
    </row>
    <row r="1332" spans="1:8" ht="13.5" thickBot="1" x14ac:dyDescent="0.25">
      <c r="A1332" s="349"/>
      <c r="D1332" s="269" t="s">
        <v>572</v>
      </c>
      <c r="E1332" s="276">
        <f>E1330</f>
        <v>10</v>
      </c>
      <c r="F1332" s="271" t="s">
        <v>1015</v>
      </c>
      <c r="H1332" s="265"/>
    </row>
    <row r="1333" spans="1:8" ht="13.5" thickBot="1" x14ac:dyDescent="0.25">
      <c r="A1333" s="349"/>
      <c r="H1333" s="265"/>
    </row>
    <row r="1334" spans="1:8" x14ac:dyDescent="0.2">
      <c r="A1334" s="342" t="str">
        <f>'A IV.A'!A169</f>
        <v>7.13</v>
      </c>
      <c r="B1334" s="262" t="str">
        <f>'A IV.A'!B169</f>
        <v>CIMBRAMENTO DE MADEIRA</v>
      </c>
      <c r="C1334" s="262"/>
      <c r="D1334" s="262"/>
      <c r="E1334" s="262"/>
      <c r="F1334" s="262"/>
      <c r="G1334" s="262"/>
      <c r="H1334" s="273"/>
    </row>
    <row r="1335" spans="1:8" ht="12" customHeight="1" x14ac:dyDescent="0.2">
      <c r="A1335" s="349"/>
      <c r="H1335" s="265"/>
    </row>
    <row r="1336" spans="1:8" x14ac:dyDescent="0.2">
      <c r="A1336" s="349"/>
      <c r="B1336" t="s">
        <v>970</v>
      </c>
      <c r="E1336" s="275">
        <v>35</v>
      </c>
      <c r="H1336" s="265"/>
    </row>
    <row r="1337" spans="1:8" ht="13.5" thickBot="1" x14ac:dyDescent="0.25">
      <c r="A1337" s="349"/>
      <c r="H1337" s="265"/>
    </row>
    <row r="1338" spans="1:8" ht="13.5" thickBot="1" x14ac:dyDescent="0.25">
      <c r="A1338" s="349"/>
      <c r="D1338" s="269" t="s">
        <v>572</v>
      </c>
      <c r="E1338" s="276">
        <f>E1336</f>
        <v>35</v>
      </c>
      <c r="F1338" s="271" t="s">
        <v>39</v>
      </c>
      <c r="H1338" s="265"/>
    </row>
    <row r="1339" spans="1:8" ht="13.5" thickBot="1" x14ac:dyDescent="0.25">
      <c r="A1339" s="350"/>
      <c r="B1339" s="266"/>
      <c r="C1339" s="266"/>
      <c r="D1339" s="266"/>
      <c r="E1339" s="266"/>
      <c r="F1339" s="266"/>
      <c r="G1339" s="266"/>
      <c r="H1339" s="267"/>
    </row>
    <row r="1340" spans="1:8" ht="12.75" customHeight="1" x14ac:dyDescent="0.2">
      <c r="A1340" s="342" t="str">
        <f>'A IV.A'!A170</f>
        <v>7.14</v>
      </c>
      <c r="B1340" s="466" t="str">
        <f>'A IV.A'!B170</f>
        <v>GUIA PRÉ-MOLDADA PARA PASSEIOS E JARDINS INTERNOS</v>
      </c>
      <c r="C1340" s="466"/>
      <c r="D1340" s="466"/>
      <c r="E1340" s="466"/>
      <c r="F1340" s="466"/>
      <c r="G1340" s="466"/>
      <c r="H1340" s="467"/>
    </row>
    <row r="1341" spans="1:8" x14ac:dyDescent="0.2">
      <c r="A1341" s="349"/>
      <c r="H1341" s="265"/>
    </row>
    <row r="1342" spans="1:8" x14ac:dyDescent="0.2">
      <c r="A1342" s="349"/>
      <c r="C1342" s="261" t="s">
        <v>624</v>
      </c>
      <c r="E1342" s="268">
        <v>232</v>
      </c>
      <c r="H1342" s="265"/>
    </row>
    <row r="1343" spans="1:8" x14ac:dyDescent="0.2">
      <c r="A1343" s="349"/>
      <c r="H1343" s="265"/>
    </row>
    <row r="1344" spans="1:8" x14ac:dyDescent="0.2">
      <c r="A1344" s="349"/>
      <c r="C1344" t="s">
        <v>980</v>
      </c>
      <c r="E1344">
        <v>126</v>
      </c>
      <c r="H1344" s="265"/>
    </row>
    <row r="1345" spans="1:8" ht="13.5" thickBot="1" x14ac:dyDescent="0.25">
      <c r="A1345" s="349"/>
      <c r="H1345" s="265"/>
    </row>
    <row r="1346" spans="1:8" ht="13.5" thickBot="1" x14ac:dyDescent="0.25">
      <c r="A1346" s="349"/>
      <c r="D1346" s="269" t="s">
        <v>572</v>
      </c>
      <c r="E1346" s="276">
        <f>E1344</f>
        <v>126</v>
      </c>
      <c r="F1346" s="271" t="s">
        <v>36</v>
      </c>
      <c r="H1346" s="265"/>
    </row>
    <row r="1347" spans="1:8" ht="13.5" thickBot="1" x14ac:dyDescent="0.25">
      <c r="A1347" s="350"/>
      <c r="B1347" s="266"/>
      <c r="C1347" s="266"/>
      <c r="D1347" s="266"/>
      <c r="E1347" s="266"/>
      <c r="F1347" s="266"/>
      <c r="G1347" s="266"/>
      <c r="H1347" s="267"/>
    </row>
    <row r="1348" spans="1:8" x14ac:dyDescent="0.2">
      <c r="A1348" s="342" t="str">
        <f>'A IV.A'!A171</f>
        <v>7.15</v>
      </c>
      <c r="B1348" s="466" t="str">
        <f>'A IV.A'!B171</f>
        <v>GUIA PRÉ-MOLDADA DE CONCRETO, ASSENTADA COM CONCRETO FCK=15MPA</v>
      </c>
      <c r="C1348" s="466"/>
      <c r="D1348" s="466"/>
      <c r="E1348" s="466"/>
      <c r="F1348" s="466"/>
      <c r="G1348" s="466"/>
      <c r="H1348" s="467"/>
    </row>
    <row r="1349" spans="1:8" x14ac:dyDescent="0.2">
      <c r="A1349" s="344"/>
      <c r="B1349" s="468"/>
      <c r="C1349" s="468"/>
      <c r="D1349" s="468"/>
      <c r="E1349" s="468"/>
      <c r="F1349" s="468"/>
      <c r="G1349" s="468"/>
      <c r="H1349" s="469"/>
    </row>
    <row r="1350" spans="1:8" x14ac:dyDescent="0.2">
      <c r="A1350" s="349"/>
      <c r="H1350" s="265"/>
    </row>
    <row r="1351" spans="1:8" x14ac:dyDescent="0.2">
      <c r="A1351" s="349"/>
      <c r="B1351" s="261" t="s">
        <v>971</v>
      </c>
      <c r="D1351" s="275">
        <v>70</v>
      </c>
      <c r="H1351" s="265"/>
    </row>
    <row r="1352" spans="1:8" x14ac:dyDescent="0.2">
      <c r="A1352" s="349"/>
      <c r="H1352" s="265"/>
    </row>
    <row r="1353" spans="1:8" x14ac:dyDescent="0.2">
      <c r="A1353" s="349"/>
      <c r="C1353" s="261" t="s">
        <v>624</v>
      </c>
      <c r="E1353" s="268">
        <v>383.8</v>
      </c>
      <c r="H1353" s="265"/>
    </row>
    <row r="1354" spans="1:8" ht="13.5" thickBot="1" x14ac:dyDescent="0.25">
      <c r="A1354" s="349"/>
      <c r="H1354" s="265"/>
    </row>
    <row r="1355" spans="1:8" ht="13.5" thickBot="1" x14ac:dyDescent="0.25">
      <c r="A1355" s="349"/>
      <c r="D1355" s="269" t="s">
        <v>572</v>
      </c>
      <c r="E1355" s="276">
        <f>D1351</f>
        <v>70</v>
      </c>
      <c r="F1355" s="271" t="s">
        <v>36</v>
      </c>
      <c r="H1355" s="265"/>
    </row>
    <row r="1356" spans="1:8" ht="13.5" thickBot="1" x14ac:dyDescent="0.25">
      <c r="A1356" s="350"/>
      <c r="B1356" s="266"/>
      <c r="C1356" s="266"/>
      <c r="D1356" s="266"/>
      <c r="E1356" s="266"/>
      <c r="F1356" s="266"/>
      <c r="G1356" s="266"/>
      <c r="H1356" s="267"/>
    </row>
    <row r="1357" spans="1:8" ht="12.75" customHeight="1" x14ac:dyDescent="0.2">
      <c r="A1357" s="342" t="str">
        <f>'A IV.A'!A172</f>
        <v>7.16</v>
      </c>
      <c r="B1357" s="466" t="str">
        <f>'A IV.A'!B172</f>
        <v>SARJETA DE CONCRETO INCLUINDO PREPARO DE CAIXA, CONCRETO FCK=18MPA</v>
      </c>
      <c r="C1357" s="466"/>
      <c r="D1357" s="466"/>
      <c r="E1357" s="466"/>
      <c r="F1357" s="466"/>
      <c r="G1357" s="466"/>
      <c r="H1357" s="467"/>
    </row>
    <row r="1358" spans="1:8" x14ac:dyDescent="0.2">
      <c r="A1358" s="344"/>
      <c r="B1358" s="468"/>
      <c r="C1358" s="468"/>
      <c r="D1358" s="468"/>
      <c r="E1358" s="468"/>
      <c r="F1358" s="468"/>
      <c r="G1358" s="468"/>
      <c r="H1358" s="469"/>
    </row>
    <row r="1359" spans="1:8" x14ac:dyDescent="0.2">
      <c r="A1359" s="349"/>
      <c r="H1359" s="265"/>
    </row>
    <row r="1360" spans="1:8" x14ac:dyDescent="0.2">
      <c r="A1360" s="349"/>
      <c r="C1360" s="261" t="s">
        <v>624</v>
      </c>
      <c r="E1360">
        <v>7.07</v>
      </c>
      <c r="H1360" s="265"/>
    </row>
    <row r="1361" spans="1:8" x14ac:dyDescent="0.2">
      <c r="A1361" s="349"/>
      <c r="C1361" s="261"/>
      <c r="H1361" s="265"/>
    </row>
    <row r="1362" spans="1:8" x14ac:dyDescent="0.2">
      <c r="A1362" s="349"/>
      <c r="C1362" s="261" t="s">
        <v>970</v>
      </c>
      <c r="E1362">
        <f>E1360/21*12</f>
        <v>4.04</v>
      </c>
      <c r="H1362" s="265"/>
    </row>
    <row r="1363" spans="1:8" ht="13.5" thickBot="1" x14ac:dyDescent="0.25">
      <c r="A1363" s="349"/>
      <c r="H1363" s="265"/>
    </row>
    <row r="1364" spans="1:8" ht="13.5" thickBot="1" x14ac:dyDescent="0.25">
      <c r="A1364" s="349"/>
      <c r="D1364" s="269" t="s">
        <v>572</v>
      </c>
      <c r="E1364" s="276">
        <v>4.5</v>
      </c>
      <c r="F1364" s="271" t="s">
        <v>39</v>
      </c>
      <c r="H1364" s="265"/>
    </row>
    <row r="1365" spans="1:8" ht="13.5" thickBot="1" x14ac:dyDescent="0.25">
      <c r="A1365" s="350"/>
      <c r="B1365" s="266"/>
      <c r="C1365" s="266"/>
      <c r="D1365" s="266"/>
      <c r="E1365" s="266"/>
      <c r="F1365" s="266"/>
      <c r="G1365" s="266"/>
      <c r="H1365" s="267"/>
    </row>
    <row r="1366" spans="1:8" ht="12.75" customHeight="1" x14ac:dyDescent="0.2">
      <c r="A1366" s="342" t="e">
        <f>'A IV.A'!#REF!</f>
        <v>#REF!</v>
      </c>
      <c r="B1366" s="466" t="e">
        <f>'A IV.A'!#REF!</f>
        <v>#REF!</v>
      </c>
      <c r="C1366" s="466"/>
      <c r="D1366" s="466"/>
      <c r="E1366" s="466"/>
      <c r="F1366" s="466"/>
      <c r="G1366" s="466"/>
      <c r="H1366" s="467"/>
    </row>
    <row r="1367" spans="1:8" x14ac:dyDescent="0.2">
      <c r="A1367" s="344"/>
      <c r="B1367" s="468"/>
      <c r="C1367" s="468"/>
      <c r="D1367" s="468"/>
      <c r="E1367" s="468"/>
      <c r="F1367" s="468"/>
      <c r="G1367" s="468"/>
      <c r="H1367" s="469"/>
    </row>
    <row r="1368" spans="1:8" x14ac:dyDescent="0.2">
      <c r="A1368" s="344"/>
      <c r="B1368" s="468"/>
      <c r="C1368" s="468"/>
      <c r="D1368" s="468"/>
      <c r="E1368" s="468"/>
      <c r="F1368" s="468"/>
      <c r="G1368" s="468"/>
      <c r="H1368" s="469"/>
    </row>
    <row r="1369" spans="1:8" x14ac:dyDescent="0.2">
      <c r="A1369" s="349"/>
      <c r="H1369" s="265"/>
    </row>
    <row r="1370" spans="1:8" ht="13.5" thickBot="1" x14ac:dyDescent="0.25">
      <c r="A1370" s="349"/>
      <c r="B1370" s="261" t="s">
        <v>579</v>
      </c>
      <c r="H1370" s="265"/>
    </row>
    <row r="1371" spans="1:8" x14ac:dyDescent="0.2">
      <c r="A1371" s="349"/>
      <c r="D1371" s="269" t="s">
        <v>572</v>
      </c>
      <c r="E1371" s="276">
        <v>150</v>
      </c>
      <c r="F1371" s="271" t="s">
        <v>38</v>
      </c>
      <c r="H1371" s="265"/>
    </row>
    <row r="1372" spans="1:8" ht="13.5" thickBot="1" x14ac:dyDescent="0.25">
      <c r="A1372" s="350"/>
      <c r="B1372" s="266"/>
      <c r="C1372" s="266"/>
      <c r="D1372" s="266"/>
      <c r="E1372" s="266"/>
      <c r="F1372" s="266"/>
      <c r="G1372" s="266"/>
      <c r="H1372" s="267"/>
    </row>
    <row r="1373" spans="1:8" x14ac:dyDescent="0.2">
      <c r="A1373" s="342" t="e">
        <f>'A IV.A'!#REF!</f>
        <v>#REF!</v>
      </c>
      <c r="B1373" s="466" t="e">
        <f>'A IV.A'!#REF!</f>
        <v>#REF!</v>
      </c>
      <c r="C1373" s="466"/>
      <c r="D1373" s="466"/>
      <c r="E1373" s="466"/>
      <c r="F1373" s="466"/>
      <c r="G1373" s="466"/>
      <c r="H1373" s="467"/>
    </row>
    <row r="1374" spans="1:8" x14ac:dyDescent="0.2">
      <c r="A1374" s="344"/>
      <c r="B1374" s="468"/>
      <c r="C1374" s="468"/>
      <c r="D1374" s="468"/>
      <c r="E1374" s="468"/>
      <c r="F1374" s="468"/>
      <c r="G1374" s="468"/>
      <c r="H1374" s="469"/>
    </row>
    <row r="1375" spans="1:8" x14ac:dyDescent="0.2">
      <c r="A1375" s="344"/>
      <c r="B1375" s="468"/>
      <c r="C1375" s="468"/>
      <c r="D1375" s="468"/>
      <c r="E1375" s="468"/>
      <c r="F1375" s="468"/>
      <c r="G1375" s="468"/>
      <c r="H1375" s="469"/>
    </row>
    <row r="1376" spans="1:8" x14ac:dyDescent="0.2">
      <c r="A1376" s="349"/>
      <c r="H1376" s="265"/>
    </row>
    <row r="1377" spans="1:8" ht="13.5" thickBot="1" x14ac:dyDescent="0.25">
      <c r="A1377" s="349"/>
      <c r="B1377" s="261" t="s">
        <v>579</v>
      </c>
      <c r="H1377" s="265"/>
    </row>
    <row r="1378" spans="1:8" ht="13.5" thickBot="1" x14ac:dyDescent="0.25">
      <c r="A1378" s="349"/>
      <c r="D1378" s="269" t="s">
        <v>572</v>
      </c>
      <c r="E1378" s="276">
        <v>50</v>
      </c>
      <c r="F1378" s="271" t="s">
        <v>38</v>
      </c>
      <c r="H1378" s="265"/>
    </row>
    <row r="1379" spans="1:8" ht="13.5" thickBot="1" x14ac:dyDescent="0.25">
      <c r="A1379" s="350"/>
      <c r="B1379" s="266"/>
      <c r="C1379" s="266"/>
      <c r="D1379" s="266"/>
      <c r="E1379" s="266"/>
      <c r="F1379" s="266"/>
      <c r="G1379" s="266"/>
      <c r="H1379" s="267"/>
    </row>
  </sheetData>
  <mergeCells count="147">
    <mergeCell ref="B97:H98"/>
    <mergeCell ref="B132:H134"/>
    <mergeCell ref="B325:H326"/>
    <mergeCell ref="B262:H263"/>
    <mergeCell ref="B1038:H1039"/>
    <mergeCell ref="B761:H762"/>
    <mergeCell ref="B971:H972"/>
    <mergeCell ref="C788:D788"/>
    <mergeCell ref="B361:H362"/>
    <mergeCell ref="B950:H950"/>
    <mergeCell ref="B853:H854"/>
    <mergeCell ref="B868:H869"/>
    <mergeCell ref="B878:H880"/>
    <mergeCell ref="B1030:H1030"/>
    <mergeCell ref="B888:H890"/>
    <mergeCell ref="B835:H836"/>
    <mergeCell ref="B925:H926"/>
    <mergeCell ref="B951:H953"/>
    <mergeCell ref="B959:H960"/>
    <mergeCell ref="C796:D796"/>
    <mergeCell ref="C797:D797"/>
    <mergeCell ref="C798:D798"/>
    <mergeCell ref="B793:H793"/>
    <mergeCell ref="B803:H803"/>
    <mergeCell ref="B269:H271"/>
    <mergeCell ref="B785:C785"/>
    <mergeCell ref="B292:H294"/>
    <mergeCell ref="B301:H302"/>
    <mergeCell ref="B308:H309"/>
    <mergeCell ref="B239:H240"/>
    <mergeCell ref="B242:H243"/>
    <mergeCell ref="B198:H198"/>
    <mergeCell ref="B248:H249"/>
    <mergeCell ref="B277:H278"/>
    <mergeCell ref="B282:H282"/>
    <mergeCell ref="B256:H257"/>
    <mergeCell ref="B395:H396"/>
    <mergeCell ref="B381:H381"/>
    <mergeCell ref="B404:H405"/>
    <mergeCell ref="B1254:H1255"/>
    <mergeCell ref="B439:H442"/>
    <mergeCell ref="B1274:H1275"/>
    <mergeCell ref="B1281:H1282"/>
    <mergeCell ref="B1135:H1135"/>
    <mergeCell ref="B978:H979"/>
    <mergeCell ref="B828:H829"/>
    <mergeCell ref="B843:H843"/>
    <mergeCell ref="B844:H845"/>
    <mergeCell ref="B505:H505"/>
    <mergeCell ref="B514:H514"/>
    <mergeCell ref="B941:H942"/>
    <mergeCell ref="B647:H647"/>
    <mergeCell ref="B661:H661"/>
    <mergeCell ref="C786:D786"/>
    <mergeCell ref="C787:D787"/>
    <mergeCell ref="B814:H814"/>
    <mergeCell ref="B795:C795"/>
    <mergeCell ref="B1045:H1046"/>
    <mergeCell ref="B805:C805"/>
    <mergeCell ref="B527:H528"/>
    <mergeCell ref="B1152:H1153"/>
    <mergeCell ref="B1195:H1195"/>
    <mergeCell ref="B1015:H1015"/>
    <mergeCell ref="A1:H1"/>
    <mergeCell ref="B2:H2"/>
    <mergeCell ref="B17:H18"/>
    <mergeCell ref="B29:H29"/>
    <mergeCell ref="B686:H688"/>
    <mergeCell ref="B690:H691"/>
    <mergeCell ref="B588:H589"/>
    <mergeCell ref="B609:H610"/>
    <mergeCell ref="B623:H624"/>
    <mergeCell ref="B632:H633"/>
    <mergeCell ref="B168:H169"/>
    <mergeCell ref="B181:H183"/>
    <mergeCell ref="B191:H192"/>
    <mergeCell ref="B210:H211"/>
    <mergeCell ref="B229:H230"/>
    <mergeCell ref="B267:H267"/>
    <mergeCell ref="B520:H521"/>
    <mergeCell ref="B430:H430"/>
    <mergeCell ref="B318:H319"/>
    <mergeCell ref="B334:H335"/>
    <mergeCell ref="B341:H342"/>
    <mergeCell ref="B268:H268"/>
    <mergeCell ref="B199:H200"/>
    <mergeCell ref="B79:H80"/>
    <mergeCell ref="B1373:H1375"/>
    <mergeCell ref="B1366:H1368"/>
    <mergeCell ref="B1291:H1292"/>
    <mergeCell ref="B1348:H1349"/>
    <mergeCell ref="B1357:H1358"/>
    <mergeCell ref="B1340:H1340"/>
    <mergeCell ref="B1240:H1241"/>
    <mergeCell ref="B1052:H1053"/>
    <mergeCell ref="B1160:H1161"/>
    <mergeCell ref="B1170:H1171"/>
    <mergeCell ref="B1181:H1182"/>
    <mergeCell ref="B1141:H1143"/>
    <mergeCell ref="B1059:H1059"/>
    <mergeCell ref="B1071:H1072"/>
    <mergeCell ref="B1119:H1120"/>
    <mergeCell ref="B1261:H1262"/>
    <mergeCell ref="B1298:H1298"/>
    <mergeCell ref="B1304:H1304"/>
    <mergeCell ref="B1310:H1310"/>
    <mergeCell ref="B1316:H1316"/>
    <mergeCell ref="B1322:H1322"/>
    <mergeCell ref="B1229:H1230"/>
    <mergeCell ref="B1328:H1328"/>
    <mergeCell ref="B1247:H1248"/>
    <mergeCell ref="A452:A453"/>
    <mergeCell ref="B496:H496"/>
    <mergeCell ref="B639:H640"/>
    <mergeCell ref="B703:H704"/>
    <mergeCell ref="B713:H713"/>
    <mergeCell ref="B782:H782"/>
    <mergeCell ref="B770:H771"/>
    <mergeCell ref="B538:H539"/>
    <mergeCell ref="B568:H569"/>
    <mergeCell ref="A460:A461"/>
    <mergeCell ref="B460:H461"/>
    <mergeCell ref="B452:H453"/>
    <mergeCell ref="B1021:H1022"/>
    <mergeCell ref="B1060:H1062"/>
    <mergeCell ref="B1127:H1127"/>
    <mergeCell ref="B1190:H1190"/>
    <mergeCell ref="B1200:H1200"/>
    <mergeCell ref="B964:H965"/>
    <mergeCell ref="B732:H733"/>
    <mergeCell ref="B30:H30"/>
    <mergeCell ref="B31:H31"/>
    <mergeCell ref="B41:H41"/>
    <mergeCell ref="B53:H53"/>
    <mergeCell ref="B64:H64"/>
    <mergeCell ref="B348:H348"/>
    <mergeCell ref="C806:D806"/>
    <mergeCell ref="C807:D807"/>
    <mergeCell ref="C808:D808"/>
    <mergeCell ref="B985:H986"/>
    <mergeCell ref="B992:H993"/>
    <mergeCell ref="B1001:H1002"/>
    <mergeCell ref="B1008:H1009"/>
    <mergeCell ref="B932:H933"/>
    <mergeCell ref="B1031:H1032"/>
    <mergeCell ref="B89:H90"/>
    <mergeCell ref="B420:H420"/>
  </mergeCells>
  <printOptions horizontalCentered="1"/>
  <pageMargins left="0.51181102362204722" right="0.51181102362204722" top="0.78740157480314965" bottom="0.78740157480314965" header="0.31496062992125984" footer="0.31496062992125984"/>
  <pageSetup paperSize="9" orientation="portrait" r:id="rId1"/>
  <headerFooter>
    <oddFooter>Página &amp;P de &amp;N</oddFooter>
  </headerFooter>
  <rowBreaks count="16" manualBreakCount="16">
    <brk id="78" min="2" max="7" man="1"/>
    <brk id="111" min="2" max="7" man="1"/>
    <brk id="149" min="2" max="7" man="1"/>
    <brk id="197" min="2" max="7" man="1"/>
    <brk id="333" min="2" max="7" man="1"/>
    <brk id="380" min="2" max="7" man="1"/>
    <brk id="485" min="2" max="7" man="1"/>
    <brk id="547" min="2" max="7" man="1"/>
    <brk id="608" min="2" max="7" man="1"/>
    <brk id="672" min="2" max="7" man="1"/>
    <brk id="842" min="2" max="7" man="1"/>
    <brk id="876" min="2" max="7" man="1"/>
    <brk id="931" min="2" max="7" man="1"/>
    <brk id="1051" min="2" max="7" man="1"/>
    <brk id="1280" min="2" max="7" man="1"/>
    <brk id="1372" min="2" max="7" man="1"/>
  </rowBreaks>
  <colBreaks count="1" manualBreakCount="1">
    <brk id="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259"/>
  <sheetViews>
    <sheetView showGridLines="0" view="pageBreakPreview" zoomScale="80" zoomScaleNormal="80" zoomScaleSheetLayoutView="80" workbookViewId="0">
      <selection sqref="A1:M2"/>
    </sheetView>
  </sheetViews>
  <sheetFormatPr defaultRowHeight="15.75" x14ac:dyDescent="0.2"/>
  <cols>
    <col min="1" max="1" width="8.28515625" style="1185" customWidth="1"/>
    <col min="2" max="2" width="147.28515625" style="1186" customWidth="1"/>
    <col min="3" max="3" width="12" style="1187" bestFit="1" customWidth="1"/>
    <col min="4" max="4" width="10.7109375" style="1188" customWidth="1"/>
    <col min="5" max="5" width="12.85546875" style="1189" customWidth="1"/>
    <col min="6" max="7" width="14.28515625" style="1189" customWidth="1"/>
    <col min="8" max="8" width="15.5703125" style="1189" bestFit="1" customWidth="1"/>
    <col min="9" max="9" width="15.7109375" style="1189" hidden="1" customWidth="1"/>
    <col min="10" max="10" width="14.28515625" style="1189" hidden="1" customWidth="1"/>
    <col min="11" max="11" width="16" style="1205" hidden="1" customWidth="1"/>
    <col min="12" max="12" width="20.5703125" style="1205" bestFit="1" customWidth="1"/>
    <col min="13" max="13" width="10.5703125" style="1224" bestFit="1" customWidth="1"/>
    <col min="14" max="16384" width="9.140625" style="931"/>
  </cols>
  <sheetData>
    <row r="1" spans="1:13" s="887" customFormat="1" ht="15.75" customHeight="1" x14ac:dyDescent="0.2">
      <c r="A1" s="743" t="s">
        <v>1214</v>
      </c>
      <c r="B1" s="744"/>
      <c r="C1" s="744"/>
      <c r="D1" s="744"/>
      <c r="E1" s="744"/>
      <c r="F1" s="744"/>
      <c r="G1" s="744"/>
      <c r="H1" s="744"/>
      <c r="I1" s="744"/>
      <c r="J1" s="744"/>
      <c r="K1" s="744"/>
      <c r="L1" s="744"/>
      <c r="M1" s="745"/>
    </row>
    <row r="2" spans="1:13" s="887" customFormat="1" ht="15" customHeight="1" x14ac:dyDescent="0.2">
      <c r="A2" s="746"/>
      <c r="B2" s="747"/>
      <c r="C2" s="747"/>
      <c r="D2" s="747"/>
      <c r="E2" s="747"/>
      <c r="F2" s="747"/>
      <c r="G2" s="747"/>
      <c r="H2" s="747"/>
      <c r="I2" s="747"/>
      <c r="J2" s="747"/>
      <c r="K2" s="747"/>
      <c r="L2" s="747"/>
      <c r="M2" s="748"/>
    </row>
    <row r="3" spans="1:13" s="887" customFormat="1" x14ac:dyDescent="0.2">
      <c r="A3" s="749" t="s">
        <v>1215</v>
      </c>
      <c r="B3" s="750"/>
      <c r="C3" s="750"/>
      <c r="D3" s="750"/>
      <c r="E3" s="750"/>
      <c r="F3" s="750"/>
      <c r="G3" s="750"/>
      <c r="H3" s="750"/>
      <c r="I3" s="750"/>
      <c r="J3" s="750"/>
      <c r="K3" s="750"/>
      <c r="L3" s="750"/>
      <c r="M3" s="751"/>
    </row>
    <row r="4" spans="1:13" s="887" customFormat="1" ht="10.5" customHeight="1" x14ac:dyDescent="0.2">
      <c r="A4" s="888"/>
      <c r="B4" s="889"/>
      <c r="C4" s="889"/>
      <c r="D4" s="889"/>
      <c r="E4" s="889"/>
      <c r="F4" s="889"/>
      <c r="G4" s="889"/>
      <c r="H4" s="889"/>
      <c r="I4" s="889"/>
      <c r="J4" s="889"/>
      <c r="K4" s="889"/>
      <c r="L4" s="889"/>
      <c r="M4" s="890"/>
    </row>
    <row r="5" spans="1:13" s="887" customFormat="1" ht="18.75" x14ac:dyDescent="0.2">
      <c r="A5" s="891" t="s">
        <v>1216</v>
      </c>
      <c r="B5" s="765"/>
      <c r="C5" s="765"/>
      <c r="D5" s="765"/>
      <c r="E5" s="765"/>
      <c r="F5" s="765"/>
      <c r="G5" s="765"/>
      <c r="H5" s="765"/>
      <c r="I5" s="765"/>
      <c r="J5" s="765"/>
      <c r="K5" s="765"/>
      <c r="L5" s="765"/>
      <c r="M5" s="892"/>
    </row>
    <row r="6" spans="1:13" s="887" customFormat="1" ht="5.25" customHeight="1" thickBot="1" x14ac:dyDescent="0.25">
      <c r="A6" s="893"/>
      <c r="B6" s="894"/>
      <c r="C6" s="895"/>
      <c r="D6" s="896"/>
      <c r="E6" s="897"/>
      <c r="F6" s="896"/>
      <c r="G6" s="896"/>
      <c r="H6" s="896"/>
      <c r="I6" s="898"/>
      <c r="J6" s="899"/>
      <c r="K6" s="899"/>
      <c r="L6" s="896"/>
      <c r="M6" s="900"/>
    </row>
    <row r="7" spans="1:13" s="887" customFormat="1" ht="16.5" thickBot="1" x14ac:dyDescent="0.25">
      <c r="A7" s="901" t="s">
        <v>885</v>
      </c>
      <c r="B7" s="902"/>
      <c r="C7" s="902"/>
      <c r="D7" s="902"/>
      <c r="E7" s="902"/>
      <c r="F7" s="902"/>
      <c r="G7" s="902"/>
      <c r="H7" s="902"/>
      <c r="I7" s="902"/>
      <c r="J7" s="902"/>
      <c r="K7" s="902"/>
      <c r="L7" s="902"/>
      <c r="M7" s="903"/>
    </row>
    <row r="8" spans="1:13" s="887" customFormat="1" ht="18.95" customHeight="1" x14ac:dyDescent="0.2">
      <c r="A8" s="904"/>
      <c r="B8" s="905" t="s">
        <v>173</v>
      </c>
      <c r="C8" s="906"/>
      <c r="D8" s="907"/>
      <c r="E8" s="908"/>
      <c r="F8" s="500">
        <f>'A IX.'!$C$45</f>
        <v>0</v>
      </c>
      <c r="G8" s="501"/>
      <c r="H8" s="909" t="s">
        <v>827</v>
      </c>
      <c r="I8" s="910"/>
      <c r="J8" s="910"/>
      <c r="K8" s="911"/>
      <c r="L8" s="508" t="s">
        <v>1213</v>
      </c>
      <c r="M8" s="509"/>
    </row>
    <row r="9" spans="1:13" s="887" customFormat="1" ht="18.95" customHeight="1" thickBot="1" x14ac:dyDescent="0.25">
      <c r="A9" s="904"/>
      <c r="B9" s="912" t="s">
        <v>755</v>
      </c>
      <c r="C9" s="913"/>
      <c r="D9" s="914"/>
      <c r="E9" s="915"/>
      <c r="F9" s="502">
        <f>'A VIII.'!$C$29</f>
        <v>0</v>
      </c>
      <c r="G9" s="503"/>
      <c r="H9" s="916"/>
      <c r="I9" s="917"/>
      <c r="J9" s="917"/>
      <c r="K9" s="918"/>
      <c r="L9" s="508"/>
      <c r="M9" s="509"/>
    </row>
    <row r="10" spans="1:13" ht="18.95" customHeight="1" x14ac:dyDescent="0.2">
      <c r="A10" s="919" t="s">
        <v>7</v>
      </c>
      <c r="B10" s="920" t="s">
        <v>8</v>
      </c>
      <c r="C10" s="921" t="s">
        <v>9</v>
      </c>
      <c r="D10" s="922" t="s">
        <v>10</v>
      </c>
      <c r="E10" s="923" t="s">
        <v>11</v>
      </c>
      <c r="F10" s="924" t="s">
        <v>19</v>
      </c>
      <c r="G10" s="925" t="s">
        <v>8</v>
      </c>
      <c r="H10" s="926" t="s">
        <v>12</v>
      </c>
      <c r="I10" s="927" t="s">
        <v>19</v>
      </c>
      <c r="J10" s="925" t="s">
        <v>8</v>
      </c>
      <c r="K10" s="928" t="s">
        <v>12</v>
      </c>
      <c r="L10" s="929" t="s">
        <v>11</v>
      </c>
      <c r="M10" s="930" t="s">
        <v>1</v>
      </c>
    </row>
    <row r="11" spans="1:13" ht="18.95" customHeight="1" thickBot="1" x14ac:dyDescent="0.25">
      <c r="A11" s="932"/>
      <c r="B11" s="933"/>
      <c r="C11" s="934"/>
      <c r="D11" s="935"/>
      <c r="E11" s="936" t="s">
        <v>15</v>
      </c>
      <c r="F11" s="937" t="s">
        <v>2</v>
      </c>
      <c r="G11" s="938" t="s">
        <v>2</v>
      </c>
      <c r="H11" s="939" t="s">
        <v>2</v>
      </c>
      <c r="I11" s="940" t="s">
        <v>172</v>
      </c>
      <c r="J11" s="941" t="s">
        <v>172</v>
      </c>
      <c r="K11" s="942" t="s">
        <v>172</v>
      </c>
      <c r="L11" s="943" t="s">
        <v>16</v>
      </c>
      <c r="M11" s="944"/>
    </row>
    <row r="12" spans="1:13" ht="9.9499999999999993" customHeight="1" x14ac:dyDescent="0.2">
      <c r="A12" s="945"/>
      <c r="B12" s="945"/>
      <c r="C12" s="945"/>
      <c r="D12" s="945"/>
      <c r="E12" s="945"/>
      <c r="F12" s="945"/>
      <c r="G12" s="945"/>
      <c r="H12" s="945"/>
      <c r="I12" s="945"/>
      <c r="J12" s="945"/>
      <c r="K12" s="945"/>
      <c r="L12" s="945"/>
      <c r="M12" s="945"/>
    </row>
    <row r="13" spans="1:13" ht="0.95" customHeight="1" thickBot="1" x14ac:dyDescent="0.25">
      <c r="A13" s="946"/>
      <c r="B13" s="946"/>
      <c r="C13" s="946"/>
      <c r="D13" s="946"/>
      <c r="E13" s="946"/>
      <c r="F13" s="946"/>
      <c r="G13" s="946"/>
      <c r="H13" s="946"/>
      <c r="I13" s="946"/>
      <c r="J13" s="946"/>
      <c r="K13" s="946"/>
      <c r="L13" s="946"/>
      <c r="M13" s="946"/>
    </row>
    <row r="14" spans="1:13" ht="18.95" customHeight="1" x14ac:dyDescent="0.2">
      <c r="A14" s="919" t="s">
        <v>17</v>
      </c>
      <c r="B14" s="947" t="s">
        <v>18</v>
      </c>
      <c r="C14" s="921" t="s">
        <v>6</v>
      </c>
      <c r="D14" s="921"/>
      <c r="E14" s="948"/>
      <c r="F14" s="924">
        <f>I14</f>
        <v>0</v>
      </c>
      <c r="G14" s="925">
        <f>J14</f>
        <v>0</v>
      </c>
      <c r="H14" s="926">
        <f>K14</f>
        <v>0</v>
      </c>
      <c r="I14" s="949">
        <f>SUM(I16:I20)</f>
        <v>0</v>
      </c>
      <c r="J14" s="929">
        <f>SUM(J16:J20)</f>
        <v>0</v>
      </c>
      <c r="K14" s="950">
        <f>SUM(K16:K20)</f>
        <v>0</v>
      </c>
      <c r="L14" s="951">
        <f>SUM(L16:L20)</f>
        <v>0</v>
      </c>
      <c r="M14" s="930" t="e">
        <f>ROUND(L14/$L$174,6)</f>
        <v>#DIV/0!</v>
      </c>
    </row>
    <row r="15" spans="1:13" ht="18.95" customHeight="1" x14ac:dyDescent="0.2">
      <c r="A15" s="952"/>
      <c r="B15" s="953"/>
      <c r="C15" s="954"/>
      <c r="D15" s="954"/>
      <c r="E15" s="955"/>
      <c r="F15" s="306" t="e">
        <f>ROUND(F14/L14,6)</f>
        <v>#DIV/0!</v>
      </c>
      <c r="G15" s="307" t="e">
        <f>ROUND(G14/L14,6)</f>
        <v>#DIV/0!</v>
      </c>
      <c r="H15" s="308" t="e">
        <f>ROUND(H14/L14,6)</f>
        <v>#DIV/0!</v>
      </c>
      <c r="I15" s="306" t="str">
        <f>IF(I14=F14,"sim","nao")</f>
        <v>sim</v>
      </c>
      <c r="J15" s="307" t="str">
        <f>IF(J14=G14,"sim","nao")</f>
        <v>sim</v>
      </c>
      <c r="K15" s="408" t="str">
        <f>IF(K14=H14,"sim","nao")</f>
        <v>sim</v>
      </c>
      <c r="L15" s="956"/>
      <c r="M15" s="957"/>
    </row>
    <row r="16" spans="1:13" s="969" customFormat="1" ht="20.100000000000001" customHeight="1" x14ac:dyDescent="0.2">
      <c r="A16" s="958" t="s">
        <v>74</v>
      </c>
      <c r="B16" s="959" t="s">
        <v>1162</v>
      </c>
      <c r="C16" s="960" t="s">
        <v>756</v>
      </c>
      <c r="D16" s="961">
        <f>'[12]A IV.'!$D16</f>
        <v>1</v>
      </c>
      <c r="E16" s="962">
        <f>F16+G16+H16</f>
        <v>0</v>
      </c>
      <c r="F16" s="963">
        <f>'A VI.'!$F$31</f>
        <v>0</v>
      </c>
      <c r="G16" s="964">
        <f>'A VI.'!$F$45</f>
        <v>0</v>
      </c>
      <c r="H16" s="965">
        <f>'A VI.'!$F$57</f>
        <v>0</v>
      </c>
      <c r="I16" s="963">
        <f>ROUND(D16*F16,2)</f>
        <v>0</v>
      </c>
      <c r="J16" s="964">
        <f>ROUND(D16*G16,2)</f>
        <v>0</v>
      </c>
      <c r="K16" s="966">
        <f>ROUND(D16*H16,2)</f>
        <v>0</v>
      </c>
      <c r="L16" s="967">
        <f>I16+J16+K16</f>
        <v>0</v>
      </c>
      <c r="M16" s="968" t="e">
        <f>ROUND(L16/$L$174,6)</f>
        <v>#DIV/0!</v>
      </c>
    </row>
    <row r="17" spans="1:13" s="970" customFormat="1" ht="20.100000000000001" customHeight="1" x14ac:dyDescent="0.2">
      <c r="A17" s="958" t="s">
        <v>30</v>
      </c>
      <c r="B17" s="959" t="s">
        <v>1163</v>
      </c>
      <c r="C17" s="960" t="s">
        <v>197</v>
      </c>
      <c r="D17" s="961">
        <f>'[12]A IV.'!$D17</f>
        <v>90</v>
      </c>
      <c r="E17" s="962">
        <f>F17+G17+H17</f>
        <v>0</v>
      </c>
      <c r="F17" s="963">
        <f>'A VI.'!$F$79</f>
        <v>0</v>
      </c>
      <c r="G17" s="964">
        <f>'A VI.'!$F$93</f>
        <v>0</v>
      </c>
      <c r="H17" s="965">
        <f>'A VI.'!$F$105</f>
        <v>0</v>
      </c>
      <c r="I17" s="963">
        <f>ROUND($D$17*F17,2)</f>
        <v>0</v>
      </c>
      <c r="J17" s="964">
        <f>ROUND($D$17*G17,2)</f>
        <v>0</v>
      </c>
      <c r="K17" s="966">
        <f>ROUND($D$17*H17,2)</f>
        <v>0</v>
      </c>
      <c r="L17" s="967">
        <f>ROUND(D17*F17,2)+ROUND(D17*G17,2)+ROUND(D17*H17,2)</f>
        <v>0</v>
      </c>
      <c r="M17" s="968" t="e">
        <f>ROUND(L17/$L$174,6)</f>
        <v>#DIV/0!</v>
      </c>
    </row>
    <row r="18" spans="1:13" s="970" customFormat="1" ht="20.100000000000001" customHeight="1" x14ac:dyDescent="0.2">
      <c r="A18" s="971" t="s">
        <v>270</v>
      </c>
      <c r="B18" s="959" t="s">
        <v>1128</v>
      </c>
      <c r="C18" s="972" t="s">
        <v>161</v>
      </c>
      <c r="D18" s="961">
        <f>'[12]A IV.'!$D18</f>
        <v>8640</v>
      </c>
      <c r="E18" s="962">
        <f>F18+G18+H18</f>
        <v>0</v>
      </c>
      <c r="F18" s="973">
        <f>'A VI.'!$F$127</f>
        <v>0</v>
      </c>
      <c r="G18" s="974">
        <f>'A VI.'!$F$141</f>
        <v>0</v>
      </c>
      <c r="H18" s="975">
        <f>'A VI.'!$F$153</f>
        <v>0</v>
      </c>
      <c r="I18" s="963">
        <f>ROUND(D18*F18,2)</f>
        <v>0</v>
      </c>
      <c r="J18" s="964">
        <f>ROUND(D18*G18,2)</f>
        <v>0</v>
      </c>
      <c r="K18" s="966">
        <f>ROUND(D18*H18,2)</f>
        <v>0</v>
      </c>
      <c r="L18" s="967">
        <f>ROUND(D18*F18,2)+ROUND(D18*G18,2)+ROUND(D18*H18,2)</f>
        <v>0</v>
      </c>
      <c r="M18" s="968" t="e">
        <f>ROUND(L18/$L$174,6)</f>
        <v>#DIV/0!</v>
      </c>
    </row>
    <row r="19" spans="1:13" s="970" customFormat="1" ht="20.100000000000001" customHeight="1" x14ac:dyDescent="0.2">
      <c r="A19" s="971" t="s">
        <v>271</v>
      </c>
      <c r="B19" s="959" t="s">
        <v>1129</v>
      </c>
      <c r="C19" s="972" t="s">
        <v>1106</v>
      </c>
      <c r="D19" s="961">
        <f>'[12]A IV.'!$D19</f>
        <v>96</v>
      </c>
      <c r="E19" s="962">
        <f>F19+G19+H19</f>
        <v>0</v>
      </c>
      <c r="F19" s="973">
        <f>'A VI.'!$F$175</f>
        <v>0</v>
      </c>
      <c r="G19" s="974">
        <f>'A VI.'!$F$189</f>
        <v>0</v>
      </c>
      <c r="H19" s="975">
        <f>'A VI.'!$F$201</f>
        <v>0</v>
      </c>
      <c r="I19" s="963">
        <f t="shared" ref="I19:I20" si="0">ROUND(D19*F19,2)</f>
        <v>0</v>
      </c>
      <c r="J19" s="964">
        <f>ROUND(D19*G19,2)</f>
        <v>0</v>
      </c>
      <c r="K19" s="966">
        <f t="shared" ref="K19:K20" si="1">ROUND(D19*H19,2)</f>
        <v>0</v>
      </c>
      <c r="L19" s="967">
        <f>ROUND(D19*F19,2)+ROUND(D19*G19,2)+ROUND(D19*H19,2)</f>
        <v>0</v>
      </c>
      <c r="M19" s="968" t="e">
        <f>ROUND(L19/$L$174,6)</f>
        <v>#DIV/0!</v>
      </c>
    </row>
    <row r="20" spans="1:13" s="970" customFormat="1" ht="20.100000000000001" customHeight="1" thickBot="1" x14ac:dyDescent="0.25">
      <c r="A20" s="976" t="s">
        <v>272</v>
      </c>
      <c r="B20" s="977" t="s">
        <v>1142</v>
      </c>
      <c r="C20" s="978" t="s">
        <v>1106</v>
      </c>
      <c r="D20" s="979">
        <f>'[12]A IV.'!$D20</f>
        <v>48</v>
      </c>
      <c r="E20" s="980">
        <f>F20+G20+H20</f>
        <v>0</v>
      </c>
      <c r="F20" s="981">
        <f>'A VI.'!$F$223</f>
        <v>0</v>
      </c>
      <c r="G20" s="982">
        <f>'A VI.'!$F$237</f>
        <v>0</v>
      </c>
      <c r="H20" s="983">
        <f>'A VI.'!$F$249</f>
        <v>0</v>
      </c>
      <c r="I20" s="981">
        <f t="shared" si="0"/>
        <v>0</v>
      </c>
      <c r="J20" s="982">
        <f t="shared" ref="J20" si="2">ROUND(D20*G20,2)</f>
        <v>0</v>
      </c>
      <c r="K20" s="984">
        <f t="shared" si="1"/>
        <v>0</v>
      </c>
      <c r="L20" s="980">
        <f>ROUND(D20*F20,2)+ROUND(D20*G20,2)+ROUND(D20*H20,2)</f>
        <v>0</v>
      </c>
      <c r="M20" s="985" t="e">
        <f>ROUND(L20/$L$174,6)</f>
        <v>#DIV/0!</v>
      </c>
    </row>
    <row r="21" spans="1:13" ht="9.9499999999999993" customHeight="1" thickBot="1" x14ac:dyDescent="0.25">
      <c r="A21" s="986"/>
      <c r="B21" s="986"/>
      <c r="C21" s="986"/>
      <c r="D21" s="986"/>
      <c r="E21" s="986"/>
      <c r="F21" s="986"/>
      <c r="G21" s="986"/>
      <c r="H21" s="986"/>
      <c r="I21" s="986"/>
      <c r="J21" s="986"/>
      <c r="K21" s="986"/>
      <c r="L21" s="986"/>
      <c r="M21" s="986"/>
    </row>
    <row r="22" spans="1:13" ht="18.95" customHeight="1" x14ac:dyDescent="0.2">
      <c r="A22" s="987" t="s">
        <v>5</v>
      </c>
      <c r="B22" s="947" t="s">
        <v>20</v>
      </c>
      <c r="C22" s="921" t="s">
        <v>6</v>
      </c>
      <c r="D22" s="921"/>
      <c r="E22" s="948"/>
      <c r="F22" s="924">
        <f>I22</f>
        <v>0</v>
      </c>
      <c r="G22" s="925">
        <f>J22</f>
        <v>0</v>
      </c>
      <c r="H22" s="928">
        <f>K22</f>
        <v>0</v>
      </c>
      <c r="I22" s="949">
        <f>SUM(I25:I41)</f>
        <v>0</v>
      </c>
      <c r="J22" s="929">
        <f>SUM(J25:J41)</f>
        <v>0</v>
      </c>
      <c r="K22" s="950">
        <f>SUM(K25:K41)</f>
        <v>0</v>
      </c>
      <c r="L22" s="988">
        <f>SUM(L25:L41)</f>
        <v>0</v>
      </c>
      <c r="M22" s="930" t="e">
        <f>ROUND(L22/$L$174,6)</f>
        <v>#DIV/0!</v>
      </c>
    </row>
    <row r="23" spans="1:13" ht="18.95" customHeight="1" x14ac:dyDescent="0.2">
      <c r="A23" s="989"/>
      <c r="B23" s="953"/>
      <c r="C23" s="954"/>
      <c r="D23" s="954"/>
      <c r="E23" s="955"/>
      <c r="F23" s="306" t="e">
        <f>ROUND(F22/L22,6)</f>
        <v>#DIV/0!</v>
      </c>
      <c r="G23" s="307" t="e">
        <f>ROUND(G22/L22,6)</f>
        <v>#DIV/0!</v>
      </c>
      <c r="H23" s="409" t="e">
        <f>ROUND(H22/L22,6)</f>
        <v>#DIV/0!</v>
      </c>
      <c r="I23" s="306" t="str">
        <f>IF(I22=F22,"sim","nao")</f>
        <v>sim</v>
      </c>
      <c r="J23" s="307" t="str">
        <f>IF(J22=G22,"sim","nao")</f>
        <v>sim</v>
      </c>
      <c r="K23" s="408" t="str">
        <f>IF(K22=H22,"sim","nao")</f>
        <v>sim</v>
      </c>
      <c r="L23" s="990"/>
      <c r="M23" s="957"/>
    </row>
    <row r="24" spans="1:13" ht="18.95" customHeight="1" x14ac:dyDescent="0.2">
      <c r="A24" s="991" t="s">
        <v>79</v>
      </c>
      <c r="B24" s="992" t="s">
        <v>1157</v>
      </c>
      <c r="C24" s="993"/>
      <c r="D24" s="993"/>
      <c r="E24" s="993"/>
      <c r="F24" s="993"/>
      <c r="G24" s="993"/>
      <c r="H24" s="993"/>
      <c r="I24" s="993"/>
      <c r="J24" s="993"/>
      <c r="K24" s="993"/>
      <c r="L24" s="993"/>
      <c r="M24" s="994"/>
    </row>
    <row r="25" spans="1:13" ht="18.95" customHeight="1" x14ac:dyDescent="0.2">
      <c r="A25" s="995" t="s">
        <v>689</v>
      </c>
      <c r="B25" s="959" t="s">
        <v>759</v>
      </c>
      <c r="C25" s="996" t="s">
        <v>197</v>
      </c>
      <c r="D25" s="961">
        <f>'[12]A IV.'!$D25</f>
        <v>1000</v>
      </c>
      <c r="E25" s="997">
        <f t="shared" ref="E25:E31" si="3">F25+G25+H25</f>
        <v>0</v>
      </c>
      <c r="F25" s="963">
        <f>'A VI.'!$F$271</f>
        <v>0</v>
      </c>
      <c r="G25" s="964">
        <f>'A VI.'!$F$285</f>
        <v>0</v>
      </c>
      <c r="H25" s="998">
        <f>'A VI.'!$F$297</f>
        <v>0</v>
      </c>
      <c r="I25" s="963">
        <f t="shared" ref="I25:I31" si="4">ROUND(D25*F25,2)</f>
        <v>0</v>
      </c>
      <c r="J25" s="964">
        <f t="shared" ref="J25:J31" si="5">ROUND(D25*G25,2)</f>
        <v>0</v>
      </c>
      <c r="K25" s="966">
        <f t="shared" ref="K25:K31" si="6">ROUND(D25*H25,2)</f>
        <v>0</v>
      </c>
      <c r="L25" s="999">
        <f t="shared" ref="L25:L31" si="7">ROUND(D25*F25,2)+ROUND(D25*G25,2)+ROUND(D25*H25,2)</f>
        <v>0</v>
      </c>
      <c r="M25" s="1000" t="e">
        <f t="shared" ref="M25:M31" si="8">ROUND(L25/$L$174,6)</f>
        <v>#DIV/0!</v>
      </c>
    </row>
    <row r="26" spans="1:13" ht="18.95" customHeight="1" x14ac:dyDescent="0.2">
      <c r="A26" s="995" t="s">
        <v>690</v>
      </c>
      <c r="B26" s="959" t="s">
        <v>760</v>
      </c>
      <c r="C26" s="996" t="s">
        <v>197</v>
      </c>
      <c r="D26" s="961">
        <f>'[12]A IV.'!$D26</f>
        <v>2000</v>
      </c>
      <c r="E26" s="997">
        <f t="shared" si="3"/>
        <v>0</v>
      </c>
      <c r="F26" s="963">
        <f>'A VI.'!F319</f>
        <v>0</v>
      </c>
      <c r="G26" s="964">
        <f>'A VI.'!F333</f>
        <v>0</v>
      </c>
      <c r="H26" s="998">
        <f>'A VI.'!F345</f>
        <v>0</v>
      </c>
      <c r="I26" s="963">
        <f t="shared" si="4"/>
        <v>0</v>
      </c>
      <c r="J26" s="964">
        <f t="shared" si="5"/>
        <v>0</v>
      </c>
      <c r="K26" s="966">
        <f t="shared" si="6"/>
        <v>0</v>
      </c>
      <c r="L26" s="999">
        <f t="shared" si="7"/>
        <v>0</v>
      </c>
      <c r="M26" s="1000" t="e">
        <f t="shared" si="8"/>
        <v>#DIV/0!</v>
      </c>
    </row>
    <row r="27" spans="1:13" ht="18.95" customHeight="1" x14ac:dyDescent="0.2">
      <c r="A27" s="995" t="s">
        <v>691</v>
      </c>
      <c r="B27" s="1001" t="s">
        <v>761</v>
      </c>
      <c r="C27" s="1002" t="s">
        <v>196</v>
      </c>
      <c r="D27" s="961">
        <f>'[12]A IV.'!$D27</f>
        <v>1200</v>
      </c>
      <c r="E27" s="997">
        <f t="shared" si="3"/>
        <v>0</v>
      </c>
      <c r="F27" s="963">
        <f>'A VI.'!$F$367</f>
        <v>0</v>
      </c>
      <c r="G27" s="964">
        <f>'A VI.'!$F$381</f>
        <v>0</v>
      </c>
      <c r="H27" s="998">
        <f>'A VI.'!$F$393</f>
        <v>0</v>
      </c>
      <c r="I27" s="963">
        <f t="shared" si="4"/>
        <v>0</v>
      </c>
      <c r="J27" s="964">
        <f t="shared" si="5"/>
        <v>0</v>
      </c>
      <c r="K27" s="966">
        <f t="shared" si="6"/>
        <v>0</v>
      </c>
      <c r="L27" s="999">
        <f t="shared" si="7"/>
        <v>0</v>
      </c>
      <c r="M27" s="1000" t="e">
        <f t="shared" si="8"/>
        <v>#DIV/0!</v>
      </c>
    </row>
    <row r="28" spans="1:13" ht="18.95" customHeight="1" x14ac:dyDescent="0.2">
      <c r="A28" s="995" t="s">
        <v>692</v>
      </c>
      <c r="B28" s="1001" t="s">
        <v>762</v>
      </c>
      <c r="C28" s="1002" t="s">
        <v>197</v>
      </c>
      <c r="D28" s="961">
        <f>'[12]A IV.'!$D28</f>
        <v>20</v>
      </c>
      <c r="E28" s="997">
        <f t="shared" si="3"/>
        <v>0</v>
      </c>
      <c r="F28" s="963">
        <f>'A VI.'!$F$415</f>
        <v>0</v>
      </c>
      <c r="G28" s="964">
        <f>'A VI.'!$F$429</f>
        <v>0</v>
      </c>
      <c r="H28" s="998">
        <f>'A VI.'!$F$441</f>
        <v>0</v>
      </c>
      <c r="I28" s="963">
        <f t="shared" si="4"/>
        <v>0</v>
      </c>
      <c r="J28" s="964">
        <f t="shared" si="5"/>
        <v>0</v>
      </c>
      <c r="K28" s="966">
        <f t="shared" si="6"/>
        <v>0</v>
      </c>
      <c r="L28" s="999">
        <f t="shared" si="7"/>
        <v>0</v>
      </c>
      <c r="M28" s="1000" t="e">
        <f t="shared" si="8"/>
        <v>#DIV/0!</v>
      </c>
    </row>
    <row r="29" spans="1:13" ht="18.95" customHeight="1" x14ac:dyDescent="0.2">
      <c r="A29" s="995" t="s">
        <v>693</v>
      </c>
      <c r="B29" s="1001" t="s">
        <v>763</v>
      </c>
      <c r="C29" s="1002" t="s">
        <v>197</v>
      </c>
      <c r="D29" s="961">
        <f>'[12]A IV.'!$D29</f>
        <v>64</v>
      </c>
      <c r="E29" s="997">
        <f t="shared" si="3"/>
        <v>0</v>
      </c>
      <c r="F29" s="963">
        <f>'A VI.'!F463</f>
        <v>0</v>
      </c>
      <c r="G29" s="964">
        <f>'A VI.'!F477</f>
        <v>0</v>
      </c>
      <c r="H29" s="998">
        <f>'A VI.'!F489</f>
        <v>0</v>
      </c>
      <c r="I29" s="963">
        <f t="shared" si="4"/>
        <v>0</v>
      </c>
      <c r="J29" s="964">
        <f t="shared" si="5"/>
        <v>0</v>
      </c>
      <c r="K29" s="966">
        <f t="shared" si="6"/>
        <v>0</v>
      </c>
      <c r="L29" s="999">
        <f t="shared" si="7"/>
        <v>0</v>
      </c>
      <c r="M29" s="1000" t="e">
        <f t="shared" si="8"/>
        <v>#DIV/0!</v>
      </c>
    </row>
    <row r="30" spans="1:13" ht="18.95" customHeight="1" x14ac:dyDescent="0.2">
      <c r="A30" s="995" t="s">
        <v>694</v>
      </c>
      <c r="B30" s="1001" t="s">
        <v>764</v>
      </c>
      <c r="C30" s="996" t="s">
        <v>196</v>
      </c>
      <c r="D30" s="961">
        <f>'[12]A IV.'!$D30</f>
        <v>100</v>
      </c>
      <c r="E30" s="997">
        <f t="shared" si="3"/>
        <v>0</v>
      </c>
      <c r="F30" s="963">
        <f>'A VI.'!$F$511</f>
        <v>0</v>
      </c>
      <c r="G30" s="964">
        <f>'A VI.'!$F$525</f>
        <v>0</v>
      </c>
      <c r="H30" s="998">
        <f>'A VI.'!$F$537</f>
        <v>0</v>
      </c>
      <c r="I30" s="963">
        <f t="shared" si="4"/>
        <v>0</v>
      </c>
      <c r="J30" s="964">
        <f t="shared" si="5"/>
        <v>0</v>
      </c>
      <c r="K30" s="966">
        <f t="shared" si="6"/>
        <v>0</v>
      </c>
      <c r="L30" s="999">
        <f t="shared" si="7"/>
        <v>0</v>
      </c>
      <c r="M30" s="1000" t="e">
        <f t="shared" si="8"/>
        <v>#DIV/0!</v>
      </c>
    </row>
    <row r="31" spans="1:13" ht="18.95" customHeight="1" x14ac:dyDescent="0.2">
      <c r="A31" s="995" t="s">
        <v>695</v>
      </c>
      <c r="B31" s="1001" t="s">
        <v>1177</v>
      </c>
      <c r="C31" s="1002" t="s">
        <v>196</v>
      </c>
      <c r="D31" s="961">
        <f>'[12]A IV.'!$D31</f>
        <v>3000</v>
      </c>
      <c r="E31" s="997">
        <f t="shared" si="3"/>
        <v>0</v>
      </c>
      <c r="F31" s="963">
        <f>'A VI.'!$F$559</f>
        <v>0</v>
      </c>
      <c r="G31" s="964">
        <f>'A VI.'!$F$573</f>
        <v>0</v>
      </c>
      <c r="H31" s="998">
        <f>'A VI.'!$F$585</f>
        <v>0</v>
      </c>
      <c r="I31" s="963">
        <f t="shared" si="4"/>
        <v>0</v>
      </c>
      <c r="J31" s="964">
        <f t="shared" si="5"/>
        <v>0</v>
      </c>
      <c r="K31" s="966">
        <f t="shared" si="6"/>
        <v>0</v>
      </c>
      <c r="L31" s="999">
        <f t="shared" si="7"/>
        <v>0</v>
      </c>
      <c r="M31" s="1000" t="e">
        <f t="shared" si="8"/>
        <v>#DIV/0!</v>
      </c>
    </row>
    <row r="32" spans="1:13" ht="18.95" customHeight="1" x14ac:dyDescent="0.2">
      <c r="A32" s="991" t="s">
        <v>33</v>
      </c>
      <c r="B32" s="992" t="s">
        <v>1158</v>
      </c>
      <c r="C32" s="993"/>
      <c r="D32" s="993"/>
      <c r="E32" s="993"/>
      <c r="F32" s="993"/>
      <c r="G32" s="993"/>
      <c r="H32" s="993"/>
      <c r="I32" s="993"/>
      <c r="J32" s="993"/>
      <c r="K32" s="993"/>
      <c r="L32" s="993"/>
      <c r="M32" s="994"/>
    </row>
    <row r="33" spans="1:13" ht="18.95" customHeight="1" x14ac:dyDescent="0.2">
      <c r="A33" s="995" t="s">
        <v>701</v>
      </c>
      <c r="B33" s="1001" t="s">
        <v>765</v>
      </c>
      <c r="C33" s="1002" t="s">
        <v>255</v>
      </c>
      <c r="D33" s="961">
        <f>'[12]A IV.'!$D33</f>
        <v>50</v>
      </c>
      <c r="E33" s="997">
        <f>F33+G33+H33</f>
        <v>0</v>
      </c>
      <c r="F33" s="963">
        <f>'A VI.'!$F$607</f>
        <v>0</v>
      </c>
      <c r="G33" s="964">
        <f>'A VI.'!$F$621</f>
        <v>0</v>
      </c>
      <c r="H33" s="998">
        <f>'A VI.'!$F$633</f>
        <v>0</v>
      </c>
      <c r="I33" s="963">
        <f>ROUND(D33*F33,2)</f>
        <v>0</v>
      </c>
      <c r="J33" s="964">
        <f>ROUND(D33*G33,2)</f>
        <v>0</v>
      </c>
      <c r="K33" s="966">
        <f>ROUND(D33*H33,2)</f>
        <v>0</v>
      </c>
      <c r="L33" s="999">
        <f>ROUND(D33*F33,2)+ROUND(D33*G33,2)+ROUND(D33*H33,2)</f>
        <v>0</v>
      </c>
      <c r="M33" s="1000" t="e">
        <f>ROUND(L33/$L$174,6)</f>
        <v>#DIV/0!</v>
      </c>
    </row>
    <row r="34" spans="1:13" ht="18.95" customHeight="1" x14ac:dyDescent="0.2">
      <c r="A34" s="995" t="s">
        <v>702</v>
      </c>
      <c r="B34" s="1001" t="s">
        <v>766</v>
      </c>
      <c r="C34" s="1002" t="s">
        <v>255</v>
      </c>
      <c r="D34" s="961">
        <f>'[12]A IV.'!$D34</f>
        <v>300</v>
      </c>
      <c r="E34" s="997">
        <f>F34+G34+H34</f>
        <v>0</v>
      </c>
      <c r="F34" s="963">
        <f>'A VI.'!$F$655</f>
        <v>0</v>
      </c>
      <c r="G34" s="964">
        <f>'A VI.'!$F$669</f>
        <v>0</v>
      </c>
      <c r="H34" s="998">
        <f>'A VI.'!$F$681</f>
        <v>0</v>
      </c>
      <c r="I34" s="963">
        <f>ROUND(D34*F34,2)</f>
        <v>0</v>
      </c>
      <c r="J34" s="964">
        <f>ROUND(D34*G34,2)</f>
        <v>0</v>
      </c>
      <c r="K34" s="966">
        <f>ROUND(D34*H34,2)</f>
        <v>0</v>
      </c>
      <c r="L34" s="999">
        <f>ROUND(D34*F34,2)+ROUND(D34*G34,2)+ROUND(D34*H34,2)</f>
        <v>0</v>
      </c>
      <c r="M34" s="1000" t="e">
        <f>ROUND(L34/$L$174,6)</f>
        <v>#DIV/0!</v>
      </c>
    </row>
    <row r="35" spans="1:13" ht="18.95" customHeight="1" x14ac:dyDescent="0.2">
      <c r="A35" s="995" t="s">
        <v>703</v>
      </c>
      <c r="B35" s="1001" t="s">
        <v>767</v>
      </c>
      <c r="C35" s="1002" t="s">
        <v>757</v>
      </c>
      <c r="D35" s="961">
        <f>'[12]A IV.'!$D35</f>
        <v>10500</v>
      </c>
      <c r="E35" s="997">
        <f>F35+G35+H35</f>
        <v>0</v>
      </c>
      <c r="F35" s="963">
        <f>'A VI.'!$F$703</f>
        <v>0</v>
      </c>
      <c r="G35" s="964">
        <f>'A VI.'!$F$717</f>
        <v>0</v>
      </c>
      <c r="H35" s="998">
        <f>'A VI.'!$F$729</f>
        <v>0</v>
      </c>
      <c r="I35" s="963">
        <f>ROUND(D35*F35,2)</f>
        <v>0</v>
      </c>
      <c r="J35" s="964">
        <f>ROUND(D35*G35,2)</f>
        <v>0</v>
      </c>
      <c r="K35" s="966">
        <f>ROUND(D35*H35,2)</f>
        <v>0</v>
      </c>
      <c r="L35" s="999">
        <f>ROUND(D35*F35,2)+ROUND(D35*G35,2)+ROUND(D35*H35,2)</f>
        <v>0</v>
      </c>
      <c r="M35" s="1000" t="e">
        <f>ROUND(L35/$L$174,6)</f>
        <v>#DIV/0!</v>
      </c>
    </row>
    <row r="36" spans="1:13" ht="18.95" customHeight="1" x14ac:dyDescent="0.2">
      <c r="A36" s="995" t="s">
        <v>1134</v>
      </c>
      <c r="B36" s="1001" t="s">
        <v>1068</v>
      </c>
      <c r="C36" s="1002" t="s">
        <v>255</v>
      </c>
      <c r="D36" s="961">
        <f>'[12]A IV.'!$D36</f>
        <v>350</v>
      </c>
      <c r="E36" s="997">
        <f>F36+G36+H36</f>
        <v>0</v>
      </c>
      <c r="F36" s="963">
        <f>'A VI.'!F751</f>
        <v>0</v>
      </c>
      <c r="G36" s="964">
        <f>'A VI.'!F765</f>
        <v>0</v>
      </c>
      <c r="H36" s="998">
        <f>'A VI.'!F777</f>
        <v>0</v>
      </c>
      <c r="I36" s="963">
        <f>ROUND(D36*F36,2)</f>
        <v>0</v>
      </c>
      <c r="J36" s="964">
        <f>ROUND(D36*G36,2)</f>
        <v>0</v>
      </c>
      <c r="K36" s="966">
        <f>ROUND(D36*H36,2)</f>
        <v>0</v>
      </c>
      <c r="L36" s="999">
        <f>ROUND(D36*F36,2)+ROUND(D36*G36,2)+ROUND(D36*H36,2)</f>
        <v>0</v>
      </c>
      <c r="M36" s="1000" t="e">
        <f>ROUND(L36/$L$174,6)</f>
        <v>#DIV/0!</v>
      </c>
    </row>
    <row r="37" spans="1:13" ht="18.95" customHeight="1" x14ac:dyDescent="0.2">
      <c r="A37" s="991" t="s">
        <v>34</v>
      </c>
      <c r="B37" s="992" t="s">
        <v>1159</v>
      </c>
      <c r="C37" s="993"/>
      <c r="D37" s="993"/>
      <c r="E37" s="993"/>
      <c r="F37" s="993"/>
      <c r="G37" s="993"/>
      <c r="H37" s="993"/>
      <c r="I37" s="993"/>
      <c r="J37" s="993"/>
      <c r="K37" s="993"/>
      <c r="L37" s="993"/>
      <c r="M37" s="994"/>
    </row>
    <row r="38" spans="1:13" ht="18.95" customHeight="1" x14ac:dyDescent="0.2">
      <c r="A38" s="995" t="s">
        <v>1006</v>
      </c>
      <c r="B38" s="1001" t="s">
        <v>768</v>
      </c>
      <c r="C38" s="1002" t="s">
        <v>198</v>
      </c>
      <c r="D38" s="961">
        <f>'[12]A IV.'!$D38</f>
        <v>12</v>
      </c>
      <c r="E38" s="997">
        <f>F38+G38+H38</f>
        <v>0</v>
      </c>
      <c r="F38" s="963">
        <f>'A VI.'!F799</f>
        <v>0</v>
      </c>
      <c r="G38" s="964">
        <f>'A VI.'!F813</f>
        <v>0</v>
      </c>
      <c r="H38" s="998">
        <f>'A VI.'!F825</f>
        <v>0</v>
      </c>
      <c r="I38" s="963">
        <f>ROUND(D38*F38,2)</f>
        <v>0</v>
      </c>
      <c r="J38" s="964">
        <f>ROUND(D38*G38,2)</f>
        <v>0</v>
      </c>
      <c r="K38" s="966">
        <f>ROUND(D38*H38,2)</f>
        <v>0</v>
      </c>
      <c r="L38" s="999">
        <f>ROUND(D38*F38,2)+ROUND(D38*G38,2)+ROUND(D38*H38,2)</f>
        <v>0</v>
      </c>
      <c r="M38" s="1000" t="e">
        <f>ROUND(L38/$L$174,6)</f>
        <v>#DIV/0!</v>
      </c>
    </row>
    <row r="39" spans="1:13" ht="18.95" customHeight="1" x14ac:dyDescent="0.2">
      <c r="A39" s="995" t="s">
        <v>1053</v>
      </c>
      <c r="B39" s="1001" t="s">
        <v>769</v>
      </c>
      <c r="C39" s="1002" t="s">
        <v>196</v>
      </c>
      <c r="D39" s="961">
        <f>'[12]A IV.'!$D39</f>
        <v>3000</v>
      </c>
      <c r="E39" s="997">
        <f>F39+G39+H39</f>
        <v>0</v>
      </c>
      <c r="F39" s="963">
        <f>'A VI.'!F847</f>
        <v>0</v>
      </c>
      <c r="G39" s="964">
        <f>'A VI.'!F861</f>
        <v>0</v>
      </c>
      <c r="H39" s="998">
        <f>'A VI.'!F873</f>
        <v>0</v>
      </c>
      <c r="I39" s="963">
        <f>ROUND(D39*F39,2)</f>
        <v>0</v>
      </c>
      <c r="J39" s="964">
        <f>ROUND(D39*G39,2)</f>
        <v>0</v>
      </c>
      <c r="K39" s="966">
        <f>ROUND(D39*H39,2)</f>
        <v>0</v>
      </c>
      <c r="L39" s="999">
        <f>ROUND(D39*F39,2)+ROUND(D39*G39,2)+ROUND(D39*H39,2)</f>
        <v>0</v>
      </c>
      <c r="M39" s="1000" t="e">
        <f>ROUND(L39/$L$174,6)</f>
        <v>#DIV/0!</v>
      </c>
    </row>
    <row r="40" spans="1:13" ht="18.95" customHeight="1" x14ac:dyDescent="0.2">
      <c r="A40" s="995" t="s">
        <v>1054</v>
      </c>
      <c r="B40" s="1001" t="s">
        <v>1203</v>
      </c>
      <c r="C40" s="1002" t="s">
        <v>197</v>
      </c>
      <c r="D40" s="961">
        <f>'[12]A IV.'!$D40</f>
        <v>5</v>
      </c>
      <c r="E40" s="997">
        <f>F40+G40+H40</f>
        <v>0</v>
      </c>
      <c r="F40" s="963">
        <f>'A VI.'!F895</f>
        <v>0</v>
      </c>
      <c r="G40" s="964">
        <f>'A VI.'!F909</f>
        <v>0</v>
      </c>
      <c r="H40" s="998">
        <f>'A VI.'!F921</f>
        <v>0</v>
      </c>
      <c r="I40" s="963">
        <f>ROUND(D40*F40,2)</f>
        <v>0</v>
      </c>
      <c r="J40" s="964">
        <f>ROUND(D40*G40,2)</f>
        <v>0</v>
      </c>
      <c r="K40" s="966">
        <f>ROUND(D40*H40,2)</f>
        <v>0</v>
      </c>
      <c r="L40" s="999">
        <f>ROUND(D40*F40,2)+ROUND(D40*G40,2)+ROUND(D40*H40,2)</f>
        <v>0</v>
      </c>
      <c r="M40" s="1000" t="e">
        <f>ROUND(L40/$L$174,6)</f>
        <v>#DIV/0!</v>
      </c>
    </row>
    <row r="41" spans="1:13" ht="18.95" customHeight="1" thickBot="1" x14ac:dyDescent="0.25">
      <c r="A41" s="995" t="s">
        <v>1055</v>
      </c>
      <c r="B41" s="1001" t="s">
        <v>770</v>
      </c>
      <c r="C41" s="1003" t="s">
        <v>198</v>
      </c>
      <c r="D41" s="961">
        <f>'[12]A IV.'!$D41</f>
        <v>10</v>
      </c>
      <c r="E41" s="997">
        <f>F41+G41+H41</f>
        <v>0</v>
      </c>
      <c r="F41" s="973">
        <f>'A VI.'!F943</f>
        <v>0</v>
      </c>
      <c r="G41" s="974">
        <f>'A VI.'!F957</f>
        <v>0</v>
      </c>
      <c r="H41" s="1004">
        <f>'A VI.'!F969</f>
        <v>0</v>
      </c>
      <c r="I41" s="981">
        <f>ROUND(D41*F41,2)</f>
        <v>0</v>
      </c>
      <c r="J41" s="982">
        <f>ROUND(D41*G41,2)</f>
        <v>0</v>
      </c>
      <c r="K41" s="984">
        <f>ROUND(D41*H41,2)</f>
        <v>0</v>
      </c>
      <c r="L41" s="1005">
        <f>ROUND(D41*F41,2)+ROUND(D41*G41,2)+ROUND(D41*H41,2)</f>
        <v>0</v>
      </c>
      <c r="M41" s="1000" t="e">
        <f>ROUND(L41/$L$174,6)</f>
        <v>#DIV/0!</v>
      </c>
    </row>
    <row r="42" spans="1:13" ht="9.9499999999999993" customHeight="1" thickBot="1" x14ac:dyDescent="0.25">
      <c r="A42" s="1006"/>
      <c r="B42" s="1006"/>
      <c r="C42" s="1006"/>
      <c r="D42" s="1006"/>
      <c r="E42" s="1006"/>
      <c r="F42" s="1006"/>
      <c r="G42" s="1006"/>
      <c r="H42" s="1006"/>
      <c r="I42" s="1006"/>
      <c r="J42" s="1006"/>
      <c r="K42" s="1006"/>
      <c r="L42" s="1007"/>
      <c r="M42" s="1006"/>
    </row>
    <row r="43" spans="1:13" x14ac:dyDescent="0.2">
      <c r="A43" s="1008" t="s">
        <v>54</v>
      </c>
      <c r="B43" s="1009" t="s">
        <v>21</v>
      </c>
      <c r="C43" s="1010" t="s">
        <v>6</v>
      </c>
      <c r="D43" s="1010"/>
      <c r="E43" s="1011"/>
      <c r="F43" s="1012">
        <f>I43</f>
        <v>0</v>
      </c>
      <c r="G43" s="1013">
        <f>J43</f>
        <v>0</v>
      </c>
      <c r="H43" s="1014">
        <f>K43</f>
        <v>0</v>
      </c>
      <c r="I43" s="1015">
        <f>SUM(I46:I110)</f>
        <v>0</v>
      </c>
      <c r="J43" s="1016">
        <f>SUM(J46:J110)</f>
        <v>0</v>
      </c>
      <c r="K43" s="1017">
        <f>SUM(K46:K110)</f>
        <v>0</v>
      </c>
      <c r="L43" s="1018">
        <f>SUM(L46:L110)</f>
        <v>0</v>
      </c>
      <c r="M43" s="1019" t="e">
        <f>ROUND(L43/$L$174,6)</f>
        <v>#DIV/0!</v>
      </c>
    </row>
    <row r="44" spans="1:13" x14ac:dyDescent="0.2">
      <c r="A44" s="1020"/>
      <c r="B44" s="1021"/>
      <c r="C44" s="1022"/>
      <c r="D44" s="1022"/>
      <c r="E44" s="1023"/>
      <c r="F44" s="306" t="e">
        <f>ROUND(F43/L43,6)</f>
        <v>#DIV/0!</v>
      </c>
      <c r="G44" s="307" t="e">
        <f>ROUND(G43/L43,6)</f>
        <v>#DIV/0!</v>
      </c>
      <c r="H44" s="409" t="e">
        <f>ROUND(H43/L43,6)</f>
        <v>#DIV/0!</v>
      </c>
      <c r="I44" s="306" t="str">
        <f>IF(I43=F43,"sim","nao")</f>
        <v>sim</v>
      </c>
      <c r="J44" s="307" t="str">
        <f>IF(J43=G43,"sim","nao")</f>
        <v>sim</v>
      </c>
      <c r="K44" s="415" t="str">
        <f>IF(K43=H43,"sim","nao")</f>
        <v>sim</v>
      </c>
      <c r="L44" s="1024"/>
      <c r="M44" s="1025"/>
    </row>
    <row r="45" spans="1:13" ht="31.5" x14ac:dyDescent="0.2">
      <c r="A45" s="991" t="s">
        <v>37</v>
      </c>
      <c r="B45" s="992" t="s">
        <v>1160</v>
      </c>
      <c r="C45" s="993"/>
      <c r="D45" s="993"/>
      <c r="E45" s="993"/>
      <c r="F45" s="993"/>
      <c r="G45" s="993"/>
      <c r="H45" s="993"/>
      <c r="I45" s="993"/>
      <c r="J45" s="993"/>
      <c r="K45" s="993"/>
      <c r="L45" s="993"/>
      <c r="M45" s="994"/>
    </row>
    <row r="46" spans="1:13" s="1027" customFormat="1" ht="17.100000000000001" customHeight="1" x14ac:dyDescent="0.2">
      <c r="A46" s="1026" t="s">
        <v>85</v>
      </c>
      <c r="B46" s="959" t="s">
        <v>780</v>
      </c>
      <c r="C46" s="996" t="s">
        <v>196</v>
      </c>
      <c r="D46" s="961">
        <f>'[12]A IV.'!$D46</f>
        <v>250</v>
      </c>
      <c r="E46" s="997">
        <f t="shared" ref="E46:E48" si="9">F46+G46+H46</f>
        <v>0</v>
      </c>
      <c r="F46" s="963">
        <f>'A VI.'!$F$991</f>
        <v>0</v>
      </c>
      <c r="G46" s="964">
        <f>'A VI.'!$F$1005</f>
        <v>0</v>
      </c>
      <c r="H46" s="998">
        <f>'A VI.'!$F$1017</f>
        <v>0</v>
      </c>
      <c r="I46" s="963">
        <f t="shared" ref="I46:I48" si="10">ROUND(D46*F46,2)</f>
        <v>0</v>
      </c>
      <c r="J46" s="964">
        <f t="shared" ref="J46:J48" si="11">ROUND(D46*G46,2)</f>
        <v>0</v>
      </c>
      <c r="K46" s="966">
        <f t="shared" ref="K46:K48" si="12">ROUND(D46*H46,2)</f>
        <v>0</v>
      </c>
      <c r="L46" s="999">
        <f t="shared" ref="L46:L48" si="13">ROUND(D46*F46,2)+ROUND(D46*G46,2)+ROUND(D46*H46,2)</f>
        <v>0</v>
      </c>
      <c r="M46" s="1000" t="e">
        <f>ROUND(L46/$L$174,6)</f>
        <v>#DIV/0!</v>
      </c>
    </row>
    <row r="47" spans="1:13" s="1027" customFormat="1" ht="17.100000000000001" customHeight="1" x14ac:dyDescent="0.2">
      <c r="A47" s="1026" t="s">
        <v>1179</v>
      </c>
      <c r="B47" s="959" t="s">
        <v>781</v>
      </c>
      <c r="C47" s="996" t="s">
        <v>196</v>
      </c>
      <c r="D47" s="961">
        <f>'[12]A IV.'!$D47</f>
        <v>3500</v>
      </c>
      <c r="E47" s="997">
        <f t="shared" si="9"/>
        <v>0</v>
      </c>
      <c r="F47" s="963">
        <f>'A VI.'!F1039</f>
        <v>0</v>
      </c>
      <c r="G47" s="964">
        <f>'A VI.'!F1053</f>
        <v>0</v>
      </c>
      <c r="H47" s="998">
        <f>'A VI.'!F1065</f>
        <v>0</v>
      </c>
      <c r="I47" s="963">
        <f t="shared" si="10"/>
        <v>0</v>
      </c>
      <c r="J47" s="964">
        <f t="shared" si="11"/>
        <v>0</v>
      </c>
      <c r="K47" s="966">
        <f t="shared" si="12"/>
        <v>0</v>
      </c>
      <c r="L47" s="999">
        <f t="shared" si="13"/>
        <v>0</v>
      </c>
      <c r="M47" s="1000" t="e">
        <f>ROUND(L47/$L$174,6)</f>
        <v>#DIV/0!</v>
      </c>
    </row>
    <row r="48" spans="1:13" s="1027" customFormat="1" ht="31.5" x14ac:dyDescent="0.2">
      <c r="A48" s="1026" t="s">
        <v>1180</v>
      </c>
      <c r="B48" s="959" t="s">
        <v>1178</v>
      </c>
      <c r="C48" s="996" t="s">
        <v>198</v>
      </c>
      <c r="D48" s="961">
        <f>'[12]A IV.'!$D48</f>
        <v>40</v>
      </c>
      <c r="E48" s="997">
        <f t="shared" si="9"/>
        <v>0</v>
      </c>
      <c r="F48" s="963">
        <f>'A VI.'!F1087</f>
        <v>0</v>
      </c>
      <c r="G48" s="964">
        <f>'A VI.'!F1101</f>
        <v>0</v>
      </c>
      <c r="H48" s="998">
        <f>'A VI.'!F1113</f>
        <v>0</v>
      </c>
      <c r="I48" s="963">
        <f t="shared" si="10"/>
        <v>0</v>
      </c>
      <c r="J48" s="964">
        <f t="shared" si="11"/>
        <v>0</v>
      </c>
      <c r="K48" s="966">
        <f t="shared" si="12"/>
        <v>0</v>
      </c>
      <c r="L48" s="999">
        <f t="shared" si="13"/>
        <v>0</v>
      </c>
      <c r="M48" s="1000" t="e">
        <f>ROUND(L48/$L$174,6)</f>
        <v>#DIV/0!</v>
      </c>
    </row>
    <row r="49" spans="1:13" ht="17.100000000000001" customHeight="1" x14ac:dyDescent="0.2">
      <c r="A49" s="991" t="s">
        <v>25</v>
      </c>
      <c r="B49" s="992" t="s">
        <v>1161</v>
      </c>
      <c r="C49" s="993"/>
      <c r="D49" s="993"/>
      <c r="E49" s="993"/>
      <c r="F49" s="993"/>
      <c r="G49" s="993"/>
      <c r="H49" s="993"/>
      <c r="I49" s="993"/>
      <c r="J49" s="993"/>
      <c r="K49" s="993"/>
      <c r="L49" s="993"/>
      <c r="M49" s="994"/>
    </row>
    <row r="50" spans="1:13" ht="17.100000000000001" customHeight="1" x14ac:dyDescent="0.2">
      <c r="A50" s="1026" t="s">
        <v>86</v>
      </c>
      <c r="B50" s="959" t="s">
        <v>782</v>
      </c>
      <c r="C50" s="1002" t="s">
        <v>198</v>
      </c>
      <c r="D50" s="961">
        <f>'[12]A IV.'!$D50</f>
        <v>3</v>
      </c>
      <c r="E50" s="997">
        <f t="shared" ref="E50:E60" si="14">F50+G50+H50</f>
        <v>0</v>
      </c>
      <c r="F50" s="963">
        <f>'A VI.'!$F$1135</f>
        <v>0</v>
      </c>
      <c r="G50" s="964">
        <f>'A VI.'!$F$1149</f>
        <v>0</v>
      </c>
      <c r="H50" s="998">
        <f>'A VI.'!$F$1161</f>
        <v>0</v>
      </c>
      <c r="I50" s="963">
        <f t="shared" ref="I50:I60" si="15">ROUND(D50*F50,2)</f>
        <v>0</v>
      </c>
      <c r="J50" s="964">
        <f t="shared" ref="J50:J60" si="16">ROUND(D50*G50,2)</f>
        <v>0</v>
      </c>
      <c r="K50" s="966">
        <f t="shared" ref="K50:K60" si="17">ROUND(D50*H50,2)</f>
        <v>0</v>
      </c>
      <c r="L50" s="999">
        <f t="shared" ref="L50:L60" si="18">ROUND(D50*F50,2)+ROUND(D50*G50,2)+ROUND(D50*H50,2)</f>
        <v>0</v>
      </c>
      <c r="M50" s="1000" t="e">
        <f t="shared" ref="M50:M60" si="19">ROUND(L50/$L$174,6)</f>
        <v>#DIV/0!</v>
      </c>
    </row>
    <row r="51" spans="1:13" ht="17.100000000000001" customHeight="1" x14ac:dyDescent="0.2">
      <c r="A51" s="1026" t="s">
        <v>87</v>
      </c>
      <c r="B51" s="959" t="s">
        <v>783</v>
      </c>
      <c r="C51" s="1002" t="s">
        <v>197</v>
      </c>
      <c r="D51" s="961">
        <f>'[12]A IV.'!$D51</f>
        <v>80</v>
      </c>
      <c r="E51" s="997">
        <f t="shared" si="14"/>
        <v>0</v>
      </c>
      <c r="F51" s="963">
        <f>'A VI.'!F1183</f>
        <v>0</v>
      </c>
      <c r="G51" s="964">
        <f>'A VI.'!F1197</f>
        <v>0</v>
      </c>
      <c r="H51" s="998">
        <f>'A VI.'!F1209</f>
        <v>0</v>
      </c>
      <c r="I51" s="963">
        <f t="shared" si="15"/>
        <v>0</v>
      </c>
      <c r="J51" s="964">
        <f t="shared" si="16"/>
        <v>0</v>
      </c>
      <c r="K51" s="966">
        <f t="shared" si="17"/>
        <v>0</v>
      </c>
      <c r="L51" s="999">
        <f t="shared" si="18"/>
        <v>0</v>
      </c>
      <c r="M51" s="1000" t="e">
        <f t="shared" si="19"/>
        <v>#DIV/0!</v>
      </c>
    </row>
    <row r="52" spans="1:13" s="1027" customFormat="1" ht="17.100000000000001" customHeight="1" x14ac:dyDescent="0.2">
      <c r="A52" s="1026" t="s">
        <v>89</v>
      </c>
      <c r="B52" s="1001" t="s">
        <v>784</v>
      </c>
      <c r="C52" s="996" t="s">
        <v>197</v>
      </c>
      <c r="D52" s="961">
        <f>'[12]A IV.'!$D52</f>
        <v>100</v>
      </c>
      <c r="E52" s="997">
        <f t="shared" si="14"/>
        <v>0</v>
      </c>
      <c r="F52" s="963">
        <f>'A VI.'!F1231</f>
        <v>0</v>
      </c>
      <c r="G52" s="964">
        <f>'A VI.'!F1245</f>
        <v>0</v>
      </c>
      <c r="H52" s="998">
        <f>'A VI.'!F1257</f>
        <v>0</v>
      </c>
      <c r="I52" s="963">
        <f t="shared" si="15"/>
        <v>0</v>
      </c>
      <c r="J52" s="964">
        <f t="shared" si="16"/>
        <v>0</v>
      </c>
      <c r="K52" s="966">
        <f t="shared" si="17"/>
        <v>0</v>
      </c>
      <c r="L52" s="999">
        <f t="shared" si="18"/>
        <v>0</v>
      </c>
      <c r="M52" s="1000" t="e">
        <f t="shared" si="19"/>
        <v>#DIV/0!</v>
      </c>
    </row>
    <row r="53" spans="1:13" s="970" customFormat="1" ht="17.100000000000001" customHeight="1" x14ac:dyDescent="0.2">
      <c r="A53" s="1026" t="s">
        <v>90</v>
      </c>
      <c r="B53" s="959" t="s">
        <v>785</v>
      </c>
      <c r="C53" s="996" t="s">
        <v>198</v>
      </c>
      <c r="D53" s="961">
        <f>'[12]A IV.'!$D53</f>
        <v>1</v>
      </c>
      <c r="E53" s="997">
        <f t="shared" si="14"/>
        <v>0</v>
      </c>
      <c r="F53" s="963">
        <f>'A VI.'!$F$1279</f>
        <v>0</v>
      </c>
      <c r="G53" s="964">
        <f>'A VI.'!$F$1293</f>
        <v>0</v>
      </c>
      <c r="H53" s="998">
        <f>'A VI.'!$F$1305</f>
        <v>0</v>
      </c>
      <c r="I53" s="963">
        <f t="shared" si="15"/>
        <v>0</v>
      </c>
      <c r="J53" s="964">
        <f t="shared" si="16"/>
        <v>0</v>
      </c>
      <c r="K53" s="966">
        <f t="shared" si="17"/>
        <v>0</v>
      </c>
      <c r="L53" s="999">
        <f t="shared" si="18"/>
        <v>0</v>
      </c>
      <c r="M53" s="1000" t="e">
        <f t="shared" si="19"/>
        <v>#DIV/0!</v>
      </c>
    </row>
    <row r="54" spans="1:13" s="970" customFormat="1" ht="17.100000000000001" customHeight="1" x14ac:dyDescent="0.2">
      <c r="A54" s="1026" t="s">
        <v>91</v>
      </c>
      <c r="B54" s="1001" t="s">
        <v>786</v>
      </c>
      <c r="C54" s="996" t="s">
        <v>197</v>
      </c>
      <c r="D54" s="961">
        <f>'[12]A IV.'!$D54</f>
        <v>1.5</v>
      </c>
      <c r="E54" s="997">
        <f t="shared" si="14"/>
        <v>0</v>
      </c>
      <c r="F54" s="963">
        <f>'A VI.'!F1327</f>
        <v>0</v>
      </c>
      <c r="G54" s="964">
        <f>'A VI.'!F1341</f>
        <v>0</v>
      </c>
      <c r="H54" s="998">
        <f>'A VI.'!F1353</f>
        <v>0</v>
      </c>
      <c r="I54" s="963">
        <f t="shared" si="15"/>
        <v>0</v>
      </c>
      <c r="J54" s="964">
        <f t="shared" si="16"/>
        <v>0</v>
      </c>
      <c r="K54" s="966">
        <f t="shared" si="17"/>
        <v>0</v>
      </c>
      <c r="L54" s="999">
        <f t="shared" si="18"/>
        <v>0</v>
      </c>
      <c r="M54" s="1000" t="e">
        <f t="shared" si="19"/>
        <v>#DIV/0!</v>
      </c>
    </row>
    <row r="55" spans="1:13" s="970" customFormat="1" ht="17.100000000000001" customHeight="1" x14ac:dyDescent="0.2">
      <c r="A55" s="1026" t="s">
        <v>137</v>
      </c>
      <c r="B55" s="1001" t="s">
        <v>787</v>
      </c>
      <c r="C55" s="996" t="s">
        <v>197</v>
      </c>
      <c r="D55" s="961">
        <f>'[12]A IV.'!$D55</f>
        <v>5</v>
      </c>
      <c r="E55" s="997">
        <f t="shared" si="14"/>
        <v>0</v>
      </c>
      <c r="F55" s="963">
        <f>'A VI.'!$F$1375</f>
        <v>0</v>
      </c>
      <c r="G55" s="964">
        <f>'A VI.'!$F$1389</f>
        <v>0</v>
      </c>
      <c r="H55" s="998">
        <f>'A VI.'!$F$1401</f>
        <v>0</v>
      </c>
      <c r="I55" s="963">
        <f t="shared" si="15"/>
        <v>0</v>
      </c>
      <c r="J55" s="964">
        <f t="shared" si="16"/>
        <v>0</v>
      </c>
      <c r="K55" s="966">
        <f t="shared" si="17"/>
        <v>0</v>
      </c>
      <c r="L55" s="999">
        <f t="shared" si="18"/>
        <v>0</v>
      </c>
      <c r="M55" s="1000" t="e">
        <f t="shared" si="19"/>
        <v>#DIV/0!</v>
      </c>
    </row>
    <row r="56" spans="1:13" s="970" customFormat="1" ht="17.100000000000001" customHeight="1" x14ac:dyDescent="0.2">
      <c r="A56" s="1026" t="s">
        <v>135</v>
      </c>
      <c r="B56" s="1001" t="s">
        <v>788</v>
      </c>
      <c r="C56" s="996" t="s">
        <v>197</v>
      </c>
      <c r="D56" s="961">
        <f>'[12]A IV.'!$D56</f>
        <v>75</v>
      </c>
      <c r="E56" s="997">
        <f t="shared" si="14"/>
        <v>0</v>
      </c>
      <c r="F56" s="963">
        <f>'A VI.'!$F$1423</f>
        <v>0</v>
      </c>
      <c r="G56" s="964">
        <f>'A VI.'!$F$1437</f>
        <v>0</v>
      </c>
      <c r="H56" s="998">
        <f>'A VI.'!$F$1449</f>
        <v>0</v>
      </c>
      <c r="I56" s="963">
        <f t="shared" si="15"/>
        <v>0</v>
      </c>
      <c r="J56" s="964">
        <f t="shared" si="16"/>
        <v>0</v>
      </c>
      <c r="K56" s="966">
        <f t="shared" si="17"/>
        <v>0</v>
      </c>
      <c r="L56" s="999">
        <f t="shared" si="18"/>
        <v>0</v>
      </c>
      <c r="M56" s="1000" t="e">
        <f t="shared" si="19"/>
        <v>#DIV/0!</v>
      </c>
    </row>
    <row r="57" spans="1:13" s="970" customFormat="1" ht="17.100000000000001" customHeight="1" x14ac:dyDescent="0.2">
      <c r="A57" s="1026" t="s">
        <v>136</v>
      </c>
      <c r="B57" s="1001" t="s">
        <v>789</v>
      </c>
      <c r="C57" s="996" t="s">
        <v>197</v>
      </c>
      <c r="D57" s="961">
        <f>'[12]A IV.'!$D57</f>
        <v>90</v>
      </c>
      <c r="E57" s="997">
        <f t="shared" si="14"/>
        <v>0</v>
      </c>
      <c r="F57" s="963">
        <f>'A VI.'!$F$1471</f>
        <v>0</v>
      </c>
      <c r="G57" s="964">
        <f>'A VI.'!$F$1485</f>
        <v>0</v>
      </c>
      <c r="H57" s="998">
        <f>'A VI.'!$F$1497</f>
        <v>0</v>
      </c>
      <c r="I57" s="963">
        <f t="shared" si="15"/>
        <v>0</v>
      </c>
      <c r="J57" s="964">
        <f t="shared" si="16"/>
        <v>0</v>
      </c>
      <c r="K57" s="966">
        <f t="shared" si="17"/>
        <v>0</v>
      </c>
      <c r="L57" s="999">
        <f t="shared" si="18"/>
        <v>0</v>
      </c>
      <c r="M57" s="1000" t="e">
        <f t="shared" si="19"/>
        <v>#DIV/0!</v>
      </c>
    </row>
    <row r="58" spans="1:13" s="970" customFormat="1" ht="17.100000000000001" customHeight="1" x14ac:dyDescent="0.2">
      <c r="A58" s="1026" t="s">
        <v>156</v>
      </c>
      <c r="B58" s="1001" t="s">
        <v>790</v>
      </c>
      <c r="C58" s="996" t="s">
        <v>197</v>
      </c>
      <c r="D58" s="961">
        <f>'[12]A IV.'!$D58</f>
        <v>10</v>
      </c>
      <c r="E58" s="997">
        <f t="shared" si="14"/>
        <v>0</v>
      </c>
      <c r="F58" s="963">
        <f>'A VI.'!F1519</f>
        <v>0</v>
      </c>
      <c r="G58" s="964">
        <f>'A VI.'!F1533</f>
        <v>0</v>
      </c>
      <c r="H58" s="998">
        <f>'A VI.'!F1545</f>
        <v>0</v>
      </c>
      <c r="I58" s="963">
        <f t="shared" si="15"/>
        <v>0</v>
      </c>
      <c r="J58" s="964">
        <f t="shared" si="16"/>
        <v>0</v>
      </c>
      <c r="K58" s="966">
        <f t="shared" si="17"/>
        <v>0</v>
      </c>
      <c r="L58" s="999">
        <f t="shared" si="18"/>
        <v>0</v>
      </c>
      <c r="M58" s="1000" t="e">
        <f t="shared" si="19"/>
        <v>#DIV/0!</v>
      </c>
    </row>
    <row r="59" spans="1:13" ht="31.5" x14ac:dyDescent="0.2">
      <c r="A59" s="1026" t="s">
        <v>463</v>
      </c>
      <c r="B59" s="1001" t="s">
        <v>791</v>
      </c>
      <c r="C59" s="996" t="s">
        <v>197</v>
      </c>
      <c r="D59" s="961">
        <f>'[12]A IV.'!$D59</f>
        <v>50</v>
      </c>
      <c r="E59" s="997">
        <f t="shared" si="14"/>
        <v>0</v>
      </c>
      <c r="F59" s="963">
        <f>'A VI.'!$F$1567</f>
        <v>0</v>
      </c>
      <c r="G59" s="964">
        <f>'A VI.'!$F$1581</f>
        <v>0</v>
      </c>
      <c r="H59" s="998">
        <f>'A VI.'!$F$1593</f>
        <v>0</v>
      </c>
      <c r="I59" s="963">
        <f t="shared" si="15"/>
        <v>0</v>
      </c>
      <c r="J59" s="964">
        <f t="shared" si="16"/>
        <v>0</v>
      </c>
      <c r="K59" s="966">
        <f t="shared" si="17"/>
        <v>0</v>
      </c>
      <c r="L59" s="999">
        <f t="shared" si="18"/>
        <v>0</v>
      </c>
      <c r="M59" s="1000" t="e">
        <f t="shared" si="19"/>
        <v>#DIV/0!</v>
      </c>
    </row>
    <row r="60" spans="1:13" ht="18" customHeight="1" x14ac:dyDescent="0.2">
      <c r="A60" s="1026" t="s">
        <v>590</v>
      </c>
      <c r="B60" s="1001" t="s">
        <v>824</v>
      </c>
      <c r="C60" s="996" t="s">
        <v>196</v>
      </c>
      <c r="D60" s="961">
        <f>'[12]A IV.'!$D60</f>
        <v>29</v>
      </c>
      <c r="E60" s="997">
        <f t="shared" si="14"/>
        <v>0</v>
      </c>
      <c r="F60" s="963">
        <f>'A VI.'!F1615</f>
        <v>0</v>
      </c>
      <c r="G60" s="964">
        <f>'A VI.'!F1629</f>
        <v>0</v>
      </c>
      <c r="H60" s="998">
        <f>'A VI.'!F1641</f>
        <v>0</v>
      </c>
      <c r="I60" s="963">
        <f t="shared" si="15"/>
        <v>0</v>
      </c>
      <c r="J60" s="964">
        <f t="shared" si="16"/>
        <v>0</v>
      </c>
      <c r="K60" s="966">
        <f t="shared" si="17"/>
        <v>0</v>
      </c>
      <c r="L60" s="999">
        <f t="shared" si="18"/>
        <v>0</v>
      </c>
      <c r="M60" s="1000" t="e">
        <f t="shared" si="19"/>
        <v>#DIV/0!</v>
      </c>
    </row>
    <row r="61" spans="1:13" ht="17.100000000000001" customHeight="1" x14ac:dyDescent="0.2">
      <c r="A61" s="991" t="s">
        <v>26</v>
      </c>
      <c r="B61" s="992" t="s">
        <v>1164</v>
      </c>
      <c r="C61" s="993"/>
      <c r="D61" s="993"/>
      <c r="E61" s="993"/>
      <c r="F61" s="993"/>
      <c r="G61" s="993"/>
      <c r="H61" s="993"/>
      <c r="I61" s="993"/>
      <c r="J61" s="993"/>
      <c r="K61" s="993"/>
      <c r="L61" s="993"/>
      <c r="M61" s="994"/>
    </row>
    <row r="62" spans="1:13" ht="17.100000000000001" customHeight="1" x14ac:dyDescent="0.2">
      <c r="A62" s="1026" t="s">
        <v>75</v>
      </c>
      <c r="B62" s="1001" t="s">
        <v>792</v>
      </c>
      <c r="C62" s="1002" t="s">
        <v>196</v>
      </c>
      <c r="D62" s="961">
        <f>'[12]A IV.'!$D62</f>
        <v>100</v>
      </c>
      <c r="E62" s="997">
        <f t="shared" ref="E62:E70" si="20">F62+G62+H62</f>
        <v>0</v>
      </c>
      <c r="F62" s="963">
        <f>'A VI.'!$F$1663</f>
        <v>0</v>
      </c>
      <c r="G62" s="964">
        <f>'A VI.'!$F$1677</f>
        <v>0</v>
      </c>
      <c r="H62" s="998">
        <f>'A VI.'!$F$1689</f>
        <v>0</v>
      </c>
      <c r="I62" s="963">
        <f t="shared" ref="I62:I68" si="21">ROUND(D62*F62,2)</f>
        <v>0</v>
      </c>
      <c r="J62" s="964">
        <f t="shared" ref="J62:J68" si="22">ROUND(D62*G62,2)</f>
        <v>0</v>
      </c>
      <c r="K62" s="966">
        <f t="shared" ref="K62:K68" si="23">ROUND(D62*H62,2)</f>
        <v>0</v>
      </c>
      <c r="L62" s="999">
        <f t="shared" ref="L62:L70" si="24">ROUND(D62*F62,2)+ROUND(D62*G62,2)+ROUND(D62*H62,2)</f>
        <v>0</v>
      </c>
      <c r="M62" s="1000" t="e">
        <f t="shared" ref="M62:M70" si="25">ROUND(L62/$L$174,6)</f>
        <v>#DIV/0!</v>
      </c>
    </row>
    <row r="63" spans="1:13" ht="17.100000000000001" customHeight="1" x14ac:dyDescent="0.2">
      <c r="A63" s="1026" t="s">
        <v>76</v>
      </c>
      <c r="B63" s="1001" t="s">
        <v>793</v>
      </c>
      <c r="C63" s="996" t="s">
        <v>197</v>
      </c>
      <c r="D63" s="961">
        <f>'[12]A IV.'!$D63</f>
        <v>25</v>
      </c>
      <c r="E63" s="997">
        <f t="shared" si="20"/>
        <v>0</v>
      </c>
      <c r="F63" s="963">
        <f>'A VI.'!$F$1711</f>
        <v>0</v>
      </c>
      <c r="G63" s="964">
        <f>'A VI.'!$F$1725</f>
        <v>0</v>
      </c>
      <c r="H63" s="998">
        <f>'A VI.'!$F$1737</f>
        <v>0</v>
      </c>
      <c r="I63" s="963">
        <f t="shared" si="21"/>
        <v>0</v>
      </c>
      <c r="J63" s="964">
        <f t="shared" si="22"/>
        <v>0</v>
      </c>
      <c r="K63" s="966">
        <f t="shared" si="23"/>
        <v>0</v>
      </c>
      <c r="L63" s="999">
        <f t="shared" si="24"/>
        <v>0</v>
      </c>
      <c r="M63" s="1000" t="e">
        <f t="shared" si="25"/>
        <v>#DIV/0!</v>
      </c>
    </row>
    <row r="64" spans="1:13" ht="17.100000000000001" customHeight="1" x14ac:dyDescent="0.2">
      <c r="A64" s="1026" t="s">
        <v>88</v>
      </c>
      <c r="B64" s="1001" t="s">
        <v>794</v>
      </c>
      <c r="C64" s="996" t="s">
        <v>197</v>
      </c>
      <c r="D64" s="961">
        <f>'[12]A IV.'!$D64</f>
        <v>25</v>
      </c>
      <c r="E64" s="997">
        <f t="shared" si="20"/>
        <v>0</v>
      </c>
      <c r="F64" s="963">
        <f>'A VI.'!$F$1759</f>
        <v>0</v>
      </c>
      <c r="G64" s="964">
        <f>'A VI.'!$F$1773</f>
        <v>0</v>
      </c>
      <c r="H64" s="998">
        <f>'A VI.'!$F$1785</f>
        <v>0</v>
      </c>
      <c r="I64" s="963">
        <f t="shared" si="21"/>
        <v>0</v>
      </c>
      <c r="J64" s="964">
        <f t="shared" si="22"/>
        <v>0</v>
      </c>
      <c r="K64" s="966">
        <f t="shared" si="23"/>
        <v>0</v>
      </c>
      <c r="L64" s="999">
        <f t="shared" si="24"/>
        <v>0</v>
      </c>
      <c r="M64" s="1000" t="e">
        <f t="shared" si="25"/>
        <v>#DIV/0!</v>
      </c>
    </row>
    <row r="65" spans="1:13" ht="17.100000000000001" customHeight="1" x14ac:dyDescent="0.2">
      <c r="A65" s="1026" t="s">
        <v>77</v>
      </c>
      <c r="B65" s="1001" t="s">
        <v>795</v>
      </c>
      <c r="C65" s="996" t="s">
        <v>197</v>
      </c>
      <c r="D65" s="961">
        <f>'[12]A IV.'!$D65</f>
        <v>50</v>
      </c>
      <c r="E65" s="997">
        <f t="shared" si="20"/>
        <v>0</v>
      </c>
      <c r="F65" s="963">
        <f>'A VI.'!$F$1807</f>
        <v>0</v>
      </c>
      <c r="G65" s="964">
        <f>'A VI.'!$F$1821</f>
        <v>0</v>
      </c>
      <c r="H65" s="998">
        <f>'A VI.'!$F$1833</f>
        <v>0</v>
      </c>
      <c r="I65" s="963">
        <f t="shared" si="21"/>
        <v>0</v>
      </c>
      <c r="J65" s="964">
        <f t="shared" si="22"/>
        <v>0</v>
      </c>
      <c r="K65" s="966">
        <f t="shared" si="23"/>
        <v>0</v>
      </c>
      <c r="L65" s="999">
        <f t="shared" si="24"/>
        <v>0</v>
      </c>
      <c r="M65" s="1000" t="e">
        <f t="shared" si="25"/>
        <v>#DIV/0!</v>
      </c>
    </row>
    <row r="66" spans="1:13" ht="17.100000000000001" customHeight="1" x14ac:dyDescent="0.2">
      <c r="A66" s="1026" t="s">
        <v>139</v>
      </c>
      <c r="B66" s="1001" t="s">
        <v>1005</v>
      </c>
      <c r="C66" s="996" t="s">
        <v>197</v>
      </c>
      <c r="D66" s="961">
        <f>'[12]A IV.'!$D66</f>
        <v>50</v>
      </c>
      <c r="E66" s="997">
        <f t="shared" si="20"/>
        <v>0</v>
      </c>
      <c r="F66" s="963">
        <f>'A VI.'!F1855</f>
        <v>0</v>
      </c>
      <c r="G66" s="964">
        <f>'A VI.'!F1869</f>
        <v>0</v>
      </c>
      <c r="H66" s="998">
        <f>'A VI.'!F1881</f>
        <v>0</v>
      </c>
      <c r="I66" s="963">
        <f t="shared" si="21"/>
        <v>0</v>
      </c>
      <c r="J66" s="964">
        <f t="shared" si="22"/>
        <v>0</v>
      </c>
      <c r="K66" s="966">
        <f t="shared" si="23"/>
        <v>0</v>
      </c>
      <c r="L66" s="999">
        <f t="shared" si="24"/>
        <v>0</v>
      </c>
      <c r="M66" s="1000" t="e">
        <f t="shared" si="25"/>
        <v>#DIV/0!</v>
      </c>
    </row>
    <row r="67" spans="1:13" ht="17.100000000000001" customHeight="1" x14ac:dyDescent="0.2">
      <c r="A67" s="1026" t="s">
        <v>140</v>
      </c>
      <c r="B67" s="1001" t="s">
        <v>1008</v>
      </c>
      <c r="C67" s="996" t="s">
        <v>197</v>
      </c>
      <c r="D67" s="961">
        <f>'[12]A IV.'!$D67</f>
        <v>50</v>
      </c>
      <c r="E67" s="997">
        <f t="shared" si="20"/>
        <v>0</v>
      </c>
      <c r="F67" s="963">
        <f>'A VI.'!F1903</f>
        <v>0</v>
      </c>
      <c r="G67" s="964">
        <f>'A VI.'!F1917</f>
        <v>0</v>
      </c>
      <c r="H67" s="998">
        <f>'A VI.'!F1929</f>
        <v>0</v>
      </c>
      <c r="I67" s="963">
        <f t="shared" si="21"/>
        <v>0</v>
      </c>
      <c r="J67" s="964">
        <f t="shared" si="22"/>
        <v>0</v>
      </c>
      <c r="K67" s="966">
        <f t="shared" si="23"/>
        <v>0</v>
      </c>
      <c r="L67" s="999">
        <f t="shared" si="24"/>
        <v>0</v>
      </c>
      <c r="M67" s="1000" t="e">
        <f t="shared" si="25"/>
        <v>#DIV/0!</v>
      </c>
    </row>
    <row r="68" spans="1:13" ht="17.100000000000001" customHeight="1" x14ac:dyDescent="0.2">
      <c r="A68" s="1026" t="s">
        <v>92</v>
      </c>
      <c r="B68" s="1001" t="s">
        <v>796</v>
      </c>
      <c r="C68" s="996" t="s">
        <v>197</v>
      </c>
      <c r="D68" s="961">
        <f>'[12]A IV.'!$D68</f>
        <v>7</v>
      </c>
      <c r="E68" s="997">
        <f t="shared" si="20"/>
        <v>0</v>
      </c>
      <c r="F68" s="963">
        <f>'A VI.'!$F$1951</f>
        <v>0</v>
      </c>
      <c r="G68" s="964">
        <f>'A VI.'!$F$1965</f>
        <v>0</v>
      </c>
      <c r="H68" s="998">
        <f>'A VI.'!$F$1977</f>
        <v>0</v>
      </c>
      <c r="I68" s="963">
        <f t="shared" si="21"/>
        <v>0</v>
      </c>
      <c r="J68" s="964">
        <f t="shared" si="22"/>
        <v>0</v>
      </c>
      <c r="K68" s="966">
        <f t="shared" si="23"/>
        <v>0</v>
      </c>
      <c r="L68" s="999">
        <f t="shared" si="24"/>
        <v>0</v>
      </c>
      <c r="M68" s="1000" t="e">
        <f t="shared" si="25"/>
        <v>#DIV/0!</v>
      </c>
    </row>
    <row r="69" spans="1:13" ht="31.5" x14ac:dyDescent="0.2">
      <c r="A69" s="1026" t="s">
        <v>1188</v>
      </c>
      <c r="B69" s="1028" t="s">
        <v>1190</v>
      </c>
      <c r="C69" s="996" t="s">
        <v>196</v>
      </c>
      <c r="D69" s="961">
        <f>'[12]A IV.'!$D69</f>
        <v>3000</v>
      </c>
      <c r="E69" s="997">
        <f t="shared" si="20"/>
        <v>0</v>
      </c>
      <c r="F69" s="963">
        <f>'A VI.'!$F$1999</f>
        <v>0</v>
      </c>
      <c r="G69" s="964">
        <f>'A VI.'!$F$2013</f>
        <v>0</v>
      </c>
      <c r="H69" s="998">
        <f>'A VI.'!$F$2025</f>
        <v>0</v>
      </c>
      <c r="I69" s="963">
        <f t="shared" ref="I69:I70" si="26">ROUND(D69*F69,2)</f>
        <v>0</v>
      </c>
      <c r="J69" s="964">
        <f t="shared" ref="J69:J70" si="27">ROUND(D69*G69,2)</f>
        <v>0</v>
      </c>
      <c r="K69" s="966">
        <f t="shared" ref="K69:K70" si="28">ROUND(D69*H69,2)</f>
        <v>0</v>
      </c>
      <c r="L69" s="999">
        <f t="shared" si="24"/>
        <v>0</v>
      </c>
      <c r="M69" s="1000" t="e">
        <f t="shared" si="25"/>
        <v>#DIV/0!</v>
      </c>
    </row>
    <row r="70" spans="1:13" ht="31.5" x14ac:dyDescent="0.2">
      <c r="A70" s="1026" t="s">
        <v>1189</v>
      </c>
      <c r="B70" s="1028" t="s">
        <v>1191</v>
      </c>
      <c r="C70" s="996" t="s">
        <v>198</v>
      </c>
      <c r="D70" s="961">
        <f>'[12]A IV.'!$D70</f>
        <v>20</v>
      </c>
      <c r="E70" s="997">
        <f t="shared" si="20"/>
        <v>0</v>
      </c>
      <c r="F70" s="963">
        <f>'A VI.'!$F$2052</f>
        <v>0</v>
      </c>
      <c r="G70" s="964">
        <f>'A VI.'!$F$2062</f>
        <v>0</v>
      </c>
      <c r="H70" s="998">
        <f>'A VI.'!$F$2073</f>
        <v>0</v>
      </c>
      <c r="I70" s="963">
        <f t="shared" si="26"/>
        <v>0</v>
      </c>
      <c r="J70" s="964">
        <f t="shared" si="27"/>
        <v>0</v>
      </c>
      <c r="K70" s="966">
        <f t="shared" si="28"/>
        <v>0</v>
      </c>
      <c r="L70" s="999">
        <f t="shared" si="24"/>
        <v>0</v>
      </c>
      <c r="M70" s="1000" t="e">
        <f t="shared" si="25"/>
        <v>#DIV/0!</v>
      </c>
    </row>
    <row r="71" spans="1:13" ht="17.100000000000001" customHeight="1" x14ac:dyDescent="0.2">
      <c r="A71" s="991" t="s">
        <v>93</v>
      </c>
      <c r="B71" s="992" t="s">
        <v>1165</v>
      </c>
      <c r="C71" s="993"/>
      <c r="D71" s="993"/>
      <c r="E71" s="993"/>
      <c r="F71" s="993"/>
      <c r="G71" s="993"/>
      <c r="H71" s="993"/>
      <c r="I71" s="993"/>
      <c r="J71" s="993"/>
      <c r="K71" s="993"/>
      <c r="L71" s="993"/>
      <c r="M71" s="994"/>
    </row>
    <row r="72" spans="1:13" ht="17.100000000000001" customHeight="1" x14ac:dyDescent="0.2">
      <c r="A72" s="1026" t="s">
        <v>94</v>
      </c>
      <c r="B72" s="1001" t="s">
        <v>797</v>
      </c>
      <c r="C72" s="996" t="s">
        <v>255</v>
      </c>
      <c r="D72" s="961">
        <f>'[12]A IV.'!$D72</f>
        <v>50</v>
      </c>
      <c r="E72" s="997">
        <f t="shared" ref="E72:E78" si="29">F72+G72+H72</f>
        <v>0</v>
      </c>
      <c r="F72" s="963">
        <f>'A VI.'!$F$2095</f>
        <v>0</v>
      </c>
      <c r="G72" s="964">
        <f>'A VI.'!$F$2109</f>
        <v>0</v>
      </c>
      <c r="H72" s="998">
        <f>'A VI.'!$F$2121</f>
        <v>0</v>
      </c>
      <c r="I72" s="963">
        <f t="shared" ref="I72:I78" si="30">ROUND(D72*F72,2)</f>
        <v>0</v>
      </c>
      <c r="J72" s="964">
        <f t="shared" ref="J72:J78" si="31">ROUND(D72*G72,2)</f>
        <v>0</v>
      </c>
      <c r="K72" s="966">
        <f t="shared" ref="K72:K78" si="32">ROUND(D72*H72,2)</f>
        <v>0</v>
      </c>
      <c r="L72" s="999">
        <f t="shared" ref="L72:L78" si="33">ROUND(D72*F72,2)+ROUND(D72*G72,2)+ROUND(D72*H72,2)</f>
        <v>0</v>
      </c>
      <c r="M72" s="1000" t="e">
        <f t="shared" ref="M72:M78" si="34">ROUND(L72/$L$174,6)</f>
        <v>#DIV/0!</v>
      </c>
    </row>
    <row r="73" spans="1:13" ht="17.100000000000001" customHeight="1" x14ac:dyDescent="0.2">
      <c r="A73" s="1026" t="s">
        <v>95</v>
      </c>
      <c r="B73" s="1001" t="s">
        <v>798</v>
      </c>
      <c r="C73" s="1002" t="s">
        <v>255</v>
      </c>
      <c r="D73" s="961">
        <f>'[12]A IV.'!$D73</f>
        <v>150</v>
      </c>
      <c r="E73" s="997">
        <f t="shared" si="29"/>
        <v>0</v>
      </c>
      <c r="F73" s="963">
        <f>'A VI.'!$F$2143</f>
        <v>0</v>
      </c>
      <c r="G73" s="964">
        <f>'A VI.'!$F$2157</f>
        <v>0</v>
      </c>
      <c r="H73" s="998">
        <f>'A VI.'!$F$2169</f>
        <v>0</v>
      </c>
      <c r="I73" s="963">
        <f t="shared" si="30"/>
        <v>0</v>
      </c>
      <c r="J73" s="964">
        <f t="shared" si="31"/>
        <v>0</v>
      </c>
      <c r="K73" s="966">
        <f t="shared" si="32"/>
        <v>0</v>
      </c>
      <c r="L73" s="999">
        <f t="shared" si="33"/>
        <v>0</v>
      </c>
      <c r="M73" s="1000" t="e">
        <f t="shared" si="34"/>
        <v>#DIV/0!</v>
      </c>
    </row>
    <row r="74" spans="1:13" ht="17.100000000000001" customHeight="1" x14ac:dyDescent="0.2">
      <c r="A74" s="1026" t="s">
        <v>96</v>
      </c>
      <c r="B74" s="1001" t="s">
        <v>799</v>
      </c>
      <c r="C74" s="1002" t="s">
        <v>255</v>
      </c>
      <c r="D74" s="961">
        <f>'[12]A IV.'!$D74</f>
        <v>150</v>
      </c>
      <c r="E74" s="997">
        <f t="shared" si="29"/>
        <v>0</v>
      </c>
      <c r="F74" s="963">
        <f>'A VI.'!$F$2191</f>
        <v>0</v>
      </c>
      <c r="G74" s="964">
        <f>'A VI.'!$F$2205</f>
        <v>0</v>
      </c>
      <c r="H74" s="998">
        <f>'A VI.'!$F$2217</f>
        <v>0</v>
      </c>
      <c r="I74" s="963">
        <f t="shared" si="30"/>
        <v>0</v>
      </c>
      <c r="J74" s="964">
        <f t="shared" si="31"/>
        <v>0</v>
      </c>
      <c r="K74" s="966">
        <f t="shared" si="32"/>
        <v>0</v>
      </c>
      <c r="L74" s="999">
        <f t="shared" si="33"/>
        <v>0</v>
      </c>
      <c r="M74" s="1000" t="e">
        <f t="shared" si="34"/>
        <v>#DIV/0!</v>
      </c>
    </row>
    <row r="75" spans="1:13" ht="17.100000000000001" customHeight="1" x14ac:dyDescent="0.2">
      <c r="A75" s="1026" t="s">
        <v>97</v>
      </c>
      <c r="B75" s="1001" t="s">
        <v>800</v>
      </c>
      <c r="C75" s="1002" t="s">
        <v>255</v>
      </c>
      <c r="D75" s="961">
        <f>'[12]A IV.'!$D75</f>
        <v>20</v>
      </c>
      <c r="E75" s="997">
        <f t="shared" si="29"/>
        <v>0</v>
      </c>
      <c r="F75" s="963">
        <f>'A VI.'!F2239</f>
        <v>0</v>
      </c>
      <c r="G75" s="964">
        <f>'A VI.'!F2253</f>
        <v>0</v>
      </c>
      <c r="H75" s="998">
        <f>'A VI.'!F2265</f>
        <v>0</v>
      </c>
      <c r="I75" s="963">
        <f t="shared" si="30"/>
        <v>0</v>
      </c>
      <c r="J75" s="964">
        <f t="shared" si="31"/>
        <v>0</v>
      </c>
      <c r="K75" s="966">
        <f t="shared" si="32"/>
        <v>0</v>
      </c>
      <c r="L75" s="999">
        <f t="shared" si="33"/>
        <v>0</v>
      </c>
      <c r="M75" s="1000" t="e">
        <f t="shared" si="34"/>
        <v>#DIV/0!</v>
      </c>
    </row>
    <row r="76" spans="1:13" ht="17.100000000000001" customHeight="1" x14ac:dyDescent="0.2">
      <c r="A76" s="1026" t="s">
        <v>154</v>
      </c>
      <c r="B76" s="1001" t="s">
        <v>801</v>
      </c>
      <c r="C76" s="1002" t="s">
        <v>255</v>
      </c>
      <c r="D76" s="961">
        <f>'[12]A IV.'!$D76</f>
        <v>10</v>
      </c>
      <c r="E76" s="997">
        <f t="shared" si="29"/>
        <v>0</v>
      </c>
      <c r="F76" s="963">
        <f>'A VI.'!F2287</f>
        <v>0</v>
      </c>
      <c r="G76" s="964">
        <f>'A VI.'!F2301</f>
        <v>0</v>
      </c>
      <c r="H76" s="998">
        <f>'A VI.'!F2313</f>
        <v>0</v>
      </c>
      <c r="I76" s="963">
        <f t="shared" si="30"/>
        <v>0</v>
      </c>
      <c r="J76" s="964">
        <f t="shared" si="31"/>
        <v>0</v>
      </c>
      <c r="K76" s="966">
        <f t="shared" si="32"/>
        <v>0</v>
      </c>
      <c r="L76" s="999">
        <f t="shared" si="33"/>
        <v>0</v>
      </c>
      <c r="M76" s="1000" t="e">
        <f t="shared" si="34"/>
        <v>#DIV/0!</v>
      </c>
    </row>
    <row r="77" spans="1:13" ht="17.100000000000001" customHeight="1" x14ac:dyDescent="0.2">
      <c r="A77" s="1026" t="s">
        <v>545</v>
      </c>
      <c r="B77" s="1001" t="s">
        <v>1066</v>
      </c>
      <c r="C77" s="996" t="s">
        <v>255</v>
      </c>
      <c r="D77" s="961">
        <f>'[12]A IV.'!$D77</f>
        <v>1200</v>
      </c>
      <c r="E77" s="997">
        <f t="shared" si="29"/>
        <v>0</v>
      </c>
      <c r="F77" s="963">
        <f>'A VI.'!$F$2335</f>
        <v>0</v>
      </c>
      <c r="G77" s="964">
        <f>'A VI.'!$F$2349</f>
        <v>0</v>
      </c>
      <c r="H77" s="998">
        <f>'A VI.'!$F$2361</f>
        <v>0</v>
      </c>
      <c r="I77" s="963">
        <f t="shared" si="30"/>
        <v>0</v>
      </c>
      <c r="J77" s="964">
        <f t="shared" si="31"/>
        <v>0</v>
      </c>
      <c r="K77" s="966">
        <f t="shared" si="32"/>
        <v>0</v>
      </c>
      <c r="L77" s="999">
        <f t="shared" si="33"/>
        <v>0</v>
      </c>
      <c r="M77" s="1000" t="e">
        <f t="shared" si="34"/>
        <v>#DIV/0!</v>
      </c>
    </row>
    <row r="78" spans="1:13" ht="17.100000000000001" customHeight="1" x14ac:dyDescent="0.2">
      <c r="A78" s="1026" t="s">
        <v>1061</v>
      </c>
      <c r="B78" s="1001" t="s">
        <v>1067</v>
      </c>
      <c r="C78" s="996" t="s">
        <v>255</v>
      </c>
      <c r="D78" s="961">
        <f>'[12]A IV.'!$D78</f>
        <v>46</v>
      </c>
      <c r="E78" s="997">
        <f t="shared" si="29"/>
        <v>0</v>
      </c>
      <c r="F78" s="963">
        <f>'A VI.'!$F$2383</f>
        <v>0</v>
      </c>
      <c r="G78" s="964">
        <f>'A VI.'!$F$2397</f>
        <v>0</v>
      </c>
      <c r="H78" s="998">
        <f>'A VI.'!$F$2409</f>
        <v>0</v>
      </c>
      <c r="I78" s="963">
        <f t="shared" si="30"/>
        <v>0</v>
      </c>
      <c r="J78" s="964">
        <f t="shared" si="31"/>
        <v>0</v>
      </c>
      <c r="K78" s="966">
        <f t="shared" si="32"/>
        <v>0</v>
      </c>
      <c r="L78" s="999">
        <f t="shared" si="33"/>
        <v>0</v>
      </c>
      <c r="M78" s="1000" t="e">
        <f t="shared" si="34"/>
        <v>#DIV/0!</v>
      </c>
    </row>
    <row r="79" spans="1:13" ht="18.95" customHeight="1" x14ac:dyDescent="0.2">
      <c r="A79" s="991" t="s">
        <v>27</v>
      </c>
      <c r="B79" s="992" t="s">
        <v>1166</v>
      </c>
      <c r="C79" s="993"/>
      <c r="D79" s="993"/>
      <c r="E79" s="993"/>
      <c r="F79" s="993"/>
      <c r="G79" s="993"/>
      <c r="H79" s="993"/>
      <c r="I79" s="993"/>
      <c r="J79" s="993"/>
      <c r="K79" s="993"/>
      <c r="L79" s="993"/>
      <c r="M79" s="994"/>
    </row>
    <row r="80" spans="1:13" ht="18.95" customHeight="1" x14ac:dyDescent="0.2">
      <c r="A80" s="1026" t="s">
        <v>141</v>
      </c>
      <c r="B80" s="1001" t="s">
        <v>802</v>
      </c>
      <c r="C80" s="996" t="s">
        <v>255</v>
      </c>
      <c r="D80" s="961">
        <f>'[12]A IV.'!$D80</f>
        <v>100</v>
      </c>
      <c r="E80" s="997">
        <f t="shared" ref="E80:E84" si="35">F80+G80+H80</f>
        <v>0</v>
      </c>
      <c r="F80" s="963">
        <f>'A VI.'!$F$2431</f>
        <v>0</v>
      </c>
      <c r="G80" s="964">
        <f>'A VI.'!$F$2445</f>
        <v>0</v>
      </c>
      <c r="H80" s="998">
        <f>'A VI.'!$F$2457</f>
        <v>0</v>
      </c>
      <c r="I80" s="963">
        <f t="shared" ref="I80:I84" si="36">ROUND(D80*F80,2)</f>
        <v>0</v>
      </c>
      <c r="J80" s="964">
        <f t="shared" ref="J80:J84" si="37">ROUND(D80*G80,2)</f>
        <v>0</v>
      </c>
      <c r="K80" s="966">
        <f t="shared" ref="K80:K84" si="38">ROUND(D80*H80,2)</f>
        <v>0</v>
      </c>
      <c r="L80" s="999">
        <f t="shared" ref="L80:L84" si="39">ROUND(D80*F80,2)+ROUND(D80*G80,2)+ROUND(D80*H80,2)</f>
        <v>0</v>
      </c>
      <c r="M80" s="1000" t="e">
        <f>ROUND(L80/$L$174,6)</f>
        <v>#DIV/0!</v>
      </c>
    </row>
    <row r="81" spans="1:13" ht="18.95" customHeight="1" x14ac:dyDescent="0.2">
      <c r="A81" s="1026" t="s">
        <v>78</v>
      </c>
      <c r="B81" s="1001" t="s">
        <v>859</v>
      </c>
      <c r="C81" s="996" t="s">
        <v>255</v>
      </c>
      <c r="D81" s="961">
        <f>'[12]A IV.'!$D81</f>
        <v>500</v>
      </c>
      <c r="E81" s="997">
        <f t="shared" si="35"/>
        <v>0</v>
      </c>
      <c r="F81" s="963">
        <f>'A VI.'!$F$2479</f>
        <v>0</v>
      </c>
      <c r="G81" s="964">
        <f>'A VI.'!$F$2493</f>
        <v>0</v>
      </c>
      <c r="H81" s="998">
        <f>'A VI.'!$F$2505</f>
        <v>0</v>
      </c>
      <c r="I81" s="963">
        <f t="shared" si="36"/>
        <v>0</v>
      </c>
      <c r="J81" s="964">
        <f t="shared" si="37"/>
        <v>0</v>
      </c>
      <c r="K81" s="966">
        <f t="shared" si="38"/>
        <v>0</v>
      </c>
      <c r="L81" s="999">
        <f t="shared" si="39"/>
        <v>0</v>
      </c>
      <c r="M81" s="1000" t="e">
        <f>ROUND(L81/$L$174,6)</f>
        <v>#DIV/0!</v>
      </c>
    </row>
    <row r="82" spans="1:13" ht="18.95" customHeight="1" x14ac:dyDescent="0.2">
      <c r="A82" s="1026" t="s">
        <v>142</v>
      </c>
      <c r="B82" s="1001" t="s">
        <v>860</v>
      </c>
      <c r="C82" s="996" t="s">
        <v>255</v>
      </c>
      <c r="D82" s="961">
        <f>'[12]A IV.'!$D82</f>
        <v>2000</v>
      </c>
      <c r="E82" s="997">
        <f t="shared" si="35"/>
        <v>0</v>
      </c>
      <c r="F82" s="963">
        <f>'A VI.'!F2527</f>
        <v>0</v>
      </c>
      <c r="G82" s="964">
        <f>'A VI.'!F2541</f>
        <v>0</v>
      </c>
      <c r="H82" s="998">
        <f>'A VI.'!F2553</f>
        <v>0</v>
      </c>
      <c r="I82" s="963">
        <f t="shared" si="36"/>
        <v>0</v>
      </c>
      <c r="J82" s="964">
        <f t="shared" si="37"/>
        <v>0</v>
      </c>
      <c r="K82" s="966">
        <f t="shared" si="38"/>
        <v>0</v>
      </c>
      <c r="L82" s="999">
        <f t="shared" si="39"/>
        <v>0</v>
      </c>
      <c r="M82" s="1000" t="e">
        <f>ROUND(L82/$L$174,6)</f>
        <v>#DIV/0!</v>
      </c>
    </row>
    <row r="83" spans="1:13" ht="18.95" customHeight="1" x14ac:dyDescent="0.2">
      <c r="A83" s="1026" t="s">
        <v>151</v>
      </c>
      <c r="B83" s="1001" t="s">
        <v>803</v>
      </c>
      <c r="C83" s="996" t="s">
        <v>255</v>
      </c>
      <c r="D83" s="961">
        <f>'[12]A IV.'!$D83</f>
        <v>20</v>
      </c>
      <c r="E83" s="997">
        <f t="shared" si="35"/>
        <v>0</v>
      </c>
      <c r="F83" s="963">
        <f>'A VI.'!$F$2575</f>
        <v>0</v>
      </c>
      <c r="G83" s="964">
        <f>'A VI.'!$F$2589</f>
        <v>0</v>
      </c>
      <c r="H83" s="998">
        <f>'A VI.'!$F$2601</f>
        <v>0</v>
      </c>
      <c r="I83" s="963">
        <f t="shared" si="36"/>
        <v>0</v>
      </c>
      <c r="J83" s="964">
        <f t="shared" si="37"/>
        <v>0</v>
      </c>
      <c r="K83" s="966">
        <f t="shared" si="38"/>
        <v>0</v>
      </c>
      <c r="L83" s="999">
        <f t="shared" si="39"/>
        <v>0</v>
      </c>
      <c r="M83" s="1000" t="e">
        <f>ROUND(L83/$L$174,6)</f>
        <v>#DIV/0!</v>
      </c>
    </row>
    <row r="84" spans="1:13" ht="18.95" customHeight="1" x14ac:dyDescent="0.2">
      <c r="A84" s="1026" t="s">
        <v>558</v>
      </c>
      <c r="B84" s="1001" t="s">
        <v>1097</v>
      </c>
      <c r="C84" s="996" t="s">
        <v>255</v>
      </c>
      <c r="D84" s="961">
        <f>'[12]A IV.'!$D84</f>
        <v>20</v>
      </c>
      <c r="E84" s="997">
        <f t="shared" si="35"/>
        <v>0</v>
      </c>
      <c r="F84" s="963">
        <f>'A VI.'!$F$2623</f>
        <v>0</v>
      </c>
      <c r="G84" s="964">
        <f>'A VI.'!$F$2637</f>
        <v>0</v>
      </c>
      <c r="H84" s="998">
        <f>'A VI.'!$F$2649</f>
        <v>0</v>
      </c>
      <c r="I84" s="963">
        <f t="shared" si="36"/>
        <v>0</v>
      </c>
      <c r="J84" s="964">
        <f t="shared" si="37"/>
        <v>0</v>
      </c>
      <c r="K84" s="966">
        <f t="shared" si="38"/>
        <v>0</v>
      </c>
      <c r="L84" s="999">
        <f t="shared" si="39"/>
        <v>0</v>
      </c>
      <c r="M84" s="1000" t="e">
        <f>ROUND(L84/$L$174,6)</f>
        <v>#DIV/0!</v>
      </c>
    </row>
    <row r="85" spans="1:13" ht="18.95" customHeight="1" x14ac:dyDescent="0.2">
      <c r="A85" s="991" t="s">
        <v>22</v>
      </c>
      <c r="B85" s="992" t="s">
        <v>1167</v>
      </c>
      <c r="C85" s="993"/>
      <c r="D85" s="993"/>
      <c r="E85" s="993"/>
      <c r="F85" s="993"/>
      <c r="G85" s="993"/>
      <c r="H85" s="993"/>
      <c r="I85" s="993"/>
      <c r="J85" s="993"/>
      <c r="K85" s="993"/>
      <c r="L85" s="993"/>
      <c r="M85" s="994"/>
    </row>
    <row r="86" spans="1:13" ht="18.95" customHeight="1" x14ac:dyDescent="0.2">
      <c r="A86" s="1026" t="s">
        <v>98</v>
      </c>
      <c r="B86" s="1001" t="s">
        <v>804</v>
      </c>
      <c r="C86" s="996" t="s">
        <v>197</v>
      </c>
      <c r="D86" s="961">
        <f>'[12]A IV.'!$D86</f>
        <v>217</v>
      </c>
      <c r="E86" s="997">
        <f>F86+G86+H86</f>
        <v>0</v>
      </c>
      <c r="F86" s="963">
        <f>'A VI.'!$F$2671</f>
        <v>0</v>
      </c>
      <c r="G86" s="964">
        <f>'A VI.'!$F$2685</f>
        <v>0</v>
      </c>
      <c r="H86" s="998">
        <f>'A VI.'!$F$2697</f>
        <v>0</v>
      </c>
      <c r="I86" s="963">
        <f>ROUND(D86*F86,2)</f>
        <v>0</v>
      </c>
      <c r="J86" s="964">
        <f>ROUND(D86*G86,2)</f>
        <v>0</v>
      </c>
      <c r="K86" s="966">
        <f>ROUND(D86*H86,2)</f>
        <v>0</v>
      </c>
      <c r="L86" s="999">
        <f>ROUND(D86*F86,2)+ROUND(D86*G86,2)+ROUND(D86*H86,2)</f>
        <v>0</v>
      </c>
      <c r="M86" s="1000" t="e">
        <f>ROUND(L86/$L$174,6)</f>
        <v>#DIV/0!</v>
      </c>
    </row>
    <row r="87" spans="1:13" ht="18.95" customHeight="1" x14ac:dyDescent="0.2">
      <c r="A87" s="1026" t="s">
        <v>99</v>
      </c>
      <c r="B87" s="1001" t="s">
        <v>805</v>
      </c>
      <c r="C87" s="996" t="s">
        <v>254</v>
      </c>
      <c r="D87" s="961">
        <f>'[12]A IV.'!$D87</f>
        <v>1000</v>
      </c>
      <c r="E87" s="997">
        <f>F87+G87+H87</f>
        <v>0</v>
      </c>
      <c r="F87" s="963">
        <f>'A VI.'!$F$2719</f>
        <v>0</v>
      </c>
      <c r="G87" s="964">
        <f>'A VI.'!$F$2733</f>
        <v>0</v>
      </c>
      <c r="H87" s="998">
        <f>'A VI.'!$F$2745</f>
        <v>0</v>
      </c>
      <c r="I87" s="963">
        <f>ROUND(D87*F87,2)</f>
        <v>0</v>
      </c>
      <c r="J87" s="964">
        <f>ROUND(D87*G87,2)</f>
        <v>0</v>
      </c>
      <c r="K87" s="966">
        <f>ROUND(D87*H87,2)</f>
        <v>0</v>
      </c>
      <c r="L87" s="999">
        <f>ROUND(D87*F87,2)+ROUND(D87*G87,2)+ROUND(D87*H87,2)</f>
        <v>0</v>
      </c>
      <c r="M87" s="1000" t="e">
        <f>ROUND(L87/$L$174,6)</f>
        <v>#DIV/0!</v>
      </c>
    </row>
    <row r="88" spans="1:13" ht="18.95" customHeight="1" x14ac:dyDescent="0.2">
      <c r="A88" s="1026" t="s">
        <v>576</v>
      </c>
      <c r="B88" s="1001" t="s">
        <v>806</v>
      </c>
      <c r="C88" s="996" t="s">
        <v>254</v>
      </c>
      <c r="D88" s="961">
        <f>'[12]A IV.'!$D88</f>
        <v>5000</v>
      </c>
      <c r="E88" s="997">
        <f>F88+G88+H88</f>
        <v>0</v>
      </c>
      <c r="F88" s="963">
        <f>'A VI.'!F2767</f>
        <v>0</v>
      </c>
      <c r="G88" s="964">
        <f>'A VI.'!F2781</f>
        <v>0</v>
      </c>
      <c r="H88" s="998">
        <f>'A VI.'!F2793</f>
        <v>0</v>
      </c>
      <c r="I88" s="963">
        <f>ROUND(D88*F88,2)</f>
        <v>0</v>
      </c>
      <c r="J88" s="964">
        <f>ROUND(D88*G88,2)</f>
        <v>0</v>
      </c>
      <c r="K88" s="966">
        <f>ROUND(D88*H88,2)</f>
        <v>0</v>
      </c>
      <c r="L88" s="999">
        <f>ROUND(D88*F88,2)+ROUND(D88*G88,2)+ROUND(D88*H88,2)</f>
        <v>0</v>
      </c>
      <c r="M88" s="1000" t="e">
        <f>ROUND(L88/$L$174,6)</f>
        <v>#DIV/0!</v>
      </c>
    </row>
    <row r="89" spans="1:13" ht="18.95" customHeight="1" x14ac:dyDescent="0.2">
      <c r="A89" s="991" t="s">
        <v>23</v>
      </c>
      <c r="B89" s="992" t="s">
        <v>1168</v>
      </c>
      <c r="C89" s="993"/>
      <c r="D89" s="993"/>
      <c r="E89" s="993"/>
      <c r="F89" s="993"/>
      <c r="G89" s="993"/>
      <c r="H89" s="993"/>
      <c r="I89" s="993"/>
      <c r="J89" s="993"/>
      <c r="K89" s="993"/>
      <c r="L89" s="993"/>
      <c r="M89" s="994"/>
    </row>
    <row r="90" spans="1:13" ht="18.95" customHeight="1" x14ac:dyDescent="0.2">
      <c r="A90" s="1026" t="s">
        <v>100</v>
      </c>
      <c r="B90" s="1001" t="s">
        <v>807</v>
      </c>
      <c r="C90" s="996" t="s">
        <v>196</v>
      </c>
      <c r="D90" s="961">
        <f>'[12]A IV.'!$D90</f>
        <v>100</v>
      </c>
      <c r="E90" s="997">
        <f>F90+G90+H90</f>
        <v>0</v>
      </c>
      <c r="F90" s="963">
        <f>'A VI.'!F2815</f>
        <v>0</v>
      </c>
      <c r="G90" s="964">
        <f>'A VI.'!F2829</f>
        <v>0</v>
      </c>
      <c r="H90" s="998">
        <f>'A VI.'!F2841</f>
        <v>0</v>
      </c>
      <c r="I90" s="963">
        <f>ROUND(D90*F90,2)</f>
        <v>0</v>
      </c>
      <c r="J90" s="964">
        <f>ROUND(D90*G90,2)</f>
        <v>0</v>
      </c>
      <c r="K90" s="966">
        <f>ROUND(D90*H90,2)</f>
        <v>0</v>
      </c>
      <c r="L90" s="999">
        <f>ROUND(D90*F90,2)+ROUND(D90*G90,2)+ROUND(D90*H90,2)</f>
        <v>0</v>
      </c>
      <c r="M90" s="1000" t="e">
        <f>ROUND(L90/$L$174,6)</f>
        <v>#DIV/0!</v>
      </c>
    </row>
    <row r="91" spans="1:13" ht="18.95" customHeight="1" x14ac:dyDescent="0.2">
      <c r="A91" s="991" t="s">
        <v>58</v>
      </c>
      <c r="B91" s="992" t="s">
        <v>1169</v>
      </c>
      <c r="C91" s="993"/>
      <c r="D91" s="993"/>
      <c r="E91" s="993"/>
      <c r="F91" s="993"/>
      <c r="G91" s="993"/>
      <c r="H91" s="993"/>
      <c r="I91" s="993"/>
      <c r="J91" s="993"/>
      <c r="K91" s="993"/>
      <c r="L91" s="993"/>
      <c r="M91" s="994"/>
    </row>
    <row r="92" spans="1:13" ht="18.95" customHeight="1" x14ac:dyDescent="0.2">
      <c r="A92" s="1026" t="s">
        <v>101</v>
      </c>
      <c r="B92" s="1001" t="s">
        <v>808</v>
      </c>
      <c r="C92" s="996" t="s">
        <v>197</v>
      </c>
      <c r="D92" s="961">
        <f>'[12]A IV.'!$D92</f>
        <v>125</v>
      </c>
      <c r="E92" s="997">
        <f>F92+G92+H92</f>
        <v>0</v>
      </c>
      <c r="F92" s="963">
        <f>'A VI.'!$F$2863</f>
        <v>0</v>
      </c>
      <c r="G92" s="964">
        <f>'A VI.'!$F$2877</f>
        <v>0</v>
      </c>
      <c r="H92" s="998">
        <f>'A VI.'!$F$2889</f>
        <v>0</v>
      </c>
      <c r="I92" s="963">
        <f>ROUND(D92*F92,2)</f>
        <v>0</v>
      </c>
      <c r="J92" s="964">
        <f>ROUND(D92*G92,2)</f>
        <v>0</v>
      </c>
      <c r="K92" s="966">
        <f>ROUND(D92*H92,2)</f>
        <v>0</v>
      </c>
      <c r="L92" s="999">
        <f>ROUND(D92*F92,2)+ROUND(D92*G92,2)+ROUND(D92*H92,2)</f>
        <v>0</v>
      </c>
      <c r="M92" s="1000" t="e">
        <f>ROUND(L92/$L$174,6)</f>
        <v>#DIV/0!</v>
      </c>
    </row>
    <row r="93" spans="1:13" s="969" customFormat="1" ht="18.95" customHeight="1" x14ac:dyDescent="0.2">
      <c r="A93" s="1026" t="s">
        <v>102</v>
      </c>
      <c r="B93" s="1001" t="s">
        <v>858</v>
      </c>
      <c r="C93" s="996" t="s">
        <v>197</v>
      </c>
      <c r="D93" s="961">
        <f>'[12]A IV.'!$D93</f>
        <v>125</v>
      </c>
      <c r="E93" s="997">
        <f>F93+G93+H93</f>
        <v>0</v>
      </c>
      <c r="F93" s="963">
        <f>'A VI.'!$F$2911</f>
        <v>0</v>
      </c>
      <c r="G93" s="964">
        <f>'A VI.'!$F$2925</f>
        <v>0</v>
      </c>
      <c r="H93" s="998">
        <f>'A VI.'!$F$2937</f>
        <v>0</v>
      </c>
      <c r="I93" s="963">
        <f>ROUND(D93*F93,2)</f>
        <v>0</v>
      </c>
      <c r="J93" s="964">
        <f>ROUND(D93*G93,2)</f>
        <v>0</v>
      </c>
      <c r="K93" s="966">
        <f>ROUND(D93*H93,2)</f>
        <v>0</v>
      </c>
      <c r="L93" s="999">
        <f>ROUND(D93*F93,2)+ROUND(D93*G93,2)+ROUND(D93*H93,2)</f>
        <v>0</v>
      </c>
      <c r="M93" s="1000" t="e">
        <f>ROUND(L93/$L$174,6)</f>
        <v>#DIV/0!</v>
      </c>
    </row>
    <row r="94" spans="1:13" ht="18.95" customHeight="1" x14ac:dyDescent="0.2">
      <c r="A94" s="1026" t="s">
        <v>103</v>
      </c>
      <c r="B94" s="1001" t="s">
        <v>809</v>
      </c>
      <c r="C94" s="996" t="s">
        <v>197</v>
      </c>
      <c r="D94" s="961">
        <f>'[12]A IV.'!$D94</f>
        <v>300</v>
      </c>
      <c r="E94" s="997">
        <f>F94+G94+H94</f>
        <v>0</v>
      </c>
      <c r="F94" s="963">
        <f>'A VI.'!$F$2959</f>
        <v>0</v>
      </c>
      <c r="G94" s="964">
        <f>'A VI.'!$F$2973</f>
        <v>0</v>
      </c>
      <c r="H94" s="998">
        <f>'A VI.'!$F$2985</f>
        <v>0</v>
      </c>
      <c r="I94" s="963">
        <f>ROUND(D94*F94,2)</f>
        <v>0</v>
      </c>
      <c r="J94" s="964">
        <f>ROUND(D94*G94,2)</f>
        <v>0</v>
      </c>
      <c r="K94" s="966">
        <f>ROUND(D94*H94,2)</f>
        <v>0</v>
      </c>
      <c r="L94" s="999">
        <f>ROUND(D94*F94,2)+ROUND(D94*G94,2)+ROUND(D94*H94,2)</f>
        <v>0</v>
      </c>
      <c r="M94" s="1000" t="e">
        <f>ROUND(L94/$L$174,6)</f>
        <v>#DIV/0!</v>
      </c>
    </row>
    <row r="95" spans="1:13" ht="18.95" customHeight="1" x14ac:dyDescent="0.2">
      <c r="A95" s="991" t="s">
        <v>24</v>
      </c>
      <c r="B95" s="992" t="s">
        <v>1170</v>
      </c>
      <c r="C95" s="993"/>
      <c r="D95" s="993"/>
      <c r="E95" s="993"/>
      <c r="F95" s="993"/>
      <c r="G95" s="993"/>
      <c r="H95" s="993"/>
      <c r="I95" s="993"/>
      <c r="J95" s="993"/>
      <c r="K95" s="993"/>
      <c r="L95" s="993"/>
      <c r="M95" s="994"/>
    </row>
    <row r="96" spans="1:13" s="1031" customFormat="1" ht="18.95" customHeight="1" x14ac:dyDescent="0.2">
      <c r="A96" s="1029" t="s">
        <v>104</v>
      </c>
      <c r="B96" s="1001" t="s">
        <v>1058</v>
      </c>
      <c r="C96" s="1030" t="s">
        <v>197</v>
      </c>
      <c r="D96" s="961">
        <f>'[12]A IV.'!$D96</f>
        <v>200</v>
      </c>
      <c r="E96" s="962">
        <f>F96+G96+H96</f>
        <v>0</v>
      </c>
      <c r="F96" s="963">
        <f>'A VI.'!$F$3007</f>
        <v>0</v>
      </c>
      <c r="G96" s="964">
        <f>'A VI.'!$F$3021</f>
        <v>0</v>
      </c>
      <c r="H96" s="998">
        <f>'A VI.'!$F$3033</f>
        <v>0</v>
      </c>
      <c r="I96" s="963">
        <f>ROUND(D96*F96,2)</f>
        <v>0</v>
      </c>
      <c r="J96" s="964">
        <f>ROUND(D96*G96,2)</f>
        <v>0</v>
      </c>
      <c r="K96" s="966">
        <f>ROUND(D96*H96,2)</f>
        <v>0</v>
      </c>
      <c r="L96" s="999">
        <f>ROUND(D96*F96,2)+ROUND(D96*G96,2)+ROUND(D96*H96,2)</f>
        <v>0</v>
      </c>
      <c r="M96" s="968" t="e">
        <f>ROUND(L96/$L$174,6)</f>
        <v>#DIV/0!</v>
      </c>
    </row>
    <row r="97" spans="1:13" s="1031" customFormat="1" ht="18.95" customHeight="1" x14ac:dyDescent="0.2">
      <c r="A97" s="1029" t="s">
        <v>105</v>
      </c>
      <c r="B97" s="1001" t="s">
        <v>810</v>
      </c>
      <c r="C97" s="1030" t="s">
        <v>197</v>
      </c>
      <c r="D97" s="961">
        <f>'[12]A IV.'!$D97</f>
        <v>100</v>
      </c>
      <c r="E97" s="962">
        <f>F97+G97+H97</f>
        <v>0</v>
      </c>
      <c r="F97" s="963">
        <f>'A VI.'!$F$3055</f>
        <v>0</v>
      </c>
      <c r="G97" s="964">
        <f>'A VI.'!$F$3069</f>
        <v>0</v>
      </c>
      <c r="H97" s="998">
        <f>'A VI.'!$F$3081</f>
        <v>0</v>
      </c>
      <c r="I97" s="963">
        <f>ROUND(D97*F97,2)</f>
        <v>0</v>
      </c>
      <c r="J97" s="964">
        <f>ROUND(D97*G97,2)</f>
        <v>0</v>
      </c>
      <c r="K97" s="966">
        <f>ROUND(D97*H97,2)</f>
        <v>0</v>
      </c>
      <c r="L97" s="999">
        <f>ROUND(D97*F97,2)+ROUND(D97*G97,2)+ROUND(D97*H97,2)</f>
        <v>0</v>
      </c>
      <c r="M97" s="968" t="e">
        <f>ROUND(L97/$L$174,6)</f>
        <v>#DIV/0!</v>
      </c>
    </row>
    <row r="98" spans="1:13" s="1031" customFormat="1" ht="18.95" customHeight="1" x14ac:dyDescent="0.2">
      <c r="A98" s="1029" t="s">
        <v>106</v>
      </c>
      <c r="B98" s="1001" t="s">
        <v>811</v>
      </c>
      <c r="C98" s="1030" t="s">
        <v>197</v>
      </c>
      <c r="D98" s="961">
        <f>'[12]A IV.'!$D98</f>
        <v>250</v>
      </c>
      <c r="E98" s="962">
        <f>F98+G98+H98</f>
        <v>0</v>
      </c>
      <c r="F98" s="963">
        <f>'A VI.'!$F$3103</f>
        <v>0</v>
      </c>
      <c r="G98" s="964">
        <f>'A VI.'!$F$3117</f>
        <v>0</v>
      </c>
      <c r="H98" s="998">
        <f>'A VI.'!$F$3129</f>
        <v>0</v>
      </c>
      <c r="I98" s="963">
        <f>ROUND(D98*F98,2)</f>
        <v>0</v>
      </c>
      <c r="J98" s="964">
        <f>ROUND(D98*G98,2)</f>
        <v>0</v>
      </c>
      <c r="K98" s="966">
        <f>ROUND(D98*H98,2)</f>
        <v>0</v>
      </c>
      <c r="L98" s="999">
        <f>ROUND(D98*F98,2)+ROUND(D98*G98,2)+ROUND(D98*H98,2)</f>
        <v>0</v>
      </c>
      <c r="M98" s="968" t="e">
        <f>ROUND(L98/$L$174,6)</f>
        <v>#DIV/0!</v>
      </c>
    </row>
    <row r="99" spans="1:13" s="1031" customFormat="1" ht="18.95" customHeight="1" x14ac:dyDescent="0.2">
      <c r="A99" s="1029" t="s">
        <v>138</v>
      </c>
      <c r="B99" s="1001" t="s">
        <v>812</v>
      </c>
      <c r="C99" s="1030" t="s">
        <v>197</v>
      </c>
      <c r="D99" s="961">
        <f>'[12]A IV.'!$D99</f>
        <v>45</v>
      </c>
      <c r="E99" s="962">
        <f>F99+G99+H99</f>
        <v>0</v>
      </c>
      <c r="F99" s="963">
        <f>'A VI.'!$F$3151</f>
        <v>0</v>
      </c>
      <c r="G99" s="964">
        <f>'A VI.'!$F$3165</f>
        <v>0</v>
      </c>
      <c r="H99" s="998">
        <f>'A VI.'!$F$3177</f>
        <v>0</v>
      </c>
      <c r="I99" s="963">
        <f>ROUND(D99*F99,2)</f>
        <v>0</v>
      </c>
      <c r="J99" s="964">
        <f>ROUND(D99*G99,2)</f>
        <v>0</v>
      </c>
      <c r="K99" s="966">
        <f>ROUND(D99*H99,2)</f>
        <v>0</v>
      </c>
      <c r="L99" s="999">
        <f>ROUND(D99*F99,2)+ROUND(D99*G99,2)+ROUND(D99*H99,2)</f>
        <v>0</v>
      </c>
      <c r="M99" s="968" t="e">
        <f>ROUND(L99/$L$174,6)</f>
        <v>#DIV/0!</v>
      </c>
    </row>
    <row r="100" spans="1:13" ht="18.95" customHeight="1" x14ac:dyDescent="0.2">
      <c r="A100" s="991" t="s">
        <v>107</v>
      </c>
      <c r="B100" s="992" t="s">
        <v>1171</v>
      </c>
      <c r="C100" s="993"/>
      <c r="D100" s="993"/>
      <c r="E100" s="993"/>
      <c r="F100" s="993"/>
      <c r="G100" s="993"/>
      <c r="H100" s="993"/>
      <c r="I100" s="993"/>
      <c r="J100" s="993"/>
      <c r="K100" s="993"/>
      <c r="L100" s="993"/>
      <c r="M100" s="994"/>
    </row>
    <row r="101" spans="1:13" ht="31.5" x14ac:dyDescent="0.2">
      <c r="A101" s="1026" t="s">
        <v>108</v>
      </c>
      <c r="B101" s="1001" t="s">
        <v>834</v>
      </c>
      <c r="C101" s="996" t="s">
        <v>197</v>
      </c>
      <c r="D101" s="961">
        <f>'[12]A IV.'!$D101</f>
        <v>200</v>
      </c>
      <c r="E101" s="997">
        <f t="shared" ref="E101:E106" si="40">F101+G101+H101</f>
        <v>0</v>
      </c>
      <c r="F101" s="963">
        <f>'A VI.'!$F$3199</f>
        <v>0</v>
      </c>
      <c r="G101" s="964">
        <f>'A VI.'!$F$3213</f>
        <v>0</v>
      </c>
      <c r="H101" s="998">
        <f>'A VI.'!$F$3225</f>
        <v>0</v>
      </c>
      <c r="I101" s="963">
        <f t="shared" ref="I101:I106" si="41">ROUND(D101*F101,2)</f>
        <v>0</v>
      </c>
      <c r="J101" s="964">
        <f t="shared" ref="J101:J106" si="42">ROUND(D101*G101,2)</f>
        <v>0</v>
      </c>
      <c r="K101" s="966">
        <f t="shared" ref="K101:K106" si="43">ROUND(D101*H101,2)</f>
        <v>0</v>
      </c>
      <c r="L101" s="999">
        <f t="shared" ref="L101:L106" si="44">ROUND(D101*F101,2)+ROUND(D101*G101,2)+ROUND(D101*H101,2)</f>
        <v>0</v>
      </c>
      <c r="M101" s="1000" t="e">
        <f t="shared" ref="M101:M106" si="45">ROUND(L101/$L$174,6)</f>
        <v>#DIV/0!</v>
      </c>
    </row>
    <row r="102" spans="1:13" ht="35.25" customHeight="1" x14ac:dyDescent="0.2">
      <c r="A102" s="1026" t="s">
        <v>109</v>
      </c>
      <c r="B102" s="1001" t="s">
        <v>813</v>
      </c>
      <c r="C102" s="996" t="s">
        <v>197</v>
      </c>
      <c r="D102" s="961">
        <f>'[12]A IV.'!$D102</f>
        <v>50</v>
      </c>
      <c r="E102" s="997">
        <f t="shared" si="40"/>
        <v>0</v>
      </c>
      <c r="F102" s="963">
        <f>'A VI.'!$F$3247</f>
        <v>0</v>
      </c>
      <c r="G102" s="964">
        <f>'A VI.'!$F$3261</f>
        <v>0</v>
      </c>
      <c r="H102" s="998">
        <f>'A VI.'!$F$3273</f>
        <v>0</v>
      </c>
      <c r="I102" s="963">
        <f t="shared" si="41"/>
        <v>0</v>
      </c>
      <c r="J102" s="964">
        <f t="shared" si="42"/>
        <v>0</v>
      </c>
      <c r="K102" s="966">
        <f t="shared" si="43"/>
        <v>0</v>
      </c>
      <c r="L102" s="999">
        <f t="shared" si="44"/>
        <v>0</v>
      </c>
      <c r="M102" s="1000" t="e">
        <f t="shared" si="45"/>
        <v>#DIV/0!</v>
      </c>
    </row>
    <row r="103" spans="1:13" ht="18.95" customHeight="1" x14ac:dyDescent="0.2">
      <c r="A103" s="1026" t="s">
        <v>110</v>
      </c>
      <c r="B103" s="1001" t="s">
        <v>814</v>
      </c>
      <c r="C103" s="996" t="s">
        <v>197</v>
      </c>
      <c r="D103" s="961">
        <f>'[12]A IV.'!$D103</f>
        <v>50</v>
      </c>
      <c r="E103" s="997">
        <f t="shared" si="40"/>
        <v>0</v>
      </c>
      <c r="F103" s="963">
        <f>'A VI.'!$F$3295</f>
        <v>0</v>
      </c>
      <c r="G103" s="964">
        <f>'A VI.'!$F$3309</f>
        <v>0</v>
      </c>
      <c r="H103" s="998">
        <f>'A VI.'!$F$3321</f>
        <v>0</v>
      </c>
      <c r="I103" s="963">
        <f t="shared" si="41"/>
        <v>0</v>
      </c>
      <c r="J103" s="964">
        <f t="shared" si="42"/>
        <v>0</v>
      </c>
      <c r="K103" s="966">
        <f t="shared" si="43"/>
        <v>0</v>
      </c>
      <c r="L103" s="999">
        <f t="shared" si="44"/>
        <v>0</v>
      </c>
      <c r="M103" s="1000" t="e">
        <f t="shared" si="45"/>
        <v>#DIV/0!</v>
      </c>
    </row>
    <row r="104" spans="1:13" ht="18.95" customHeight="1" x14ac:dyDescent="0.2">
      <c r="A104" s="1026" t="s">
        <v>530</v>
      </c>
      <c r="B104" s="1001" t="s">
        <v>1056</v>
      </c>
      <c r="C104" s="996" t="s">
        <v>197</v>
      </c>
      <c r="D104" s="961">
        <f>'[12]A IV.'!$D104</f>
        <v>20</v>
      </c>
      <c r="E104" s="997">
        <f t="shared" si="40"/>
        <v>0</v>
      </c>
      <c r="F104" s="963">
        <f>'A VI.'!$F$3343</f>
        <v>0</v>
      </c>
      <c r="G104" s="964">
        <f>'A VI.'!$F$3357</f>
        <v>0</v>
      </c>
      <c r="H104" s="998">
        <f>'A VI.'!$F$3369</f>
        <v>0</v>
      </c>
      <c r="I104" s="963">
        <f t="shared" si="41"/>
        <v>0</v>
      </c>
      <c r="J104" s="964">
        <f t="shared" si="42"/>
        <v>0</v>
      </c>
      <c r="K104" s="966">
        <f t="shared" si="43"/>
        <v>0</v>
      </c>
      <c r="L104" s="999">
        <f t="shared" si="44"/>
        <v>0</v>
      </c>
      <c r="M104" s="1000" t="e">
        <f t="shared" si="45"/>
        <v>#DIV/0!</v>
      </c>
    </row>
    <row r="105" spans="1:13" ht="18.95" customHeight="1" x14ac:dyDescent="0.2">
      <c r="A105" s="1026" t="s">
        <v>531</v>
      </c>
      <c r="B105" s="1001" t="s">
        <v>815</v>
      </c>
      <c r="C105" s="996" t="s">
        <v>196</v>
      </c>
      <c r="D105" s="961">
        <f>'[12]A IV.'!$D105</f>
        <v>25</v>
      </c>
      <c r="E105" s="997">
        <f t="shared" si="40"/>
        <v>0</v>
      </c>
      <c r="F105" s="963">
        <f>'A VI.'!$F$3391</f>
        <v>0</v>
      </c>
      <c r="G105" s="964">
        <f>'A VI.'!$F$3405</f>
        <v>0</v>
      </c>
      <c r="H105" s="998">
        <f>'A VI.'!$F$3417</f>
        <v>0</v>
      </c>
      <c r="I105" s="963">
        <f t="shared" si="41"/>
        <v>0</v>
      </c>
      <c r="J105" s="964">
        <f t="shared" si="42"/>
        <v>0</v>
      </c>
      <c r="K105" s="966">
        <f t="shared" si="43"/>
        <v>0</v>
      </c>
      <c r="L105" s="999">
        <f t="shared" si="44"/>
        <v>0</v>
      </c>
      <c r="M105" s="1000" t="e">
        <f t="shared" si="45"/>
        <v>#DIV/0!</v>
      </c>
    </row>
    <row r="106" spans="1:13" ht="18.95" customHeight="1" x14ac:dyDescent="0.2">
      <c r="A106" s="1026" t="s">
        <v>532</v>
      </c>
      <c r="B106" s="1001" t="s">
        <v>816</v>
      </c>
      <c r="C106" s="996" t="s">
        <v>196</v>
      </c>
      <c r="D106" s="961">
        <f>'[12]A IV.'!$D106</f>
        <v>25</v>
      </c>
      <c r="E106" s="997">
        <f t="shared" si="40"/>
        <v>0</v>
      </c>
      <c r="F106" s="963">
        <f>'A VI.'!$F$3439</f>
        <v>0</v>
      </c>
      <c r="G106" s="964">
        <f>'A VI.'!$F$3453</f>
        <v>0</v>
      </c>
      <c r="H106" s="998">
        <f>'A VI.'!$F$3465</f>
        <v>0</v>
      </c>
      <c r="I106" s="963">
        <f t="shared" si="41"/>
        <v>0</v>
      </c>
      <c r="J106" s="964">
        <f t="shared" si="42"/>
        <v>0</v>
      </c>
      <c r="K106" s="966">
        <f t="shared" si="43"/>
        <v>0</v>
      </c>
      <c r="L106" s="999">
        <f t="shared" si="44"/>
        <v>0</v>
      </c>
      <c r="M106" s="1000" t="e">
        <f t="shared" si="45"/>
        <v>#DIV/0!</v>
      </c>
    </row>
    <row r="107" spans="1:13" ht="18.95" customHeight="1" x14ac:dyDescent="0.2">
      <c r="A107" s="991" t="s">
        <v>111</v>
      </c>
      <c r="B107" s="992" t="s">
        <v>1172</v>
      </c>
      <c r="C107" s="993"/>
      <c r="D107" s="993"/>
      <c r="E107" s="993"/>
      <c r="F107" s="993"/>
      <c r="G107" s="993"/>
      <c r="H107" s="993"/>
      <c r="I107" s="993"/>
      <c r="J107" s="993"/>
      <c r="K107" s="993"/>
      <c r="L107" s="993"/>
      <c r="M107" s="994"/>
    </row>
    <row r="108" spans="1:13" ht="18.95" customHeight="1" x14ac:dyDescent="0.2">
      <c r="A108" s="1032" t="s">
        <v>533</v>
      </c>
      <c r="B108" s="1033" t="s">
        <v>817</v>
      </c>
      <c r="C108" s="1034" t="s">
        <v>197</v>
      </c>
      <c r="D108" s="961">
        <f>'[12]A IV.'!$D108</f>
        <v>16</v>
      </c>
      <c r="E108" s="997">
        <f>F108+G108+H108</f>
        <v>0</v>
      </c>
      <c r="F108" s="963">
        <f>'A VI.'!F3487</f>
        <v>0</v>
      </c>
      <c r="G108" s="964">
        <f>'A VI.'!F3501</f>
        <v>0</v>
      </c>
      <c r="H108" s="998">
        <f>'A VI.'!F3513</f>
        <v>0</v>
      </c>
      <c r="I108" s="963">
        <f>ROUND(D108*F108,2)</f>
        <v>0</v>
      </c>
      <c r="J108" s="964">
        <f>ROUND(D108*G108,2)</f>
        <v>0</v>
      </c>
      <c r="K108" s="966">
        <f>ROUND(D108*H108,2)</f>
        <v>0</v>
      </c>
      <c r="L108" s="999">
        <f>ROUND(D108*F108,2)+ROUND(D108*G108,2)+ROUND(D108*H108,2)</f>
        <v>0</v>
      </c>
      <c r="M108" s="1000" t="e">
        <f>ROUND(L108/$L$174,6)</f>
        <v>#DIV/0!</v>
      </c>
    </row>
    <row r="109" spans="1:13" ht="18.95" customHeight="1" x14ac:dyDescent="0.2">
      <c r="A109" s="1032" t="s">
        <v>534</v>
      </c>
      <c r="B109" s="1033" t="s">
        <v>1007</v>
      </c>
      <c r="C109" s="1034" t="s">
        <v>197</v>
      </c>
      <c r="D109" s="961">
        <f>'[12]A IV.'!$D109</f>
        <v>16</v>
      </c>
      <c r="E109" s="997">
        <f>F109+G109+H109</f>
        <v>0</v>
      </c>
      <c r="F109" s="963">
        <f>'A VI.'!$F$3535</f>
        <v>0</v>
      </c>
      <c r="G109" s="964">
        <f>'A VI.'!$F$3549</f>
        <v>0</v>
      </c>
      <c r="H109" s="998">
        <f>'A VI.'!$F$3561</f>
        <v>0</v>
      </c>
      <c r="I109" s="963">
        <f>ROUND(D109*F109,2)</f>
        <v>0</v>
      </c>
      <c r="J109" s="964">
        <f>ROUND(D109*G109,2)</f>
        <v>0</v>
      </c>
      <c r="K109" s="966">
        <f>ROUND(D109*H109,2)</f>
        <v>0</v>
      </c>
      <c r="L109" s="999">
        <f>ROUND(D109*F109,2)+ROUND(D109*G109,2)+ROUND(D109*H109,2)</f>
        <v>0</v>
      </c>
      <c r="M109" s="1000" t="e">
        <f>ROUND(L109/$L$174,6)</f>
        <v>#DIV/0!</v>
      </c>
    </row>
    <row r="110" spans="1:13" ht="18.95" customHeight="1" thickBot="1" x14ac:dyDescent="0.25">
      <c r="A110" s="1035" t="s">
        <v>1011</v>
      </c>
      <c r="B110" s="1036" t="s">
        <v>1016</v>
      </c>
      <c r="C110" s="1037" t="s">
        <v>197</v>
      </c>
      <c r="D110" s="961">
        <f>'[12]A IV.'!$D110</f>
        <v>32</v>
      </c>
      <c r="E110" s="1038">
        <f>F110+G110+H110</f>
        <v>0</v>
      </c>
      <c r="F110" s="1039">
        <f>'A VI.'!F3583</f>
        <v>0</v>
      </c>
      <c r="G110" s="1040">
        <f>'A VI.'!F3597</f>
        <v>0</v>
      </c>
      <c r="H110" s="1041">
        <f>'A VI.'!F3609</f>
        <v>0</v>
      </c>
      <c r="I110" s="981">
        <f>ROUND(D110*F110,2)</f>
        <v>0</v>
      </c>
      <c r="J110" s="982">
        <f>ROUND(D110*G110,2)</f>
        <v>0</v>
      </c>
      <c r="K110" s="984">
        <f>ROUND(D110*H110,2)</f>
        <v>0</v>
      </c>
      <c r="L110" s="1005">
        <f>ROUND(D110*F110,2)+ROUND(D110*G110,2)+ROUND(D110*H110,2)</f>
        <v>0</v>
      </c>
      <c r="M110" s="1042" t="e">
        <f>ROUND(L110/$L$174,6)</f>
        <v>#DIV/0!</v>
      </c>
    </row>
    <row r="111" spans="1:13" ht="8.1" customHeight="1" thickBot="1" x14ac:dyDescent="0.25">
      <c r="A111" s="1043"/>
      <c r="B111" s="1043"/>
      <c r="C111" s="1043"/>
      <c r="D111" s="1043"/>
      <c r="E111" s="1043"/>
      <c r="F111" s="1043"/>
      <c r="G111" s="1043"/>
      <c r="H111" s="1043"/>
      <c r="I111" s="1043"/>
      <c r="J111" s="1043"/>
      <c r="K111" s="1043"/>
      <c r="L111" s="1043"/>
      <c r="M111" s="1043"/>
    </row>
    <row r="112" spans="1:13" x14ac:dyDescent="0.2">
      <c r="A112" s="1008" t="s">
        <v>125</v>
      </c>
      <c r="B112" s="1044" t="s">
        <v>1173</v>
      </c>
      <c r="C112" s="1010" t="s">
        <v>6</v>
      </c>
      <c r="D112" s="1010"/>
      <c r="E112" s="1011"/>
      <c r="F112" s="1012">
        <f>I112</f>
        <v>0</v>
      </c>
      <c r="G112" s="1013">
        <f>J112</f>
        <v>0</v>
      </c>
      <c r="H112" s="1045">
        <f>K112</f>
        <v>0</v>
      </c>
      <c r="I112" s="1015">
        <f>SUM(I114:I124)</f>
        <v>0</v>
      </c>
      <c r="J112" s="1016">
        <f>SUM(J114:J124)</f>
        <v>0</v>
      </c>
      <c r="K112" s="1046">
        <f>SUM(K114:K124)</f>
        <v>0</v>
      </c>
      <c r="L112" s="1047">
        <f>SUM(L114:L124)</f>
        <v>0</v>
      </c>
      <c r="M112" s="1019" t="e">
        <f>ROUND(L112/$L$174,6)</f>
        <v>#DIV/0!</v>
      </c>
    </row>
    <row r="113" spans="1:13" x14ac:dyDescent="0.2">
      <c r="A113" s="1020"/>
      <c r="B113" s="1048"/>
      <c r="C113" s="1022"/>
      <c r="D113" s="1022"/>
      <c r="E113" s="1023"/>
      <c r="F113" s="306" t="e">
        <f>ROUND(F112/L112,6)</f>
        <v>#DIV/0!</v>
      </c>
      <c r="G113" s="307" t="e">
        <f>ROUND(G112/L112,6)</f>
        <v>#DIV/0!</v>
      </c>
      <c r="H113" s="308" t="e">
        <f>ROUND(H112/L112,6)</f>
        <v>#DIV/0!</v>
      </c>
      <c r="I113" s="306" t="str">
        <f>IF(I112=F112,"sim","nao")</f>
        <v>sim</v>
      </c>
      <c r="J113" s="307" t="str">
        <f>IF(J112=G112,"sim","nao")</f>
        <v>sim</v>
      </c>
      <c r="K113" s="415" t="str">
        <f>IF(K112=H112,"sim","nao")</f>
        <v>sim</v>
      </c>
      <c r="L113" s="1049"/>
      <c r="M113" s="1025"/>
    </row>
    <row r="114" spans="1:13" s="1031" customFormat="1" ht="31.5" x14ac:dyDescent="0.2">
      <c r="A114" s="1050" t="s">
        <v>112</v>
      </c>
      <c r="B114" s="1001" t="s">
        <v>835</v>
      </c>
      <c r="C114" s="1030" t="s">
        <v>198</v>
      </c>
      <c r="D114" s="961">
        <f>'[12]A IV.'!$D114</f>
        <v>20</v>
      </c>
      <c r="E114" s="1051">
        <f t="shared" ref="E114:E124" si="46">F114+G114+H114</f>
        <v>0</v>
      </c>
      <c r="F114" s="1052">
        <f>'A VI.'!$F$3631</f>
        <v>0</v>
      </c>
      <c r="G114" s="1053">
        <f>'A VI.'!$F$3645</f>
        <v>0</v>
      </c>
      <c r="H114" s="965">
        <f>'A VI.'!$F$3657</f>
        <v>0</v>
      </c>
      <c r="I114" s="963">
        <f t="shared" ref="I114:I124" si="47">ROUND(D114*F114,2)</f>
        <v>0</v>
      </c>
      <c r="J114" s="964">
        <f t="shared" ref="J114:J124" si="48">ROUND(D114*G114,2)</f>
        <v>0</v>
      </c>
      <c r="K114" s="966">
        <f t="shared" ref="K114:K124" si="49">ROUND(D114*H114,2)</f>
        <v>0</v>
      </c>
      <c r="L114" s="1054">
        <f t="shared" ref="L114:L124" si="50">ROUND(D114*F114,2)+ROUND(D114*G114,2)+ROUND(D114*H114,2)</f>
        <v>0</v>
      </c>
      <c r="M114" s="968" t="e">
        <f t="shared" ref="M114:M124" si="51">ROUND(L114/$L$174,6)</f>
        <v>#DIV/0!</v>
      </c>
    </row>
    <row r="115" spans="1:13" s="1031" customFormat="1" ht="31.5" x14ac:dyDescent="0.2">
      <c r="A115" s="1050" t="s">
        <v>153</v>
      </c>
      <c r="B115" s="1001" t="s">
        <v>836</v>
      </c>
      <c r="C115" s="1030" t="s">
        <v>198</v>
      </c>
      <c r="D115" s="961">
        <f>'[12]A IV.'!$D115</f>
        <v>20</v>
      </c>
      <c r="E115" s="1051">
        <f t="shared" si="46"/>
        <v>0</v>
      </c>
      <c r="F115" s="1052">
        <f>'A VI.'!F3679</f>
        <v>0</v>
      </c>
      <c r="G115" s="1053">
        <f>'A VI.'!F3693</f>
        <v>0</v>
      </c>
      <c r="H115" s="965">
        <f>'A VI.'!F3705</f>
        <v>0</v>
      </c>
      <c r="I115" s="963">
        <f t="shared" si="47"/>
        <v>0</v>
      </c>
      <c r="J115" s="964">
        <f t="shared" si="48"/>
        <v>0</v>
      </c>
      <c r="K115" s="966">
        <f t="shared" si="49"/>
        <v>0</v>
      </c>
      <c r="L115" s="1054">
        <f t="shared" si="50"/>
        <v>0</v>
      </c>
      <c r="M115" s="968" t="e">
        <f t="shared" si="51"/>
        <v>#DIV/0!</v>
      </c>
    </row>
    <row r="116" spans="1:13" s="1031" customFormat="1" ht="17.100000000000001" customHeight="1" x14ac:dyDescent="0.2">
      <c r="A116" s="1050" t="s">
        <v>155</v>
      </c>
      <c r="B116" s="1001" t="s">
        <v>837</v>
      </c>
      <c r="C116" s="1030" t="s">
        <v>198</v>
      </c>
      <c r="D116" s="961">
        <f>'[12]A IV.'!$D116</f>
        <v>2</v>
      </c>
      <c r="E116" s="1051">
        <f t="shared" si="46"/>
        <v>0</v>
      </c>
      <c r="F116" s="1052">
        <f>'A VI.'!F3727</f>
        <v>0</v>
      </c>
      <c r="G116" s="1053">
        <f>'A VI.'!F3741</f>
        <v>0</v>
      </c>
      <c r="H116" s="965">
        <f>'A VI.'!F3753</f>
        <v>0</v>
      </c>
      <c r="I116" s="963">
        <f t="shared" si="47"/>
        <v>0</v>
      </c>
      <c r="J116" s="964">
        <f t="shared" si="48"/>
        <v>0</v>
      </c>
      <c r="K116" s="966">
        <f t="shared" si="49"/>
        <v>0</v>
      </c>
      <c r="L116" s="1054">
        <f t="shared" si="50"/>
        <v>0</v>
      </c>
      <c r="M116" s="968" t="e">
        <f t="shared" si="51"/>
        <v>#DIV/0!</v>
      </c>
    </row>
    <row r="117" spans="1:13" s="1031" customFormat="1" ht="17.100000000000001" customHeight="1" x14ac:dyDescent="0.2">
      <c r="A117" s="1050" t="s">
        <v>495</v>
      </c>
      <c r="B117" s="1001" t="s">
        <v>839</v>
      </c>
      <c r="C117" s="1030" t="s">
        <v>196</v>
      </c>
      <c r="D117" s="961">
        <f>'[12]A IV.'!$D117</f>
        <v>20</v>
      </c>
      <c r="E117" s="1051">
        <f t="shared" si="46"/>
        <v>0</v>
      </c>
      <c r="F117" s="1052">
        <f>'A VI.'!F3775</f>
        <v>0</v>
      </c>
      <c r="G117" s="1053">
        <f>'A VI.'!F3789</f>
        <v>0</v>
      </c>
      <c r="H117" s="965">
        <f>'A VI.'!F3801</f>
        <v>0</v>
      </c>
      <c r="I117" s="963">
        <f t="shared" si="47"/>
        <v>0</v>
      </c>
      <c r="J117" s="964">
        <f t="shared" si="48"/>
        <v>0</v>
      </c>
      <c r="K117" s="966">
        <f t="shared" si="49"/>
        <v>0</v>
      </c>
      <c r="L117" s="1054">
        <f t="shared" si="50"/>
        <v>0</v>
      </c>
      <c r="M117" s="968" t="e">
        <f t="shared" si="51"/>
        <v>#DIV/0!</v>
      </c>
    </row>
    <row r="118" spans="1:13" s="1031" customFormat="1" ht="17.100000000000001" customHeight="1" x14ac:dyDescent="0.2">
      <c r="A118" s="1050" t="s">
        <v>498</v>
      </c>
      <c r="B118" s="1001" t="s">
        <v>840</v>
      </c>
      <c r="C118" s="1030" t="s">
        <v>196</v>
      </c>
      <c r="D118" s="961">
        <f>'[12]A IV.'!$D118</f>
        <v>10</v>
      </c>
      <c r="E118" s="1051">
        <f t="shared" si="46"/>
        <v>0</v>
      </c>
      <c r="F118" s="1052">
        <f>'A VI.'!F3823</f>
        <v>0</v>
      </c>
      <c r="G118" s="1053">
        <f>'A VI.'!F3837</f>
        <v>0</v>
      </c>
      <c r="H118" s="965">
        <f>'A VI.'!F3849</f>
        <v>0</v>
      </c>
      <c r="I118" s="963">
        <f t="shared" si="47"/>
        <v>0</v>
      </c>
      <c r="J118" s="964">
        <f t="shared" si="48"/>
        <v>0</v>
      </c>
      <c r="K118" s="966">
        <f t="shared" si="49"/>
        <v>0</v>
      </c>
      <c r="L118" s="1054">
        <f t="shared" si="50"/>
        <v>0</v>
      </c>
      <c r="M118" s="968" t="e">
        <f t="shared" si="51"/>
        <v>#DIV/0!</v>
      </c>
    </row>
    <row r="119" spans="1:13" s="1031" customFormat="1" ht="17.100000000000001" customHeight="1" x14ac:dyDescent="0.2">
      <c r="A119" s="1050" t="s">
        <v>580</v>
      </c>
      <c r="B119" s="1001" t="s">
        <v>841</v>
      </c>
      <c r="C119" s="1030" t="s">
        <v>196</v>
      </c>
      <c r="D119" s="961">
        <f>'[12]A IV.'!$D119</f>
        <v>40</v>
      </c>
      <c r="E119" s="1051">
        <f t="shared" si="46"/>
        <v>0</v>
      </c>
      <c r="F119" s="1052">
        <f>'A VI.'!F3871</f>
        <v>0</v>
      </c>
      <c r="G119" s="1053">
        <f>'A VI.'!F3885</f>
        <v>0</v>
      </c>
      <c r="H119" s="965">
        <f>'A VI.'!F3897</f>
        <v>0</v>
      </c>
      <c r="I119" s="963">
        <f t="shared" si="47"/>
        <v>0</v>
      </c>
      <c r="J119" s="964">
        <f t="shared" si="48"/>
        <v>0</v>
      </c>
      <c r="K119" s="966">
        <f t="shared" si="49"/>
        <v>0</v>
      </c>
      <c r="L119" s="1054">
        <f t="shared" si="50"/>
        <v>0</v>
      </c>
      <c r="M119" s="968" t="e">
        <f t="shared" si="51"/>
        <v>#DIV/0!</v>
      </c>
    </row>
    <row r="120" spans="1:13" s="1031" customFormat="1" ht="17.100000000000001" customHeight="1" x14ac:dyDescent="0.2">
      <c r="A120" s="1050" t="s">
        <v>626</v>
      </c>
      <c r="B120" s="1001" t="s">
        <v>842</v>
      </c>
      <c r="C120" s="1030" t="s">
        <v>196</v>
      </c>
      <c r="D120" s="961">
        <f>'[12]A IV.'!$D120</f>
        <v>25</v>
      </c>
      <c r="E120" s="1051">
        <f t="shared" si="46"/>
        <v>0</v>
      </c>
      <c r="F120" s="1052">
        <f>'A VI.'!$F$3919</f>
        <v>0</v>
      </c>
      <c r="G120" s="1053">
        <f>'A VI.'!$F$3933</f>
        <v>0</v>
      </c>
      <c r="H120" s="965">
        <f>'A VI.'!$F$3945</f>
        <v>0</v>
      </c>
      <c r="I120" s="963">
        <f t="shared" si="47"/>
        <v>0</v>
      </c>
      <c r="J120" s="964">
        <f t="shared" si="48"/>
        <v>0</v>
      </c>
      <c r="K120" s="966">
        <f t="shared" si="49"/>
        <v>0</v>
      </c>
      <c r="L120" s="1054">
        <f t="shared" si="50"/>
        <v>0</v>
      </c>
      <c r="M120" s="968" t="e">
        <f t="shared" si="51"/>
        <v>#DIV/0!</v>
      </c>
    </row>
    <row r="121" spans="1:13" s="1031" customFormat="1" ht="17.100000000000001" customHeight="1" x14ac:dyDescent="0.2">
      <c r="A121" s="1050" t="s">
        <v>627</v>
      </c>
      <c r="B121" s="1001" t="s">
        <v>843</v>
      </c>
      <c r="C121" s="1030" t="s">
        <v>196</v>
      </c>
      <c r="D121" s="961">
        <f>'[12]A IV.'!$D121</f>
        <v>30</v>
      </c>
      <c r="E121" s="1051">
        <f t="shared" si="46"/>
        <v>0</v>
      </c>
      <c r="F121" s="1055">
        <f>'A VI.'!F3967</f>
        <v>0</v>
      </c>
      <c r="G121" s="1056">
        <f>'A VI.'!F3981</f>
        <v>0</v>
      </c>
      <c r="H121" s="975">
        <f>'A VI.'!F3993</f>
        <v>0</v>
      </c>
      <c r="I121" s="963">
        <f t="shared" si="47"/>
        <v>0</v>
      </c>
      <c r="J121" s="964">
        <f t="shared" si="48"/>
        <v>0</v>
      </c>
      <c r="K121" s="966">
        <f t="shared" si="49"/>
        <v>0</v>
      </c>
      <c r="L121" s="1054">
        <f t="shared" si="50"/>
        <v>0</v>
      </c>
      <c r="M121" s="968" t="e">
        <f t="shared" si="51"/>
        <v>#DIV/0!</v>
      </c>
    </row>
    <row r="122" spans="1:13" s="1031" customFormat="1" ht="17.100000000000001" customHeight="1" x14ac:dyDescent="0.2">
      <c r="A122" s="1050" t="s">
        <v>666</v>
      </c>
      <c r="B122" s="1001" t="s">
        <v>844</v>
      </c>
      <c r="C122" s="1030" t="s">
        <v>196</v>
      </c>
      <c r="D122" s="961">
        <f>'[12]A IV.'!$D122</f>
        <v>150</v>
      </c>
      <c r="E122" s="1051">
        <f t="shared" si="46"/>
        <v>0</v>
      </c>
      <c r="F122" s="1055">
        <f>'A VI.'!F4015</f>
        <v>0</v>
      </c>
      <c r="G122" s="1056">
        <f>'A VI.'!F4029</f>
        <v>0</v>
      </c>
      <c r="H122" s="975">
        <f>'A VI.'!F4041</f>
        <v>0</v>
      </c>
      <c r="I122" s="963">
        <f t="shared" si="47"/>
        <v>0</v>
      </c>
      <c r="J122" s="964">
        <f t="shared" si="48"/>
        <v>0</v>
      </c>
      <c r="K122" s="966">
        <f t="shared" si="49"/>
        <v>0</v>
      </c>
      <c r="L122" s="1054">
        <f t="shared" si="50"/>
        <v>0</v>
      </c>
      <c r="M122" s="968" t="e">
        <f t="shared" si="51"/>
        <v>#DIV/0!</v>
      </c>
    </row>
    <row r="123" spans="1:13" s="1031" customFormat="1" ht="17.100000000000001" customHeight="1" x14ac:dyDescent="0.2">
      <c r="A123" s="1050" t="s">
        <v>667</v>
      </c>
      <c r="B123" s="1057" t="s">
        <v>845</v>
      </c>
      <c r="C123" s="1058" t="s">
        <v>198</v>
      </c>
      <c r="D123" s="961">
        <f>'[12]A IV.'!$D123</f>
        <v>25</v>
      </c>
      <c r="E123" s="1051">
        <f t="shared" si="46"/>
        <v>0</v>
      </c>
      <c r="F123" s="1055">
        <f>'A VI.'!F4063</f>
        <v>0</v>
      </c>
      <c r="G123" s="1056">
        <f>'A VI.'!F4077</f>
        <v>0</v>
      </c>
      <c r="H123" s="975">
        <f>'A VI.'!F4089</f>
        <v>0</v>
      </c>
      <c r="I123" s="963">
        <f t="shared" si="47"/>
        <v>0</v>
      </c>
      <c r="J123" s="964">
        <f t="shared" si="48"/>
        <v>0</v>
      </c>
      <c r="K123" s="966">
        <f t="shared" si="49"/>
        <v>0</v>
      </c>
      <c r="L123" s="1054">
        <f t="shared" si="50"/>
        <v>0</v>
      </c>
      <c r="M123" s="968" t="e">
        <f t="shared" si="51"/>
        <v>#DIV/0!</v>
      </c>
    </row>
    <row r="124" spans="1:13" s="1031" customFormat="1" ht="17.100000000000001" customHeight="1" thickBot="1" x14ac:dyDescent="0.25">
      <c r="A124" s="1059" t="s">
        <v>675</v>
      </c>
      <c r="B124" s="1036" t="s">
        <v>838</v>
      </c>
      <c r="C124" s="978" t="s">
        <v>196</v>
      </c>
      <c r="D124" s="979">
        <f>'[12]A IV.'!$D124</f>
        <v>60</v>
      </c>
      <c r="E124" s="1060">
        <f t="shared" si="46"/>
        <v>0</v>
      </c>
      <c r="F124" s="1039">
        <f>'A VI.'!F4111</f>
        <v>0</v>
      </c>
      <c r="G124" s="1040">
        <f>'A VI.'!F4125</f>
        <v>0</v>
      </c>
      <c r="H124" s="983">
        <f>'A VI.'!F4137</f>
        <v>0</v>
      </c>
      <c r="I124" s="981">
        <f t="shared" si="47"/>
        <v>0</v>
      </c>
      <c r="J124" s="982">
        <f t="shared" si="48"/>
        <v>0</v>
      </c>
      <c r="K124" s="984">
        <f t="shared" si="49"/>
        <v>0</v>
      </c>
      <c r="L124" s="1061">
        <f t="shared" si="50"/>
        <v>0</v>
      </c>
      <c r="M124" s="985" t="e">
        <f t="shared" si="51"/>
        <v>#DIV/0!</v>
      </c>
    </row>
    <row r="125" spans="1:13" ht="8.1" customHeight="1" thickBot="1" x14ac:dyDescent="0.25">
      <c r="A125" s="1007"/>
      <c r="B125" s="1007"/>
      <c r="C125" s="1007"/>
      <c r="D125" s="1007"/>
      <c r="E125" s="1007"/>
      <c r="F125" s="1007"/>
      <c r="G125" s="1007"/>
      <c r="H125" s="1007"/>
      <c r="I125" s="1007"/>
      <c r="J125" s="1007"/>
      <c r="K125" s="1007"/>
      <c r="L125" s="1007"/>
      <c r="M125" s="1007"/>
    </row>
    <row r="126" spans="1:13" x14ac:dyDescent="0.2">
      <c r="A126" s="1062" t="s">
        <v>55</v>
      </c>
      <c r="B126" s="1044" t="s">
        <v>1174</v>
      </c>
      <c r="C126" s="1010" t="s">
        <v>6</v>
      </c>
      <c r="D126" s="1010"/>
      <c r="E126" s="1011"/>
      <c r="F126" s="1012">
        <f>I126</f>
        <v>0</v>
      </c>
      <c r="G126" s="1013">
        <f>J126</f>
        <v>0</v>
      </c>
      <c r="H126" s="1045">
        <f>K126</f>
        <v>0</v>
      </c>
      <c r="I126" s="1015">
        <f>SUM(I128:I132)</f>
        <v>0</v>
      </c>
      <c r="J126" s="1016">
        <f>SUM(J128:J132)</f>
        <v>0</v>
      </c>
      <c r="K126" s="1046">
        <f>SUM(K128:K132)</f>
        <v>0</v>
      </c>
      <c r="L126" s="1047">
        <f>SUM(L128:L132)</f>
        <v>0</v>
      </c>
      <c r="M126" s="1019" t="e">
        <f>ROUND(L126/$L$174,6)</f>
        <v>#DIV/0!</v>
      </c>
    </row>
    <row r="127" spans="1:13" x14ac:dyDescent="0.2">
      <c r="A127" s="1063"/>
      <c r="B127" s="1048"/>
      <c r="C127" s="1022"/>
      <c r="D127" s="1022"/>
      <c r="E127" s="1023"/>
      <c r="F127" s="306" t="e">
        <f>ROUND(F126/L126,6)</f>
        <v>#DIV/0!</v>
      </c>
      <c r="G127" s="307" t="e">
        <f>ROUND(G126/L126,6)</f>
        <v>#DIV/0!</v>
      </c>
      <c r="H127" s="308" t="e">
        <f>ROUND(H126/L126,6)</f>
        <v>#DIV/0!</v>
      </c>
      <c r="I127" s="306" t="str">
        <f>IF(I126=F126,"sim","nao")</f>
        <v>sim</v>
      </c>
      <c r="J127" s="307" t="str">
        <f>IF(J126=G126,"sim","nao")</f>
        <v>sim</v>
      </c>
      <c r="K127" s="415" t="str">
        <f>IF(K126=H126,"sim","nao")</f>
        <v>sim</v>
      </c>
      <c r="L127" s="1049"/>
      <c r="M127" s="1025"/>
    </row>
    <row r="128" spans="1:13" ht="17.100000000000001" customHeight="1" x14ac:dyDescent="0.2">
      <c r="A128" s="1064" t="s">
        <v>113</v>
      </c>
      <c r="B128" s="1065" t="s">
        <v>818</v>
      </c>
      <c r="C128" s="1002" t="s">
        <v>196</v>
      </c>
      <c r="D128" s="961">
        <f>'[12]A IV.'!$D128</f>
        <v>100</v>
      </c>
      <c r="E128" s="1066">
        <f>F128+G128+H128</f>
        <v>0</v>
      </c>
      <c r="F128" s="1052">
        <f>'A VI.'!$F$4159</f>
        <v>0</v>
      </c>
      <c r="G128" s="1053">
        <f>'A VI.'!$F$4173</f>
        <v>0</v>
      </c>
      <c r="H128" s="965">
        <f>'A VI.'!$F$4185</f>
        <v>0</v>
      </c>
      <c r="I128" s="963">
        <f>ROUND(D128*F128,2)</f>
        <v>0</v>
      </c>
      <c r="J128" s="964">
        <f>ROUND(D128*G128,2)</f>
        <v>0</v>
      </c>
      <c r="K128" s="966">
        <f>ROUND(D128*H128,2)</f>
        <v>0</v>
      </c>
      <c r="L128" s="1054">
        <f>ROUND(D128*F128,2)+ROUND(D128*G128,2)+ROUND(D128*H128,2)</f>
        <v>0</v>
      </c>
      <c r="M128" s="1000" t="e">
        <f>ROUND(L128/$L$174,6)</f>
        <v>#DIV/0!</v>
      </c>
    </row>
    <row r="129" spans="1:13" ht="17.100000000000001" customHeight="1" x14ac:dyDescent="0.2">
      <c r="A129" s="1064" t="s">
        <v>846</v>
      </c>
      <c r="B129" s="1067" t="s">
        <v>819</v>
      </c>
      <c r="C129" s="1003" t="s">
        <v>197</v>
      </c>
      <c r="D129" s="961">
        <f>'[12]A IV.'!$D129</f>
        <v>150</v>
      </c>
      <c r="E129" s="1066">
        <f>F129+G129+H129</f>
        <v>0</v>
      </c>
      <c r="F129" s="1055">
        <f>'A VI.'!F4207</f>
        <v>0</v>
      </c>
      <c r="G129" s="1056">
        <f>'A VI.'!F4221</f>
        <v>0</v>
      </c>
      <c r="H129" s="975">
        <f>'A VI.'!F4233</f>
        <v>0</v>
      </c>
      <c r="I129" s="963">
        <f>ROUND(D129*F129,2)</f>
        <v>0</v>
      </c>
      <c r="J129" s="964">
        <f>ROUND(D129*G129,2)</f>
        <v>0</v>
      </c>
      <c r="K129" s="966">
        <f>ROUND(D129*H129,2)</f>
        <v>0</v>
      </c>
      <c r="L129" s="1054">
        <f>ROUND(D129*F129,2)+ROUND(D129*G129,2)+ROUND(D129*H129,2)</f>
        <v>0</v>
      </c>
      <c r="M129" s="1000" t="e">
        <f>ROUND(L129/$L$174,6)</f>
        <v>#DIV/0!</v>
      </c>
    </row>
    <row r="130" spans="1:13" ht="17.100000000000001" customHeight="1" x14ac:dyDescent="0.2">
      <c r="A130" s="1064" t="s">
        <v>847</v>
      </c>
      <c r="B130" s="1067" t="s">
        <v>1109</v>
      </c>
      <c r="C130" s="1003" t="s">
        <v>197</v>
      </c>
      <c r="D130" s="961">
        <f>'[12]A IV.'!$D130</f>
        <v>200</v>
      </c>
      <c r="E130" s="1066">
        <f>F130+G130+H130</f>
        <v>0</v>
      </c>
      <c r="F130" s="1055">
        <f>'A VI.'!$F$4255</f>
        <v>0</v>
      </c>
      <c r="G130" s="1056">
        <f>'A VI.'!$F$4269</f>
        <v>0</v>
      </c>
      <c r="H130" s="975">
        <f>'A VI.'!$F$4281</f>
        <v>0</v>
      </c>
      <c r="I130" s="963">
        <f>ROUND(D130*F130,2)</f>
        <v>0</v>
      </c>
      <c r="J130" s="964">
        <f>ROUND(D130*G130,2)</f>
        <v>0</v>
      </c>
      <c r="K130" s="966">
        <f>ROUND(D130*H130,2)</f>
        <v>0</v>
      </c>
      <c r="L130" s="1054">
        <f>ROUND(D130*F130,2)+ROUND(D130*G130,2)+ROUND(D130*H130,2)</f>
        <v>0</v>
      </c>
      <c r="M130" s="1000" t="e">
        <f>ROUND(L130/$L$174,6)</f>
        <v>#DIV/0!</v>
      </c>
    </row>
    <row r="131" spans="1:13" ht="17.100000000000001" customHeight="1" x14ac:dyDescent="0.2">
      <c r="A131" s="1064" t="s">
        <v>848</v>
      </c>
      <c r="B131" s="1067" t="s">
        <v>820</v>
      </c>
      <c r="C131" s="1003" t="s">
        <v>197</v>
      </c>
      <c r="D131" s="961">
        <f>'[12]A IV.'!$D131</f>
        <v>150</v>
      </c>
      <c r="E131" s="1066">
        <f>F131+G131+H131</f>
        <v>0</v>
      </c>
      <c r="F131" s="1055">
        <f>'A VI.'!F4303</f>
        <v>0</v>
      </c>
      <c r="G131" s="1056">
        <f>'A VI.'!F4317</f>
        <v>0</v>
      </c>
      <c r="H131" s="975">
        <f>'A VI.'!F4329</f>
        <v>0</v>
      </c>
      <c r="I131" s="963">
        <f>ROUND(D131*F131,2)</f>
        <v>0</v>
      </c>
      <c r="J131" s="964">
        <f>ROUND(D131*G131,2)</f>
        <v>0</v>
      </c>
      <c r="K131" s="966">
        <f>ROUND(D131*H131,2)</f>
        <v>0</v>
      </c>
      <c r="L131" s="1054">
        <f>ROUND(D131*F131,2)+ROUND(D131*G131,2)+ROUND(D131*H131,2)</f>
        <v>0</v>
      </c>
      <c r="M131" s="1000" t="e">
        <f>ROUND(L131/$L$174,6)</f>
        <v>#DIV/0!</v>
      </c>
    </row>
    <row r="132" spans="1:13" ht="17.100000000000001" customHeight="1" thickBot="1" x14ac:dyDescent="0.25">
      <c r="A132" s="1035" t="s">
        <v>1108</v>
      </c>
      <c r="B132" s="1068" t="s">
        <v>821</v>
      </c>
      <c r="C132" s="1037" t="s">
        <v>196</v>
      </c>
      <c r="D132" s="979">
        <f>'[12]A IV.'!$D132</f>
        <v>150</v>
      </c>
      <c r="E132" s="1069">
        <f>F132+G132+H132</f>
        <v>0</v>
      </c>
      <c r="F132" s="1039">
        <f>'A VI.'!F4351</f>
        <v>0</v>
      </c>
      <c r="G132" s="1040">
        <f>'A VI.'!F4365</f>
        <v>0</v>
      </c>
      <c r="H132" s="983">
        <f>'A VI.'!F4377</f>
        <v>0</v>
      </c>
      <c r="I132" s="981">
        <f>ROUND(D132*F132,2)</f>
        <v>0</v>
      </c>
      <c r="J132" s="982">
        <f>ROUND(D132*G132,2)</f>
        <v>0</v>
      </c>
      <c r="K132" s="984">
        <f>ROUND(D132*H132,2)</f>
        <v>0</v>
      </c>
      <c r="L132" s="1061">
        <f>ROUND(D132*F132,2)+ROUND(D132*G132,2)+ROUND(D132*H132,2)</f>
        <v>0</v>
      </c>
      <c r="M132" s="737" t="e">
        <f>ROUND(L132/$L$174,6)</f>
        <v>#DIV/0!</v>
      </c>
    </row>
    <row r="133" spans="1:13" ht="8.1" customHeight="1" thickBot="1" x14ac:dyDescent="0.25">
      <c r="A133" s="1043"/>
      <c r="B133" s="1043"/>
      <c r="C133" s="1043"/>
      <c r="D133" s="1043"/>
      <c r="E133" s="1043"/>
      <c r="F133" s="1043"/>
      <c r="G133" s="1043"/>
      <c r="H133" s="1043"/>
      <c r="I133" s="1043"/>
      <c r="J133" s="1043"/>
      <c r="K133" s="1043"/>
      <c r="L133" s="1043"/>
      <c r="M133" s="1043"/>
    </row>
    <row r="134" spans="1:13" x14ac:dyDescent="0.2">
      <c r="A134" s="1070" t="s">
        <v>31</v>
      </c>
      <c r="B134" s="1044" t="s">
        <v>1175</v>
      </c>
      <c r="C134" s="1010" t="s">
        <v>6</v>
      </c>
      <c r="D134" s="1010"/>
      <c r="E134" s="1011"/>
      <c r="F134" s="1012">
        <f>I134</f>
        <v>0</v>
      </c>
      <c r="G134" s="1013">
        <f>J134</f>
        <v>0</v>
      </c>
      <c r="H134" s="1045">
        <f>K134</f>
        <v>0</v>
      </c>
      <c r="I134" s="1015">
        <f>SUM(I136:I153)</f>
        <v>0</v>
      </c>
      <c r="J134" s="1016">
        <f>SUM(J136:J153)</f>
        <v>0</v>
      </c>
      <c r="K134" s="1046">
        <f>SUM(K136:K153)</f>
        <v>0</v>
      </c>
      <c r="L134" s="1047">
        <f>SUM(L136:L153)</f>
        <v>0</v>
      </c>
      <c r="M134" s="1019" t="e">
        <f>ROUND(L134/$L$174,6)</f>
        <v>#DIV/0!</v>
      </c>
    </row>
    <row r="135" spans="1:13" x14ac:dyDescent="0.2">
      <c r="A135" s="1071"/>
      <c r="B135" s="1048"/>
      <c r="C135" s="1022"/>
      <c r="D135" s="1022"/>
      <c r="E135" s="1023"/>
      <c r="F135" s="306" t="e">
        <f>ROUND(F134/L134,6)</f>
        <v>#DIV/0!</v>
      </c>
      <c r="G135" s="307" t="e">
        <f>ROUND(G134/L134,6)</f>
        <v>#DIV/0!</v>
      </c>
      <c r="H135" s="308" t="e">
        <f>ROUND(H134/L134,6)</f>
        <v>#DIV/0!</v>
      </c>
      <c r="I135" s="306" t="str">
        <f>IF(I134=F134,"sim","nao")</f>
        <v>sim</v>
      </c>
      <c r="J135" s="307" t="str">
        <f>IF(J134=G134,"sim","nao")</f>
        <v>sim</v>
      </c>
      <c r="K135" s="415" t="str">
        <f>IF(K134=H134,"sim","nao")</f>
        <v>sim</v>
      </c>
      <c r="L135" s="1049"/>
      <c r="M135" s="1025"/>
    </row>
    <row r="136" spans="1:13" ht="36" customHeight="1" x14ac:dyDescent="0.2">
      <c r="A136" s="1072" t="s">
        <v>41</v>
      </c>
      <c r="B136" s="992" t="s">
        <v>1102</v>
      </c>
      <c r="C136" s="993"/>
      <c r="D136" s="993"/>
      <c r="E136" s="993"/>
      <c r="F136" s="993"/>
      <c r="G136" s="993"/>
      <c r="H136" s="993"/>
      <c r="I136" s="993">
        <f t="shared" ref="I136:I153" si="52">ROUND(D136*F136,2)</f>
        <v>0</v>
      </c>
      <c r="J136" s="993">
        <f t="shared" ref="J136:J153" si="53">ROUND(D136*G136,2)</f>
        <v>0</v>
      </c>
      <c r="K136" s="993">
        <f t="shared" ref="K136:K153" si="54">ROUND(D136*H136,2)</f>
        <v>0</v>
      </c>
      <c r="L136" s="993"/>
      <c r="M136" s="994"/>
    </row>
    <row r="137" spans="1:13" x14ac:dyDescent="0.2">
      <c r="A137" s="1064" t="s">
        <v>1100</v>
      </c>
      <c r="B137" s="959" t="s">
        <v>1105</v>
      </c>
      <c r="C137" s="1002" t="s">
        <v>197</v>
      </c>
      <c r="D137" s="961">
        <f>'[12]A IV.'!$D137</f>
        <v>51300</v>
      </c>
      <c r="E137" s="1066">
        <f t="shared" ref="E137:E153" si="55">F137+G137+H137</f>
        <v>0</v>
      </c>
      <c r="F137" s="1052">
        <f>'A VI.'!$F$4399</f>
        <v>0</v>
      </c>
      <c r="G137" s="1053">
        <f>'A VI.'!$F$4413</f>
        <v>0</v>
      </c>
      <c r="H137" s="965">
        <f>'A VI.'!$F$4425</f>
        <v>0</v>
      </c>
      <c r="I137" s="963">
        <f t="shared" ref="I137:I138" si="56">ROUND(D137*F137,2)</f>
        <v>0</v>
      </c>
      <c r="J137" s="964">
        <f t="shared" ref="J137:J138" si="57">ROUND(D137*G137,2)</f>
        <v>0</v>
      </c>
      <c r="K137" s="966">
        <f t="shared" ref="K137:K138" si="58">ROUND(D137*H137,2)</f>
        <v>0</v>
      </c>
      <c r="L137" s="1054">
        <f t="shared" ref="L137:L153" si="59">ROUND(D137*F137,2)+ROUND(D137*G137,2)+ROUND(D137*H137,2)</f>
        <v>0</v>
      </c>
      <c r="M137" s="1000" t="e">
        <f t="shared" ref="M137:M153" si="60">ROUND(L137/$L$174,6)</f>
        <v>#DIV/0!</v>
      </c>
    </row>
    <row r="138" spans="1:13" x14ac:dyDescent="0.2">
      <c r="A138" s="1064" t="s">
        <v>1101</v>
      </c>
      <c r="B138" s="959" t="s">
        <v>1103</v>
      </c>
      <c r="C138" s="1002" t="s">
        <v>197</v>
      </c>
      <c r="D138" s="961">
        <f>'[12]A IV.'!$D138</f>
        <v>118000</v>
      </c>
      <c r="E138" s="1066">
        <f t="shared" si="55"/>
        <v>0</v>
      </c>
      <c r="F138" s="1052">
        <f>'A VI.'!$F$4447</f>
        <v>0</v>
      </c>
      <c r="G138" s="1053">
        <f>'A VI.'!$F$4461</f>
        <v>0</v>
      </c>
      <c r="H138" s="965">
        <f>'A VI.'!$F$4473</f>
        <v>0</v>
      </c>
      <c r="I138" s="963">
        <f t="shared" si="56"/>
        <v>0</v>
      </c>
      <c r="J138" s="964">
        <f t="shared" si="57"/>
        <v>0</v>
      </c>
      <c r="K138" s="966">
        <f t="shared" si="58"/>
        <v>0</v>
      </c>
      <c r="L138" s="1054">
        <f t="shared" si="59"/>
        <v>0</v>
      </c>
      <c r="M138" s="1000" t="e">
        <f t="shared" si="60"/>
        <v>#DIV/0!</v>
      </c>
    </row>
    <row r="139" spans="1:13" ht="17.100000000000001" customHeight="1" x14ac:dyDescent="0.2">
      <c r="A139" s="1064" t="s">
        <v>1181</v>
      </c>
      <c r="B139" s="959" t="s">
        <v>608</v>
      </c>
      <c r="C139" s="1002" t="s">
        <v>197</v>
      </c>
      <c r="D139" s="961">
        <f>'[12]A IV.'!$D139</f>
        <v>50</v>
      </c>
      <c r="E139" s="1066">
        <f t="shared" si="55"/>
        <v>0</v>
      </c>
      <c r="F139" s="1052">
        <f>'A VI.'!F4495</f>
        <v>0</v>
      </c>
      <c r="G139" s="1053">
        <f>'A VI.'!F4509</f>
        <v>0</v>
      </c>
      <c r="H139" s="965">
        <f>'A VI.'!F4521</f>
        <v>0</v>
      </c>
      <c r="I139" s="963">
        <f t="shared" si="52"/>
        <v>0</v>
      </c>
      <c r="J139" s="964">
        <f t="shared" si="53"/>
        <v>0</v>
      </c>
      <c r="K139" s="966">
        <f t="shared" si="54"/>
        <v>0</v>
      </c>
      <c r="L139" s="1054">
        <f t="shared" si="59"/>
        <v>0</v>
      </c>
      <c r="M139" s="1000" t="e">
        <f t="shared" si="60"/>
        <v>#DIV/0!</v>
      </c>
    </row>
    <row r="140" spans="1:13" ht="17.100000000000001" customHeight="1" x14ac:dyDescent="0.2">
      <c r="A140" s="1064" t="s">
        <v>1182</v>
      </c>
      <c r="B140" s="959" t="s">
        <v>609</v>
      </c>
      <c r="C140" s="1002" t="s">
        <v>197</v>
      </c>
      <c r="D140" s="961">
        <f>'[12]A IV.'!$D140</f>
        <v>61100</v>
      </c>
      <c r="E140" s="1066">
        <f t="shared" si="55"/>
        <v>0</v>
      </c>
      <c r="F140" s="1052">
        <f>'A VI.'!F4543</f>
        <v>0</v>
      </c>
      <c r="G140" s="1053">
        <f>'A VI.'!F4557</f>
        <v>0</v>
      </c>
      <c r="H140" s="965">
        <f>'A VI.'!F4569</f>
        <v>0</v>
      </c>
      <c r="I140" s="963">
        <f t="shared" si="52"/>
        <v>0</v>
      </c>
      <c r="J140" s="964">
        <f t="shared" si="53"/>
        <v>0</v>
      </c>
      <c r="K140" s="966">
        <f t="shared" si="54"/>
        <v>0</v>
      </c>
      <c r="L140" s="1054">
        <f t="shared" si="59"/>
        <v>0</v>
      </c>
      <c r="M140" s="1000" t="e">
        <f t="shared" si="60"/>
        <v>#DIV/0!</v>
      </c>
    </row>
    <row r="141" spans="1:13" ht="17.100000000000001" customHeight="1" x14ac:dyDescent="0.2">
      <c r="A141" s="1064" t="s">
        <v>114</v>
      </c>
      <c r="B141" s="959" t="s">
        <v>771</v>
      </c>
      <c r="C141" s="1002" t="s">
        <v>197</v>
      </c>
      <c r="D141" s="961">
        <f>'[12]A IV.'!$D141</f>
        <v>10700</v>
      </c>
      <c r="E141" s="1066">
        <f t="shared" si="55"/>
        <v>0</v>
      </c>
      <c r="F141" s="1052">
        <f>'A VI.'!$F$4591</f>
        <v>0</v>
      </c>
      <c r="G141" s="1053">
        <f>'A VI.'!$F$4605</f>
        <v>0</v>
      </c>
      <c r="H141" s="965">
        <f>'A VI.'!$F$4617</f>
        <v>0</v>
      </c>
      <c r="I141" s="963">
        <f t="shared" si="52"/>
        <v>0</v>
      </c>
      <c r="J141" s="964">
        <f t="shared" si="53"/>
        <v>0</v>
      </c>
      <c r="K141" s="966">
        <f t="shared" si="54"/>
        <v>0</v>
      </c>
      <c r="L141" s="1054">
        <f t="shared" si="59"/>
        <v>0</v>
      </c>
      <c r="M141" s="1000" t="e">
        <f t="shared" si="60"/>
        <v>#DIV/0!</v>
      </c>
    </row>
    <row r="142" spans="1:13" ht="17.100000000000001" customHeight="1" x14ac:dyDescent="0.2">
      <c r="A142" s="1064" t="s">
        <v>1183</v>
      </c>
      <c r="B142" s="959" t="s">
        <v>464</v>
      </c>
      <c r="C142" s="1002" t="s">
        <v>197</v>
      </c>
      <c r="D142" s="961">
        <f>'[12]A IV.'!$D142</f>
        <v>500</v>
      </c>
      <c r="E142" s="1066">
        <f t="shared" si="55"/>
        <v>0</v>
      </c>
      <c r="F142" s="1052">
        <f>'A VI.'!F4639</f>
        <v>0</v>
      </c>
      <c r="G142" s="1053">
        <f>'A VI.'!F4653</f>
        <v>0</v>
      </c>
      <c r="H142" s="965">
        <f>'A VI.'!F4665</f>
        <v>0</v>
      </c>
      <c r="I142" s="963">
        <f t="shared" si="52"/>
        <v>0</v>
      </c>
      <c r="J142" s="964">
        <f t="shared" si="53"/>
        <v>0</v>
      </c>
      <c r="K142" s="966">
        <f t="shared" si="54"/>
        <v>0</v>
      </c>
      <c r="L142" s="1054">
        <f t="shared" si="59"/>
        <v>0</v>
      </c>
      <c r="M142" s="1000" t="e">
        <f t="shared" si="60"/>
        <v>#DIV/0!</v>
      </c>
    </row>
    <row r="143" spans="1:13" ht="31.5" x14ac:dyDescent="0.2">
      <c r="A143" s="1064" t="s">
        <v>115</v>
      </c>
      <c r="B143" s="959" t="s">
        <v>861</v>
      </c>
      <c r="C143" s="1002" t="s">
        <v>197</v>
      </c>
      <c r="D143" s="961">
        <f>'[12]A IV.'!$D143</f>
        <v>51300</v>
      </c>
      <c r="E143" s="1066">
        <f t="shared" si="55"/>
        <v>0</v>
      </c>
      <c r="F143" s="1052">
        <f>'A VI.'!$F$4687</f>
        <v>0</v>
      </c>
      <c r="G143" s="1053">
        <f>'A VI.'!$F$4701</f>
        <v>0</v>
      </c>
      <c r="H143" s="965">
        <f>'A VI.'!$F$4713</f>
        <v>0</v>
      </c>
      <c r="I143" s="963">
        <f t="shared" si="52"/>
        <v>0</v>
      </c>
      <c r="J143" s="964">
        <f t="shared" si="53"/>
        <v>0</v>
      </c>
      <c r="K143" s="966">
        <f t="shared" si="54"/>
        <v>0</v>
      </c>
      <c r="L143" s="1054">
        <f t="shared" si="59"/>
        <v>0</v>
      </c>
      <c r="M143" s="1000" t="e">
        <f t="shared" si="60"/>
        <v>#DIV/0!</v>
      </c>
    </row>
    <row r="144" spans="1:13" ht="31.5" x14ac:dyDescent="0.2">
      <c r="A144" s="1064" t="s">
        <v>1184</v>
      </c>
      <c r="B144" s="959" t="s">
        <v>862</v>
      </c>
      <c r="C144" s="1002" t="s">
        <v>197</v>
      </c>
      <c r="D144" s="961">
        <f>'[12]A IV.'!$D144</f>
        <v>6500</v>
      </c>
      <c r="E144" s="1066">
        <f t="shared" si="55"/>
        <v>0</v>
      </c>
      <c r="F144" s="1052">
        <f>'A VI.'!$F$4735</f>
        <v>0</v>
      </c>
      <c r="G144" s="1053">
        <f>'A VI.'!$F$4749</f>
        <v>0</v>
      </c>
      <c r="H144" s="965">
        <f>'A VI.'!$F$4761</f>
        <v>0</v>
      </c>
      <c r="I144" s="963">
        <f t="shared" si="52"/>
        <v>0</v>
      </c>
      <c r="J144" s="964">
        <f t="shared" si="53"/>
        <v>0</v>
      </c>
      <c r="K144" s="966">
        <f t="shared" si="54"/>
        <v>0</v>
      </c>
      <c r="L144" s="1054">
        <f t="shared" si="59"/>
        <v>0</v>
      </c>
      <c r="M144" s="1000" t="e">
        <f t="shared" si="60"/>
        <v>#DIV/0!</v>
      </c>
    </row>
    <row r="145" spans="1:13" ht="17.100000000000001" customHeight="1" x14ac:dyDescent="0.2">
      <c r="A145" s="1064" t="s">
        <v>116</v>
      </c>
      <c r="B145" s="959" t="s">
        <v>772</v>
      </c>
      <c r="C145" s="1073" t="s">
        <v>197</v>
      </c>
      <c r="D145" s="961">
        <f>'[12]A IV.'!$D145</f>
        <v>26700</v>
      </c>
      <c r="E145" s="1074">
        <f t="shared" si="55"/>
        <v>0</v>
      </c>
      <c r="F145" s="1052">
        <f>'A VI.'!$F$4783</f>
        <v>0</v>
      </c>
      <c r="G145" s="1053">
        <f>'A VI.'!$F$4797</f>
        <v>0</v>
      </c>
      <c r="H145" s="965">
        <f>'A VI.'!$F$4809</f>
        <v>0</v>
      </c>
      <c r="I145" s="963">
        <f t="shared" si="52"/>
        <v>0</v>
      </c>
      <c r="J145" s="964">
        <f t="shared" si="53"/>
        <v>0</v>
      </c>
      <c r="K145" s="966">
        <f t="shared" si="54"/>
        <v>0</v>
      </c>
      <c r="L145" s="1054">
        <f t="shared" si="59"/>
        <v>0</v>
      </c>
      <c r="M145" s="1000" t="e">
        <f t="shared" si="60"/>
        <v>#DIV/0!</v>
      </c>
    </row>
    <row r="146" spans="1:13" ht="17.100000000000001" customHeight="1" x14ac:dyDescent="0.2">
      <c r="A146" s="1064" t="s">
        <v>117</v>
      </c>
      <c r="B146" s="959" t="s">
        <v>773</v>
      </c>
      <c r="C146" s="996" t="s">
        <v>197</v>
      </c>
      <c r="D146" s="961">
        <f>'[12]A IV.'!$D146</f>
        <v>3320</v>
      </c>
      <c r="E146" s="1066">
        <f t="shared" si="55"/>
        <v>0</v>
      </c>
      <c r="F146" s="1052">
        <f>'A VI.'!$F$4831</f>
        <v>0</v>
      </c>
      <c r="G146" s="1053">
        <f>'A VI.'!$F$4845</f>
        <v>0</v>
      </c>
      <c r="H146" s="965">
        <f>'A VI.'!$F$4857</f>
        <v>0</v>
      </c>
      <c r="I146" s="963">
        <f t="shared" si="52"/>
        <v>0</v>
      </c>
      <c r="J146" s="964">
        <f t="shared" si="53"/>
        <v>0</v>
      </c>
      <c r="K146" s="966">
        <f t="shared" si="54"/>
        <v>0</v>
      </c>
      <c r="L146" s="1054">
        <f t="shared" si="59"/>
        <v>0</v>
      </c>
      <c r="M146" s="1000" t="e">
        <f t="shared" si="60"/>
        <v>#DIV/0!</v>
      </c>
    </row>
    <row r="147" spans="1:13" ht="17.100000000000001" customHeight="1" x14ac:dyDescent="0.2">
      <c r="A147" s="1064" t="s">
        <v>118</v>
      </c>
      <c r="B147" s="959" t="s">
        <v>774</v>
      </c>
      <c r="C147" s="996" t="s">
        <v>196</v>
      </c>
      <c r="D147" s="961">
        <f>'[12]A IV.'!$D147</f>
        <v>3330</v>
      </c>
      <c r="E147" s="1066">
        <f t="shared" si="55"/>
        <v>0</v>
      </c>
      <c r="F147" s="1052">
        <f>'A VI.'!$F$4879</f>
        <v>0</v>
      </c>
      <c r="G147" s="1053">
        <f>'A VI.'!$F$4893</f>
        <v>0</v>
      </c>
      <c r="H147" s="965">
        <f>'A VI.'!$F$4905</f>
        <v>0</v>
      </c>
      <c r="I147" s="963">
        <f t="shared" si="52"/>
        <v>0</v>
      </c>
      <c r="J147" s="964">
        <f t="shared" si="53"/>
        <v>0</v>
      </c>
      <c r="K147" s="966">
        <f t="shared" si="54"/>
        <v>0</v>
      </c>
      <c r="L147" s="1054">
        <f t="shared" si="59"/>
        <v>0</v>
      </c>
      <c r="M147" s="1000" t="e">
        <f t="shared" si="60"/>
        <v>#DIV/0!</v>
      </c>
    </row>
    <row r="148" spans="1:13" s="970" customFormat="1" ht="17.100000000000001" customHeight="1" x14ac:dyDescent="0.2">
      <c r="A148" s="1064" t="s">
        <v>119</v>
      </c>
      <c r="B148" s="1001" t="s">
        <v>775</v>
      </c>
      <c r="C148" s="996" t="s">
        <v>197</v>
      </c>
      <c r="D148" s="961">
        <f>'[12]A IV.'!$D148</f>
        <v>100</v>
      </c>
      <c r="E148" s="1066">
        <f t="shared" si="55"/>
        <v>0</v>
      </c>
      <c r="F148" s="1052">
        <f>'A VI.'!$F$4927</f>
        <v>0</v>
      </c>
      <c r="G148" s="1053">
        <f>'A VI.'!$F$4941</f>
        <v>0</v>
      </c>
      <c r="H148" s="965">
        <f>'A VI.'!$F$4953</f>
        <v>0</v>
      </c>
      <c r="I148" s="963">
        <f t="shared" si="52"/>
        <v>0</v>
      </c>
      <c r="J148" s="964">
        <f t="shared" si="53"/>
        <v>0</v>
      </c>
      <c r="K148" s="966">
        <f t="shared" si="54"/>
        <v>0</v>
      </c>
      <c r="L148" s="1054">
        <f t="shared" si="59"/>
        <v>0</v>
      </c>
      <c r="M148" s="1000" t="e">
        <f t="shared" si="60"/>
        <v>#DIV/0!</v>
      </c>
    </row>
    <row r="149" spans="1:13" ht="17.100000000000001" customHeight="1" x14ac:dyDescent="0.2">
      <c r="A149" s="1064" t="s">
        <v>120</v>
      </c>
      <c r="B149" s="1001" t="s">
        <v>776</v>
      </c>
      <c r="C149" s="996" t="s">
        <v>197</v>
      </c>
      <c r="D149" s="961">
        <f>'[12]A IV.'!$D149</f>
        <v>300</v>
      </c>
      <c r="E149" s="1066">
        <f t="shared" si="55"/>
        <v>0</v>
      </c>
      <c r="F149" s="1052">
        <f>'A VI.'!$F$4975</f>
        <v>0</v>
      </c>
      <c r="G149" s="1053">
        <f>'A VI.'!$F$4989</f>
        <v>0</v>
      </c>
      <c r="H149" s="965">
        <f>'A VI.'!$F$5001</f>
        <v>0</v>
      </c>
      <c r="I149" s="963">
        <f t="shared" si="52"/>
        <v>0</v>
      </c>
      <c r="J149" s="964">
        <f t="shared" si="53"/>
        <v>0</v>
      </c>
      <c r="K149" s="966">
        <f t="shared" si="54"/>
        <v>0</v>
      </c>
      <c r="L149" s="1054">
        <f t="shared" si="59"/>
        <v>0</v>
      </c>
      <c r="M149" s="1000" t="e">
        <f t="shared" si="60"/>
        <v>#DIV/0!</v>
      </c>
    </row>
    <row r="150" spans="1:13" ht="17.100000000000001" customHeight="1" x14ac:dyDescent="0.2">
      <c r="A150" s="1064" t="s">
        <v>121</v>
      </c>
      <c r="B150" s="959" t="s">
        <v>777</v>
      </c>
      <c r="C150" s="961" t="s">
        <v>198</v>
      </c>
      <c r="D150" s="961">
        <f>'[12]A IV.'!$D150</f>
        <v>210</v>
      </c>
      <c r="E150" s="1066">
        <f t="shared" si="55"/>
        <v>0</v>
      </c>
      <c r="F150" s="1052">
        <f>'A VI.'!$F$5023</f>
        <v>0</v>
      </c>
      <c r="G150" s="1053">
        <f>'A VI.'!$F$5037</f>
        <v>0</v>
      </c>
      <c r="H150" s="965">
        <f>'A VI.'!$F$5049</f>
        <v>0</v>
      </c>
      <c r="I150" s="963">
        <f t="shared" si="52"/>
        <v>0</v>
      </c>
      <c r="J150" s="964">
        <f t="shared" si="53"/>
        <v>0</v>
      </c>
      <c r="K150" s="966">
        <f t="shared" si="54"/>
        <v>0</v>
      </c>
      <c r="L150" s="1054">
        <f t="shared" si="59"/>
        <v>0</v>
      </c>
      <c r="M150" s="1000" t="e">
        <f t="shared" si="60"/>
        <v>#DIV/0!</v>
      </c>
    </row>
    <row r="151" spans="1:13" ht="17.100000000000001" customHeight="1" x14ac:dyDescent="0.2">
      <c r="A151" s="1064" t="s">
        <v>122</v>
      </c>
      <c r="B151" s="959" t="s">
        <v>1202</v>
      </c>
      <c r="C151" s="961" t="s">
        <v>198</v>
      </c>
      <c r="D151" s="961">
        <f>'[12]A IV.'!$D151</f>
        <v>210</v>
      </c>
      <c r="E151" s="1066">
        <f t="shared" si="55"/>
        <v>0</v>
      </c>
      <c r="F151" s="1052">
        <f>'A VI.'!$F$5071</f>
        <v>0</v>
      </c>
      <c r="G151" s="1053">
        <f>'A VI.'!$F$5085</f>
        <v>0</v>
      </c>
      <c r="H151" s="965">
        <f>'A VI.'!$F$5097</f>
        <v>0</v>
      </c>
      <c r="I151" s="963">
        <f t="shared" si="52"/>
        <v>0</v>
      </c>
      <c r="J151" s="964">
        <f t="shared" si="53"/>
        <v>0</v>
      </c>
      <c r="K151" s="966">
        <f t="shared" si="54"/>
        <v>0</v>
      </c>
      <c r="L151" s="1054">
        <f t="shared" si="59"/>
        <v>0</v>
      </c>
      <c r="M151" s="1000" t="e">
        <f t="shared" si="60"/>
        <v>#DIV/0!</v>
      </c>
    </row>
    <row r="152" spans="1:13" ht="18" customHeight="1" x14ac:dyDescent="0.2">
      <c r="A152" s="1064" t="s">
        <v>123</v>
      </c>
      <c r="B152" s="959" t="s">
        <v>778</v>
      </c>
      <c r="C152" s="1002" t="s">
        <v>197</v>
      </c>
      <c r="D152" s="961">
        <f>'[12]A IV.'!$D152</f>
        <v>42950</v>
      </c>
      <c r="E152" s="1066">
        <f t="shared" si="55"/>
        <v>0</v>
      </c>
      <c r="F152" s="1052">
        <f>'A VI.'!$F$5119</f>
        <v>0</v>
      </c>
      <c r="G152" s="1053">
        <f>'A VI.'!$F$5133</f>
        <v>0</v>
      </c>
      <c r="H152" s="965">
        <f>'A VI.'!$F$5145</f>
        <v>0</v>
      </c>
      <c r="I152" s="963">
        <f t="shared" si="52"/>
        <v>0</v>
      </c>
      <c r="J152" s="964">
        <f t="shared" si="53"/>
        <v>0</v>
      </c>
      <c r="K152" s="966">
        <f t="shared" si="54"/>
        <v>0</v>
      </c>
      <c r="L152" s="1054">
        <f t="shared" si="59"/>
        <v>0</v>
      </c>
      <c r="M152" s="1000" t="e">
        <f t="shared" si="60"/>
        <v>#DIV/0!</v>
      </c>
    </row>
    <row r="153" spans="1:13" ht="18" customHeight="1" thickBot="1" x14ac:dyDescent="0.25">
      <c r="A153" s="1035" t="s">
        <v>124</v>
      </c>
      <c r="B153" s="977" t="s">
        <v>779</v>
      </c>
      <c r="C153" s="1037" t="s">
        <v>196</v>
      </c>
      <c r="D153" s="979">
        <f>'[12]A IV.'!$D153</f>
        <v>17500</v>
      </c>
      <c r="E153" s="1069">
        <f t="shared" si="55"/>
        <v>0</v>
      </c>
      <c r="F153" s="1039">
        <f>'A VI.'!$F$5167</f>
        <v>0</v>
      </c>
      <c r="G153" s="1040">
        <f>'A VI.'!$F$5181</f>
        <v>0</v>
      </c>
      <c r="H153" s="983">
        <f>'A VI.'!$F$5193</f>
        <v>0</v>
      </c>
      <c r="I153" s="981">
        <f t="shared" si="52"/>
        <v>0</v>
      </c>
      <c r="J153" s="982">
        <f t="shared" si="53"/>
        <v>0</v>
      </c>
      <c r="K153" s="984">
        <f t="shared" si="54"/>
        <v>0</v>
      </c>
      <c r="L153" s="1075">
        <f t="shared" si="59"/>
        <v>0</v>
      </c>
      <c r="M153" s="1042" t="e">
        <f t="shared" si="60"/>
        <v>#DIV/0!</v>
      </c>
    </row>
    <row r="154" spans="1:13" ht="8.1" customHeight="1" thickBot="1" x14ac:dyDescent="0.25">
      <c r="A154" s="1007"/>
      <c r="B154" s="1007"/>
      <c r="C154" s="1007"/>
      <c r="D154" s="1007"/>
      <c r="E154" s="1007"/>
      <c r="F154" s="1007"/>
      <c r="G154" s="1007"/>
      <c r="H154" s="1007"/>
      <c r="I154" s="1007"/>
      <c r="J154" s="1007"/>
      <c r="K154" s="1007"/>
      <c r="L154" s="1007"/>
      <c r="M154" s="1007"/>
    </row>
    <row r="155" spans="1:13" x14ac:dyDescent="0.2">
      <c r="A155" s="1076" t="s">
        <v>32</v>
      </c>
      <c r="B155" s="1077" t="s">
        <v>1176</v>
      </c>
      <c r="C155" s="1078" t="s">
        <v>6</v>
      </c>
      <c r="D155" s="1079"/>
      <c r="E155" s="1080"/>
      <c r="F155" s="1012">
        <f>I155</f>
        <v>0</v>
      </c>
      <c r="G155" s="1013">
        <f>J155</f>
        <v>0</v>
      </c>
      <c r="H155" s="1045">
        <f>K155</f>
        <v>0</v>
      </c>
      <c r="I155" s="1015">
        <f>SUM(I157:I172)</f>
        <v>0</v>
      </c>
      <c r="J155" s="1016">
        <f>SUM(J157:J172)</f>
        <v>0</v>
      </c>
      <c r="K155" s="1046">
        <f>SUM(K157:K172)</f>
        <v>0</v>
      </c>
      <c r="L155" s="1081">
        <f>SUM(L157:L172)</f>
        <v>0</v>
      </c>
      <c r="M155" s="1082" t="e">
        <f>ROUND(L155/$L$174,6)</f>
        <v>#DIV/0!</v>
      </c>
    </row>
    <row r="156" spans="1:13" x14ac:dyDescent="0.2">
      <c r="A156" s="1083"/>
      <c r="B156" s="1084"/>
      <c r="C156" s="1085"/>
      <c r="D156" s="1086"/>
      <c r="E156" s="1087"/>
      <c r="F156" s="306" t="e">
        <f>ROUND(F155/L155,6)</f>
        <v>#DIV/0!</v>
      </c>
      <c r="G156" s="307" t="e">
        <f>ROUND(G155/L155,6)</f>
        <v>#DIV/0!</v>
      </c>
      <c r="H156" s="308" t="e">
        <f>ROUND(H155/L155,6)</f>
        <v>#DIV/0!</v>
      </c>
      <c r="I156" s="306" t="str">
        <f>IF(I155=F155,"sim","nao")</f>
        <v>sim</v>
      </c>
      <c r="J156" s="307" t="str">
        <f>IF(J155=G155,"sim","nao")</f>
        <v>sim</v>
      </c>
      <c r="K156" s="415" t="str">
        <f>IF(K155=H155,"sim","nao")</f>
        <v>sim</v>
      </c>
      <c r="L156" s="1088"/>
      <c r="M156" s="1089"/>
    </row>
    <row r="157" spans="1:13" s="1031" customFormat="1" ht="18" customHeight="1" x14ac:dyDescent="0.2">
      <c r="A157" s="1050" t="s">
        <v>1185</v>
      </c>
      <c r="B157" s="1001" t="s">
        <v>849</v>
      </c>
      <c r="C157" s="1090" t="s">
        <v>197</v>
      </c>
      <c r="D157" s="961">
        <f>'[12]A IV.'!$D157</f>
        <v>150</v>
      </c>
      <c r="E157" s="1051">
        <f t="shared" ref="E157:E172" si="61">F157+G157+H157</f>
        <v>0</v>
      </c>
      <c r="F157" s="1052">
        <f>'A VI.'!F5215</f>
        <v>0</v>
      </c>
      <c r="G157" s="1053">
        <f>'A VI.'!F5229</f>
        <v>0</v>
      </c>
      <c r="H157" s="965">
        <f>'A VI.'!F5241</f>
        <v>0</v>
      </c>
      <c r="I157" s="963">
        <f t="shared" ref="I157:I172" si="62">ROUND(D157*F157,2)</f>
        <v>0</v>
      </c>
      <c r="J157" s="964">
        <f t="shared" ref="J157:J172" si="63">ROUND(D157*G157,2)</f>
        <v>0</v>
      </c>
      <c r="K157" s="966">
        <f t="shared" ref="K157:K172" si="64">ROUND(D157*H157,2)</f>
        <v>0</v>
      </c>
      <c r="L157" s="1054">
        <f t="shared" ref="L157:L172" si="65">ROUND(D157*F157,2)+ROUND(D157*G157,2)+ROUND(D157*H157,2)</f>
        <v>0</v>
      </c>
      <c r="M157" s="968" t="e">
        <f t="shared" ref="M157:M172" si="66">ROUND(L157/$L$174,6)</f>
        <v>#DIV/0!</v>
      </c>
    </row>
    <row r="158" spans="1:13" s="1031" customFormat="1" ht="18" customHeight="1" x14ac:dyDescent="0.2">
      <c r="A158" s="1050" t="s">
        <v>126</v>
      </c>
      <c r="B158" s="1001" t="s">
        <v>1017</v>
      </c>
      <c r="C158" s="1090" t="s">
        <v>196</v>
      </c>
      <c r="D158" s="961">
        <f>'[12]A IV.'!$D158</f>
        <v>70</v>
      </c>
      <c r="E158" s="1051">
        <f t="shared" si="61"/>
        <v>0</v>
      </c>
      <c r="F158" s="1052">
        <f>'A VI.'!$F$5263</f>
        <v>0</v>
      </c>
      <c r="G158" s="1053">
        <f>'A VI.'!$F$5277</f>
        <v>0</v>
      </c>
      <c r="H158" s="965">
        <f>'A VI.'!$F$5289</f>
        <v>0</v>
      </c>
      <c r="I158" s="963">
        <f t="shared" si="62"/>
        <v>0</v>
      </c>
      <c r="J158" s="964">
        <f t="shared" si="63"/>
        <v>0</v>
      </c>
      <c r="K158" s="966">
        <f t="shared" si="64"/>
        <v>0</v>
      </c>
      <c r="L158" s="1054">
        <f t="shared" si="65"/>
        <v>0</v>
      </c>
      <c r="M158" s="968" t="e">
        <f t="shared" si="66"/>
        <v>#DIV/0!</v>
      </c>
    </row>
    <row r="159" spans="1:13" s="1031" customFormat="1" ht="18" customHeight="1" x14ac:dyDescent="0.2">
      <c r="A159" s="1050" t="s">
        <v>127</v>
      </c>
      <c r="B159" s="1001" t="s">
        <v>1018</v>
      </c>
      <c r="C159" s="1090" t="s">
        <v>196</v>
      </c>
      <c r="D159" s="961">
        <f>'[12]A IV.'!$D159</f>
        <v>50</v>
      </c>
      <c r="E159" s="1051">
        <f t="shared" si="61"/>
        <v>0</v>
      </c>
      <c r="F159" s="1052">
        <f>'A VI.'!$F$5311</f>
        <v>0</v>
      </c>
      <c r="G159" s="1053">
        <f>'A VI.'!$F$5325</f>
        <v>0</v>
      </c>
      <c r="H159" s="965">
        <f>'A VI.'!$F$5337</f>
        <v>0</v>
      </c>
      <c r="I159" s="963">
        <f t="shared" si="62"/>
        <v>0</v>
      </c>
      <c r="J159" s="964">
        <f t="shared" si="63"/>
        <v>0</v>
      </c>
      <c r="K159" s="966">
        <f t="shared" si="64"/>
        <v>0</v>
      </c>
      <c r="L159" s="1054">
        <f t="shared" si="65"/>
        <v>0</v>
      </c>
      <c r="M159" s="968" t="e">
        <f t="shared" si="66"/>
        <v>#DIV/0!</v>
      </c>
    </row>
    <row r="160" spans="1:13" s="1031" customFormat="1" ht="18" customHeight="1" x14ac:dyDescent="0.2">
      <c r="A160" s="1050" t="s">
        <v>128</v>
      </c>
      <c r="B160" s="1001" t="s">
        <v>1021</v>
      </c>
      <c r="C160" s="1090" t="s">
        <v>196</v>
      </c>
      <c r="D160" s="961">
        <f>'[12]A IV.'!$D160</f>
        <v>224</v>
      </c>
      <c r="E160" s="1051">
        <f t="shared" si="61"/>
        <v>0</v>
      </c>
      <c r="F160" s="1052">
        <f>'A VI.'!$F$5359</f>
        <v>0</v>
      </c>
      <c r="G160" s="1053">
        <f>'A VI.'!$F$5373</f>
        <v>0</v>
      </c>
      <c r="H160" s="965">
        <f>'A VI.'!$F$5385</f>
        <v>0</v>
      </c>
      <c r="I160" s="963">
        <f t="shared" si="62"/>
        <v>0</v>
      </c>
      <c r="J160" s="964">
        <f t="shared" si="63"/>
        <v>0</v>
      </c>
      <c r="K160" s="966">
        <f t="shared" si="64"/>
        <v>0</v>
      </c>
      <c r="L160" s="1054">
        <f t="shared" si="65"/>
        <v>0</v>
      </c>
      <c r="M160" s="968" t="e">
        <f t="shared" si="66"/>
        <v>#DIV/0!</v>
      </c>
    </row>
    <row r="161" spans="1:13" s="1031" customFormat="1" ht="18" customHeight="1" x14ac:dyDescent="0.2">
      <c r="A161" s="1050" t="s">
        <v>129</v>
      </c>
      <c r="B161" s="1001" t="s">
        <v>1023</v>
      </c>
      <c r="C161" s="1090" t="s">
        <v>196</v>
      </c>
      <c r="D161" s="961">
        <f>'[12]A IV.'!$D161</f>
        <v>125</v>
      </c>
      <c r="E161" s="1051">
        <f t="shared" si="61"/>
        <v>0</v>
      </c>
      <c r="F161" s="1052">
        <f>'A VI.'!F5407</f>
        <v>0</v>
      </c>
      <c r="G161" s="1053">
        <f>'A VI.'!F5421</f>
        <v>0</v>
      </c>
      <c r="H161" s="965">
        <f>'A VI.'!F5433</f>
        <v>0</v>
      </c>
      <c r="I161" s="963">
        <f t="shared" si="62"/>
        <v>0</v>
      </c>
      <c r="J161" s="964">
        <f t="shared" si="63"/>
        <v>0</v>
      </c>
      <c r="K161" s="966">
        <f t="shared" si="64"/>
        <v>0</v>
      </c>
      <c r="L161" s="1054">
        <f t="shared" si="65"/>
        <v>0</v>
      </c>
      <c r="M161" s="968" t="e">
        <f t="shared" si="66"/>
        <v>#DIV/0!</v>
      </c>
    </row>
    <row r="162" spans="1:13" s="1031" customFormat="1" ht="18" customHeight="1" x14ac:dyDescent="0.2">
      <c r="A162" s="1050" t="s">
        <v>130</v>
      </c>
      <c r="B162" s="1001" t="s">
        <v>850</v>
      </c>
      <c r="C162" s="1090" t="s">
        <v>198</v>
      </c>
      <c r="D162" s="961">
        <f>'[12]A IV.'!$D162</f>
        <v>100</v>
      </c>
      <c r="E162" s="1051">
        <f t="shared" si="61"/>
        <v>0</v>
      </c>
      <c r="F162" s="1052">
        <f>'A VI.'!F5455</f>
        <v>0</v>
      </c>
      <c r="G162" s="1053">
        <f>'A VI.'!F5469</f>
        <v>0</v>
      </c>
      <c r="H162" s="965">
        <f>'A VI.'!F5481</f>
        <v>0</v>
      </c>
      <c r="I162" s="963">
        <f t="shared" si="62"/>
        <v>0</v>
      </c>
      <c r="J162" s="964">
        <f t="shared" si="63"/>
        <v>0</v>
      </c>
      <c r="K162" s="966">
        <f t="shared" si="64"/>
        <v>0</v>
      </c>
      <c r="L162" s="1054">
        <f t="shared" si="65"/>
        <v>0</v>
      </c>
      <c r="M162" s="968" t="e">
        <f t="shared" si="66"/>
        <v>#DIV/0!</v>
      </c>
    </row>
    <row r="163" spans="1:13" ht="18" customHeight="1" x14ac:dyDescent="0.2">
      <c r="A163" s="1050" t="s">
        <v>131</v>
      </c>
      <c r="B163" s="1001" t="s">
        <v>851</v>
      </c>
      <c r="C163" s="1091" t="s">
        <v>758</v>
      </c>
      <c r="D163" s="961">
        <f>'[12]A IV.'!$D163</f>
        <v>2000</v>
      </c>
      <c r="E163" s="1066">
        <f t="shared" si="61"/>
        <v>0</v>
      </c>
      <c r="F163" s="1052">
        <f>'A VI.'!$F$5503</f>
        <v>0</v>
      </c>
      <c r="G163" s="1053">
        <f>'A VI.'!$F$5517</f>
        <v>0</v>
      </c>
      <c r="H163" s="965">
        <f>'A VI.'!$F$5529</f>
        <v>0</v>
      </c>
      <c r="I163" s="963">
        <f t="shared" si="62"/>
        <v>0</v>
      </c>
      <c r="J163" s="964">
        <f t="shared" si="63"/>
        <v>0</v>
      </c>
      <c r="K163" s="966">
        <f t="shared" si="64"/>
        <v>0</v>
      </c>
      <c r="L163" s="1054">
        <f t="shared" si="65"/>
        <v>0</v>
      </c>
      <c r="M163" s="1000" t="e">
        <f t="shared" si="66"/>
        <v>#DIV/0!</v>
      </c>
    </row>
    <row r="164" spans="1:13" ht="18" customHeight="1" x14ac:dyDescent="0.2">
      <c r="A164" s="1050" t="s">
        <v>132</v>
      </c>
      <c r="B164" s="1001" t="s">
        <v>852</v>
      </c>
      <c r="C164" s="1092" t="s">
        <v>196</v>
      </c>
      <c r="D164" s="961">
        <f>'[12]A IV.'!$D164</f>
        <v>8000</v>
      </c>
      <c r="E164" s="1074">
        <f t="shared" si="61"/>
        <v>0</v>
      </c>
      <c r="F164" s="1052">
        <f>'A VI.'!$F$5551</f>
        <v>0</v>
      </c>
      <c r="G164" s="1053">
        <f>'A VI.'!$F$5565</f>
        <v>0</v>
      </c>
      <c r="H164" s="965">
        <f>'A VI.'!$F$5577</f>
        <v>0</v>
      </c>
      <c r="I164" s="963">
        <f t="shared" si="62"/>
        <v>0</v>
      </c>
      <c r="J164" s="964">
        <f t="shared" si="63"/>
        <v>0</v>
      </c>
      <c r="K164" s="966">
        <f t="shared" si="64"/>
        <v>0</v>
      </c>
      <c r="L164" s="1054">
        <f t="shared" si="65"/>
        <v>0</v>
      </c>
      <c r="M164" s="1000" t="e">
        <f t="shared" si="66"/>
        <v>#DIV/0!</v>
      </c>
    </row>
    <row r="165" spans="1:13" ht="18" customHeight="1" x14ac:dyDescent="0.2">
      <c r="A165" s="1050" t="s">
        <v>133</v>
      </c>
      <c r="B165" s="1001" t="s">
        <v>857</v>
      </c>
      <c r="C165" s="1092" t="s">
        <v>196</v>
      </c>
      <c r="D165" s="961">
        <f>'[12]A IV.'!$D165</f>
        <v>200</v>
      </c>
      <c r="E165" s="1074">
        <f t="shared" si="61"/>
        <v>0</v>
      </c>
      <c r="F165" s="1052">
        <f>'A VI.'!F5599</f>
        <v>0</v>
      </c>
      <c r="G165" s="1053">
        <f>'A VI.'!F5613</f>
        <v>0</v>
      </c>
      <c r="H165" s="965">
        <f>'A VI.'!F5625</f>
        <v>0</v>
      </c>
      <c r="I165" s="963">
        <f t="shared" si="62"/>
        <v>0</v>
      </c>
      <c r="J165" s="964">
        <f t="shared" si="63"/>
        <v>0</v>
      </c>
      <c r="K165" s="966">
        <f t="shared" si="64"/>
        <v>0</v>
      </c>
      <c r="L165" s="1054">
        <f t="shared" si="65"/>
        <v>0</v>
      </c>
      <c r="M165" s="1000" t="e">
        <f t="shared" si="66"/>
        <v>#DIV/0!</v>
      </c>
    </row>
    <row r="166" spans="1:13" ht="18" customHeight="1" x14ac:dyDescent="0.2">
      <c r="A166" s="1050" t="s">
        <v>1186</v>
      </c>
      <c r="B166" s="1001" t="s">
        <v>1111</v>
      </c>
      <c r="C166" s="1092" t="s">
        <v>1106</v>
      </c>
      <c r="D166" s="961">
        <f>'[12]A IV.'!$D166</f>
        <v>12</v>
      </c>
      <c r="E166" s="1074">
        <f t="shared" si="61"/>
        <v>0</v>
      </c>
      <c r="F166" s="1052">
        <f>'A VI.'!$F$5647</f>
        <v>0</v>
      </c>
      <c r="G166" s="1053">
        <f>'A VI.'!$F$5661</f>
        <v>0</v>
      </c>
      <c r="H166" s="965">
        <f>'A VI.'!$F$5673</f>
        <v>0</v>
      </c>
      <c r="I166" s="963">
        <f t="shared" ref="I166:I167" si="67">ROUND(D166*F166,2)</f>
        <v>0</v>
      </c>
      <c r="J166" s="964">
        <f t="shared" ref="J166:J167" si="68">ROUND(D166*G166,2)</f>
        <v>0</v>
      </c>
      <c r="K166" s="966">
        <f t="shared" ref="K166:K167" si="69">ROUND(D166*H166,2)</f>
        <v>0</v>
      </c>
      <c r="L166" s="1054">
        <f t="shared" si="65"/>
        <v>0</v>
      </c>
      <c r="M166" s="1000" t="e">
        <f t="shared" si="66"/>
        <v>#DIV/0!</v>
      </c>
    </row>
    <row r="167" spans="1:13" ht="18" customHeight="1" x14ac:dyDescent="0.2">
      <c r="A167" s="1050" t="s">
        <v>1187</v>
      </c>
      <c r="B167" s="1001" t="s">
        <v>1107</v>
      </c>
      <c r="C167" s="1092" t="s">
        <v>161</v>
      </c>
      <c r="D167" s="961">
        <f>'[12]A IV.'!$D167</f>
        <v>1200</v>
      </c>
      <c r="E167" s="1074">
        <f t="shared" si="61"/>
        <v>0</v>
      </c>
      <c r="F167" s="1052">
        <f>'A VI.'!$F$5695</f>
        <v>0</v>
      </c>
      <c r="G167" s="1053">
        <f>'A VI.'!$F$5709</f>
        <v>0</v>
      </c>
      <c r="H167" s="965">
        <f>'A VI.'!$F$5721</f>
        <v>0</v>
      </c>
      <c r="I167" s="963">
        <f t="shared" si="67"/>
        <v>0</v>
      </c>
      <c r="J167" s="964">
        <f t="shared" si="68"/>
        <v>0</v>
      </c>
      <c r="K167" s="966">
        <f t="shared" si="69"/>
        <v>0</v>
      </c>
      <c r="L167" s="1054">
        <f t="shared" si="65"/>
        <v>0</v>
      </c>
      <c r="M167" s="1000" t="e">
        <f t="shared" si="66"/>
        <v>#DIV/0!</v>
      </c>
    </row>
    <row r="168" spans="1:13" ht="18" customHeight="1" x14ac:dyDescent="0.2">
      <c r="A168" s="1050" t="s">
        <v>985</v>
      </c>
      <c r="B168" s="1001" t="s">
        <v>853</v>
      </c>
      <c r="C168" s="1092" t="s">
        <v>198</v>
      </c>
      <c r="D168" s="961">
        <f>'[12]A IV.'!$D168</f>
        <v>200</v>
      </c>
      <c r="E168" s="1074">
        <f t="shared" si="61"/>
        <v>0</v>
      </c>
      <c r="F168" s="1052">
        <f>'A VI.'!$F$5743</f>
        <v>0</v>
      </c>
      <c r="G168" s="1053">
        <f>'A VI.'!$F$5757</f>
        <v>0</v>
      </c>
      <c r="H168" s="965">
        <f>'A VI.'!$F$5769</f>
        <v>0</v>
      </c>
      <c r="I168" s="963">
        <f t="shared" si="62"/>
        <v>0</v>
      </c>
      <c r="J168" s="964">
        <f t="shared" si="63"/>
        <v>0</v>
      </c>
      <c r="K168" s="966">
        <f t="shared" si="64"/>
        <v>0</v>
      </c>
      <c r="L168" s="1054">
        <f t="shared" si="65"/>
        <v>0</v>
      </c>
      <c r="M168" s="1000" t="e">
        <f t="shared" si="66"/>
        <v>#DIV/0!</v>
      </c>
    </row>
    <row r="169" spans="1:13" ht="18" customHeight="1" x14ac:dyDescent="0.2">
      <c r="A169" s="1050" t="s">
        <v>986</v>
      </c>
      <c r="B169" s="1001" t="s">
        <v>854</v>
      </c>
      <c r="C169" s="1092" t="s">
        <v>255</v>
      </c>
      <c r="D169" s="961">
        <f>'[12]A IV.'!$D169</f>
        <v>35</v>
      </c>
      <c r="E169" s="1074">
        <f t="shared" si="61"/>
        <v>0</v>
      </c>
      <c r="F169" s="1052">
        <f>'A VI.'!F5791</f>
        <v>0</v>
      </c>
      <c r="G169" s="1053">
        <f>'A VI.'!F5805</f>
        <v>0</v>
      </c>
      <c r="H169" s="965">
        <f>'A VI.'!F5817</f>
        <v>0</v>
      </c>
      <c r="I169" s="963">
        <f t="shared" si="62"/>
        <v>0</v>
      </c>
      <c r="J169" s="964">
        <f t="shared" si="63"/>
        <v>0</v>
      </c>
      <c r="K169" s="966">
        <f t="shared" si="64"/>
        <v>0</v>
      </c>
      <c r="L169" s="1054">
        <f t="shared" si="65"/>
        <v>0</v>
      </c>
      <c r="M169" s="1000" t="e">
        <f t="shared" si="66"/>
        <v>#DIV/0!</v>
      </c>
    </row>
    <row r="170" spans="1:13" ht="18" customHeight="1" x14ac:dyDescent="0.2">
      <c r="A170" s="1050" t="s">
        <v>987</v>
      </c>
      <c r="B170" s="1001" t="s">
        <v>822</v>
      </c>
      <c r="C170" s="1092" t="s">
        <v>196</v>
      </c>
      <c r="D170" s="961">
        <f>'[12]A IV.'!$D170</f>
        <v>1300</v>
      </c>
      <c r="E170" s="1074">
        <f t="shared" si="61"/>
        <v>0</v>
      </c>
      <c r="F170" s="1052">
        <f>'A VI.'!F5839</f>
        <v>0</v>
      </c>
      <c r="G170" s="1053">
        <f>'A VI.'!F5853</f>
        <v>0</v>
      </c>
      <c r="H170" s="965">
        <f>'A VI.'!F5865</f>
        <v>0</v>
      </c>
      <c r="I170" s="963">
        <f t="shared" si="62"/>
        <v>0</v>
      </c>
      <c r="J170" s="964">
        <f t="shared" si="63"/>
        <v>0</v>
      </c>
      <c r="K170" s="966">
        <f t="shared" si="64"/>
        <v>0</v>
      </c>
      <c r="L170" s="1054">
        <f t="shared" si="65"/>
        <v>0</v>
      </c>
      <c r="M170" s="1000" t="e">
        <f t="shared" si="66"/>
        <v>#DIV/0!</v>
      </c>
    </row>
    <row r="171" spans="1:13" ht="18" customHeight="1" x14ac:dyDescent="0.2">
      <c r="A171" s="1050" t="s">
        <v>988</v>
      </c>
      <c r="B171" s="1001" t="s">
        <v>855</v>
      </c>
      <c r="C171" s="1092" t="s">
        <v>196</v>
      </c>
      <c r="D171" s="961">
        <f>'[12]A IV.'!$D171</f>
        <v>1200</v>
      </c>
      <c r="E171" s="1074">
        <f t="shared" si="61"/>
        <v>0</v>
      </c>
      <c r="F171" s="1052">
        <f>'A VI.'!$F$5887</f>
        <v>0</v>
      </c>
      <c r="G171" s="1053">
        <f>'A VI.'!$F$5901</f>
        <v>0</v>
      </c>
      <c r="H171" s="965">
        <f>'A VI.'!$F$5913</f>
        <v>0</v>
      </c>
      <c r="I171" s="963">
        <f t="shared" si="62"/>
        <v>0</v>
      </c>
      <c r="J171" s="964">
        <f t="shared" si="63"/>
        <v>0</v>
      </c>
      <c r="K171" s="966">
        <f t="shared" si="64"/>
        <v>0</v>
      </c>
      <c r="L171" s="1054">
        <f t="shared" si="65"/>
        <v>0</v>
      </c>
      <c r="M171" s="1000" t="e">
        <f t="shared" si="66"/>
        <v>#DIV/0!</v>
      </c>
    </row>
    <row r="172" spans="1:13" ht="18" customHeight="1" thickBot="1" x14ac:dyDescent="0.25">
      <c r="A172" s="1059" t="s">
        <v>989</v>
      </c>
      <c r="B172" s="1036" t="s">
        <v>856</v>
      </c>
      <c r="C172" s="979" t="s">
        <v>255</v>
      </c>
      <c r="D172" s="979">
        <f>'[12]A IV.'!$D172</f>
        <v>10</v>
      </c>
      <c r="E172" s="1069">
        <f t="shared" si="61"/>
        <v>0</v>
      </c>
      <c r="F172" s="1039">
        <f>'A VI.'!$F$5935</f>
        <v>0</v>
      </c>
      <c r="G172" s="1040">
        <f>'A VI.'!$F$5949</f>
        <v>0</v>
      </c>
      <c r="H172" s="983">
        <f>'A VI.'!$F$5961</f>
        <v>0</v>
      </c>
      <c r="I172" s="981">
        <f t="shared" si="62"/>
        <v>0</v>
      </c>
      <c r="J172" s="982">
        <f t="shared" si="63"/>
        <v>0</v>
      </c>
      <c r="K172" s="984">
        <f t="shared" si="64"/>
        <v>0</v>
      </c>
      <c r="L172" s="1075">
        <f t="shared" si="65"/>
        <v>0</v>
      </c>
      <c r="M172" s="1042" t="e">
        <f t="shared" si="66"/>
        <v>#DIV/0!</v>
      </c>
    </row>
    <row r="173" spans="1:13" ht="9.9499999999999993" customHeight="1" thickBot="1" x14ac:dyDescent="0.25">
      <c r="A173" s="1093"/>
      <c r="B173" s="1093"/>
      <c r="C173" s="1093"/>
      <c r="D173" s="1093"/>
      <c r="E173" s="1093"/>
      <c r="F173" s="1093"/>
      <c r="G173" s="1093"/>
      <c r="H173" s="1093"/>
      <c r="I173" s="1093"/>
      <c r="J173" s="1093"/>
      <c r="K173" s="1093"/>
      <c r="L173" s="1093"/>
      <c r="M173" s="1093"/>
    </row>
    <row r="174" spans="1:13" s="887" customFormat="1" ht="20.100000000000001" customHeight="1" thickBot="1" x14ac:dyDescent="0.25">
      <c r="A174" s="1094" t="s">
        <v>42</v>
      </c>
      <c r="B174" s="1095"/>
      <c r="C174" s="1095"/>
      <c r="D174" s="1095"/>
      <c r="E174" s="1095"/>
      <c r="F174" s="1095"/>
      <c r="G174" s="1095"/>
      <c r="H174" s="1095"/>
      <c r="I174" s="1095"/>
      <c r="J174" s="1095"/>
      <c r="K174" s="1096"/>
      <c r="L174" s="1097">
        <f>ROUND(L112+L126+L43+L134+L155+L22+L14,2)</f>
        <v>0</v>
      </c>
      <c r="M174" s="1098" t="e">
        <f>ROUND(M112+M126+M43+M134+M155+M22+M14,5)</f>
        <v>#DIV/0!</v>
      </c>
    </row>
    <row r="175" spans="1:13" s="887" customFormat="1" ht="20.100000000000001" customHeight="1" thickBot="1" x14ac:dyDescent="0.25">
      <c r="A175" s="1099" t="s">
        <v>1083</v>
      </c>
      <c r="B175" s="1100"/>
      <c r="C175" s="1100"/>
      <c r="D175" s="1100"/>
      <c r="E175" s="1100"/>
      <c r="F175" s="1100"/>
      <c r="G175" s="1100"/>
      <c r="H175" s="1100"/>
      <c r="I175" s="1100"/>
      <c r="J175" s="1100"/>
      <c r="K175" s="1101"/>
      <c r="L175" s="1102">
        <f>F43+F14+F112+F126+F22+F134+F155</f>
        <v>0</v>
      </c>
      <c r="M175" s="1103" t="e">
        <f>ROUND(L175/$L$174,4)</f>
        <v>#DIV/0!</v>
      </c>
    </row>
    <row r="176" spans="1:13" s="887" customFormat="1" ht="20.100000000000001" customHeight="1" thickBot="1" x14ac:dyDescent="0.25">
      <c r="A176" s="1099" t="s">
        <v>1084</v>
      </c>
      <c r="B176" s="1100"/>
      <c r="C176" s="1100"/>
      <c r="D176" s="1100"/>
      <c r="E176" s="1100"/>
      <c r="F176" s="1100"/>
      <c r="G176" s="1100"/>
      <c r="H176" s="1100"/>
      <c r="I176" s="1100"/>
      <c r="J176" s="1100"/>
      <c r="K176" s="1101"/>
      <c r="L176" s="1102">
        <f>G155+G134+G126+G112+G43+G22+G14</f>
        <v>0</v>
      </c>
      <c r="M176" s="1103" t="e">
        <f>ROUND(L176/$L$174,5)</f>
        <v>#DIV/0!</v>
      </c>
    </row>
    <row r="177" spans="1:13" s="887" customFormat="1" ht="20.100000000000001" customHeight="1" thickBot="1" x14ac:dyDescent="0.25">
      <c r="A177" s="1099" t="s">
        <v>1085</v>
      </c>
      <c r="B177" s="1100"/>
      <c r="C177" s="1100"/>
      <c r="D177" s="1100"/>
      <c r="E177" s="1100"/>
      <c r="F177" s="1100"/>
      <c r="G177" s="1100"/>
      <c r="H177" s="1100"/>
      <c r="I177" s="1100"/>
      <c r="J177" s="1100"/>
      <c r="K177" s="1101"/>
      <c r="L177" s="219">
        <f>H155+H134+H126+H112+H43+H22+H14</f>
        <v>0</v>
      </c>
      <c r="M177" s="1103" t="e">
        <f>ROUND(L177/$L$174,5)</f>
        <v>#DIV/0!</v>
      </c>
    </row>
    <row r="178" spans="1:13" ht="9.9499999999999993" customHeight="1" thickBot="1" x14ac:dyDescent="0.25">
      <c r="A178" s="1104"/>
      <c r="B178" s="1104"/>
      <c r="C178" s="1104"/>
      <c r="D178" s="1104"/>
      <c r="E178" s="1104"/>
      <c r="F178" s="1104"/>
      <c r="G178" s="1104"/>
      <c r="H178" s="1104"/>
      <c r="I178" s="1104"/>
      <c r="J178" s="1104"/>
      <c r="K178" s="1104"/>
      <c r="L178" s="1104"/>
      <c r="M178" s="1104"/>
    </row>
    <row r="179" spans="1:13" s="887" customFormat="1" x14ac:dyDescent="0.2">
      <c r="A179" s="1105" t="s">
        <v>7</v>
      </c>
      <c r="B179" s="1106" t="s">
        <v>50</v>
      </c>
      <c r="C179" s="1106"/>
      <c r="D179" s="1106"/>
      <c r="E179" s="1107"/>
      <c r="F179" s="1108" t="s">
        <v>14</v>
      </c>
      <c r="G179" s="1109" t="s">
        <v>13</v>
      </c>
      <c r="H179" s="1110" t="s">
        <v>12</v>
      </c>
      <c r="I179" s="1109"/>
      <c r="J179" s="1109"/>
      <c r="K179" s="1111"/>
      <c r="L179" s="1111" t="s">
        <v>11</v>
      </c>
      <c r="M179" s="1112" t="s">
        <v>1</v>
      </c>
    </row>
    <row r="180" spans="1:13" s="887" customFormat="1" ht="16.5" thickBot="1" x14ac:dyDescent="0.25">
      <c r="A180" s="1113"/>
      <c r="B180" s="1114"/>
      <c r="C180" s="1114"/>
      <c r="D180" s="1114"/>
      <c r="E180" s="1115"/>
      <c r="F180" s="1116" t="s">
        <v>2</v>
      </c>
      <c r="G180" s="1117" t="s">
        <v>2</v>
      </c>
      <c r="H180" s="1118" t="s">
        <v>2</v>
      </c>
      <c r="I180" s="1117"/>
      <c r="J180" s="1117"/>
      <c r="K180" s="1119"/>
      <c r="L180" s="1119" t="s">
        <v>16</v>
      </c>
      <c r="M180" s="1120"/>
    </row>
    <row r="181" spans="1:13" s="887" customFormat="1" x14ac:dyDescent="0.2">
      <c r="A181" s="1121" t="str">
        <f>A14</f>
        <v>1.0</v>
      </c>
      <c r="B181" s="1122" t="str">
        <f>B14</f>
        <v>CANTEIRO DE OBRAS</v>
      </c>
      <c r="C181" s="1123"/>
      <c r="D181" s="1123"/>
      <c r="E181" s="1123"/>
      <c r="F181" s="1124">
        <f t="shared" ref="F181:H182" si="70">F14</f>
        <v>0</v>
      </c>
      <c r="G181" s="1125">
        <f t="shared" si="70"/>
        <v>0</v>
      </c>
      <c r="H181" s="1126">
        <f t="shared" si="70"/>
        <v>0</v>
      </c>
      <c r="I181" s="1127"/>
      <c r="J181" s="1127"/>
      <c r="K181" s="1127"/>
      <c r="L181" s="1128">
        <f>F181+G181+H181</f>
        <v>0</v>
      </c>
      <c r="M181" s="506" t="e">
        <f>ROUND(L181/$L$174,6)</f>
        <v>#DIV/0!</v>
      </c>
    </row>
    <row r="182" spans="1:13" s="887" customFormat="1" ht="16.5" thickBot="1" x14ac:dyDescent="0.25">
      <c r="A182" s="1129"/>
      <c r="B182" s="1130"/>
      <c r="C182" s="1131"/>
      <c r="D182" s="1131"/>
      <c r="E182" s="1131"/>
      <c r="F182" s="220" t="e">
        <f t="shared" si="70"/>
        <v>#DIV/0!</v>
      </c>
      <c r="G182" s="222" t="e">
        <f t="shared" si="70"/>
        <v>#DIV/0!</v>
      </c>
      <c r="H182" s="223" t="e">
        <f t="shared" si="70"/>
        <v>#DIV/0!</v>
      </c>
      <c r="I182" s="221"/>
      <c r="J182" s="221"/>
      <c r="K182" s="1132"/>
      <c r="L182" s="1133"/>
      <c r="M182" s="507"/>
    </row>
    <row r="183" spans="1:13" s="887" customFormat="1" x14ac:dyDescent="0.2">
      <c r="A183" s="1134" t="str">
        <f>A22</f>
        <v>2.0</v>
      </c>
      <c r="B183" s="1135" t="str">
        <f>B22</f>
        <v>SERVIÇOS INICIAIS</v>
      </c>
      <c r="C183" s="1136"/>
      <c r="D183" s="1136"/>
      <c r="E183" s="1136"/>
      <c r="F183" s="1137">
        <f t="shared" ref="F183:H184" si="71">F22</f>
        <v>0</v>
      </c>
      <c r="G183" s="1138">
        <f t="shared" si="71"/>
        <v>0</v>
      </c>
      <c r="H183" s="1139">
        <f t="shared" si="71"/>
        <v>0</v>
      </c>
      <c r="I183" s="1140"/>
      <c r="J183" s="1140"/>
      <c r="K183" s="1141"/>
      <c r="L183" s="1142">
        <f>F183+G183+H183</f>
        <v>0</v>
      </c>
      <c r="M183" s="510" t="e">
        <f>ROUND(L183/$L$174,6)</f>
        <v>#DIV/0!</v>
      </c>
    </row>
    <row r="184" spans="1:13" s="887" customFormat="1" ht="16.5" thickBot="1" x14ac:dyDescent="0.25">
      <c r="A184" s="1143"/>
      <c r="B184" s="1144"/>
      <c r="C184" s="1145"/>
      <c r="D184" s="1145"/>
      <c r="E184" s="1145"/>
      <c r="F184" s="224" t="e">
        <f t="shared" si="71"/>
        <v>#DIV/0!</v>
      </c>
      <c r="G184" s="225" t="e">
        <f t="shared" si="71"/>
        <v>#DIV/0!</v>
      </c>
      <c r="H184" s="226" t="e">
        <f t="shared" si="71"/>
        <v>#DIV/0!</v>
      </c>
      <c r="I184" s="225"/>
      <c r="J184" s="225"/>
      <c r="K184" s="1146"/>
      <c r="L184" s="1147"/>
      <c r="M184" s="511"/>
    </row>
    <row r="185" spans="1:13" s="887" customFormat="1" x14ac:dyDescent="0.2">
      <c r="A185" s="1148" t="str">
        <f>A43</f>
        <v>3.0</v>
      </c>
      <c r="B185" s="1149" t="str">
        <f>B43</f>
        <v>FECHAMENTOS, PROTEÇÕES E ALVENARIAS EM GERAL</v>
      </c>
      <c r="C185" s="1150"/>
      <c r="D185" s="1150"/>
      <c r="E185" s="1150"/>
      <c r="F185" s="1124">
        <f t="shared" ref="F185:H186" si="72">F43</f>
        <v>0</v>
      </c>
      <c r="G185" s="1125">
        <f t="shared" si="72"/>
        <v>0</v>
      </c>
      <c r="H185" s="1126">
        <f t="shared" si="72"/>
        <v>0</v>
      </c>
      <c r="I185" s="1127"/>
      <c r="J185" s="1127"/>
      <c r="K185" s="1127"/>
      <c r="L185" s="1128">
        <f>F185+G185+H185</f>
        <v>0</v>
      </c>
      <c r="M185" s="506" t="e">
        <f>ROUND(L185/$L$174,6)</f>
        <v>#DIV/0!</v>
      </c>
    </row>
    <row r="186" spans="1:13" s="887" customFormat="1" ht="16.5" thickBot="1" x14ac:dyDescent="0.25">
      <c r="A186" s="1151"/>
      <c r="B186" s="1152"/>
      <c r="C186" s="1153"/>
      <c r="D186" s="1153"/>
      <c r="E186" s="1153"/>
      <c r="F186" s="227" t="e">
        <f t="shared" si="72"/>
        <v>#DIV/0!</v>
      </c>
      <c r="G186" s="228" t="e">
        <f t="shared" si="72"/>
        <v>#DIV/0!</v>
      </c>
      <c r="H186" s="229" t="e">
        <f t="shared" si="72"/>
        <v>#DIV/0!</v>
      </c>
      <c r="I186" s="228"/>
      <c r="J186" s="228"/>
      <c r="K186" s="1132"/>
      <c r="L186" s="1154"/>
      <c r="M186" s="507"/>
    </row>
    <row r="187" spans="1:13" s="887" customFormat="1" x14ac:dyDescent="0.2">
      <c r="A187" s="1155" t="str">
        <f>A112</f>
        <v>4.0</v>
      </c>
      <c r="B187" s="1156" t="str">
        <f>B112</f>
        <v>FORNECIMENTO E INSTALAÇÕES HIDRAULICAS - ITEM 9.0 DO TERMO DE REFERÊNCIA</v>
      </c>
      <c r="C187" s="1157"/>
      <c r="D187" s="1157"/>
      <c r="E187" s="1157"/>
      <c r="F187" s="1108">
        <f t="shared" ref="F187:H188" si="73">F112</f>
        <v>0</v>
      </c>
      <c r="G187" s="1109">
        <f t="shared" si="73"/>
        <v>0</v>
      </c>
      <c r="H187" s="1110">
        <f t="shared" si="73"/>
        <v>0</v>
      </c>
      <c r="I187" s="1158"/>
      <c r="J187" s="1158"/>
      <c r="K187" s="1158"/>
      <c r="L187" s="1159">
        <f>F187+G187+H187</f>
        <v>0</v>
      </c>
      <c r="M187" s="504" t="e">
        <f>ROUND(L187/$L$174,6)</f>
        <v>#DIV/0!</v>
      </c>
    </row>
    <row r="188" spans="1:13" s="887" customFormat="1" ht="16.5" thickBot="1" x14ac:dyDescent="0.25">
      <c r="A188" s="1160"/>
      <c r="B188" s="1161"/>
      <c r="C188" s="1162"/>
      <c r="D188" s="1162"/>
      <c r="E188" s="1162"/>
      <c r="F188" s="230" t="e">
        <f t="shared" si="73"/>
        <v>#DIV/0!</v>
      </c>
      <c r="G188" s="231" t="e">
        <f t="shared" si="73"/>
        <v>#DIV/0!</v>
      </c>
      <c r="H188" s="232" t="e">
        <f t="shared" si="73"/>
        <v>#DIV/0!</v>
      </c>
      <c r="I188" s="231"/>
      <c r="J188" s="231"/>
      <c r="K188" s="1163"/>
      <c r="L188" s="1164"/>
      <c r="M188" s="505"/>
    </row>
    <row r="189" spans="1:13" s="887" customFormat="1" x14ac:dyDescent="0.2">
      <c r="A189" s="1165" t="str">
        <f>A126</f>
        <v>5.0</v>
      </c>
      <c r="B189" s="1166" t="str">
        <f>B126</f>
        <v>RECUPERAÇÃO E TRATAMENTO DE SUPERFÍCIES EM CONCRETO ARMADO - ITEM 10.0 DO TERMO DE REFERÊNCIA</v>
      </c>
      <c r="C189" s="1167"/>
      <c r="D189" s="1167"/>
      <c r="E189" s="1167"/>
      <c r="F189" s="1168">
        <f t="shared" ref="F189:H190" si="74">F126</f>
        <v>0</v>
      </c>
      <c r="G189" s="1169">
        <f t="shared" si="74"/>
        <v>0</v>
      </c>
      <c r="H189" s="1170">
        <f t="shared" si="74"/>
        <v>0</v>
      </c>
      <c r="I189" s="1171"/>
      <c r="J189" s="1171"/>
      <c r="K189" s="1127"/>
      <c r="L189" s="1128">
        <f>F189+G189+H189</f>
        <v>0</v>
      </c>
      <c r="M189" s="512" t="e">
        <f>ROUND(L189/$L$174,6)</f>
        <v>#DIV/0!</v>
      </c>
    </row>
    <row r="190" spans="1:13" s="887" customFormat="1" ht="16.5" thickBot="1" x14ac:dyDescent="0.25">
      <c r="A190" s="1151"/>
      <c r="B190" s="1172"/>
      <c r="C190" s="1173"/>
      <c r="D190" s="1173"/>
      <c r="E190" s="1173"/>
      <c r="F190" s="233" t="e">
        <f t="shared" si="74"/>
        <v>#DIV/0!</v>
      </c>
      <c r="G190" s="235" t="e">
        <f t="shared" si="74"/>
        <v>#DIV/0!</v>
      </c>
      <c r="H190" s="236" t="e">
        <f t="shared" si="74"/>
        <v>#DIV/0!</v>
      </c>
      <c r="I190" s="234"/>
      <c r="J190" s="234"/>
      <c r="K190" s="1132"/>
      <c r="L190" s="1174"/>
      <c r="M190" s="513"/>
    </row>
    <row r="191" spans="1:13" s="887" customFormat="1" x14ac:dyDescent="0.2">
      <c r="A191" s="1175" t="str">
        <f>A134</f>
        <v>6.0</v>
      </c>
      <c r="B191" s="1176" t="str">
        <f>B134</f>
        <v>PINTURAS - ITEM 11.0 DO TERMO DE REFERÊNCIA</v>
      </c>
      <c r="C191" s="1177"/>
      <c r="D191" s="1177"/>
      <c r="E191" s="1177"/>
      <c r="F191" s="1108">
        <f t="shared" ref="F191:H192" si="75">F134</f>
        <v>0</v>
      </c>
      <c r="G191" s="1109">
        <f t="shared" si="75"/>
        <v>0</v>
      </c>
      <c r="H191" s="1110">
        <f t="shared" si="75"/>
        <v>0</v>
      </c>
      <c r="I191" s="1158"/>
      <c r="J191" s="1158"/>
      <c r="K191" s="1158"/>
      <c r="L191" s="1159">
        <f>F191+G191+H191</f>
        <v>0</v>
      </c>
      <c r="M191" s="504" t="e">
        <f>ROUND(L191/$L$174,6)</f>
        <v>#DIV/0!</v>
      </c>
    </row>
    <row r="192" spans="1:13" s="887" customFormat="1" ht="16.5" thickBot="1" x14ac:dyDescent="0.25">
      <c r="A192" s="1160"/>
      <c r="B192" s="1178"/>
      <c r="C192" s="1179"/>
      <c r="D192" s="1179"/>
      <c r="E192" s="1179"/>
      <c r="F192" s="230" t="e">
        <f t="shared" si="75"/>
        <v>#DIV/0!</v>
      </c>
      <c r="G192" s="231" t="e">
        <f t="shared" si="75"/>
        <v>#DIV/0!</v>
      </c>
      <c r="H192" s="232" t="e">
        <f t="shared" si="75"/>
        <v>#DIV/0!</v>
      </c>
      <c r="I192" s="237"/>
      <c r="J192" s="237"/>
      <c r="K192" s="1163"/>
      <c r="L192" s="1164"/>
      <c r="M192" s="505"/>
    </row>
    <row r="193" spans="1:13" s="887" customFormat="1" x14ac:dyDescent="0.2">
      <c r="A193" s="1148" t="str">
        <f>A155</f>
        <v>7.0</v>
      </c>
      <c r="B193" s="1180" t="str">
        <f>B155</f>
        <v>SERVIÇOS COMPLEMENTARES - ITEM 12.0 DO TERMO DE REFERÊNCIA</v>
      </c>
      <c r="C193" s="1181"/>
      <c r="D193" s="1181"/>
      <c r="E193" s="1181"/>
      <c r="F193" s="1168">
        <f t="shared" ref="F193:H194" si="76">F155</f>
        <v>0</v>
      </c>
      <c r="G193" s="1169">
        <f t="shared" si="76"/>
        <v>0</v>
      </c>
      <c r="H193" s="1170">
        <f t="shared" si="76"/>
        <v>0</v>
      </c>
      <c r="I193" s="1171"/>
      <c r="J193" s="1171"/>
      <c r="K193" s="1127"/>
      <c r="L193" s="1128">
        <f>F193+G193+H193</f>
        <v>0</v>
      </c>
      <c r="M193" s="512" t="e">
        <f>ROUND(L193/$L$174,6)</f>
        <v>#DIV/0!</v>
      </c>
    </row>
    <row r="194" spans="1:13" s="887" customFormat="1" ht="16.5" thickBot="1" x14ac:dyDescent="0.25">
      <c r="A194" s="1151"/>
      <c r="B194" s="1182"/>
      <c r="C194" s="1183"/>
      <c r="D194" s="1183"/>
      <c r="E194" s="1183"/>
      <c r="F194" s="233" t="e">
        <f t="shared" si="76"/>
        <v>#DIV/0!</v>
      </c>
      <c r="G194" s="235" t="e">
        <f t="shared" si="76"/>
        <v>#DIV/0!</v>
      </c>
      <c r="H194" s="236" t="e">
        <f t="shared" si="76"/>
        <v>#DIV/0!</v>
      </c>
      <c r="I194" s="234"/>
      <c r="J194" s="234"/>
      <c r="K194" s="1184"/>
      <c r="L194" s="1154"/>
      <c r="M194" s="515"/>
    </row>
    <row r="195" spans="1:13" x14ac:dyDescent="0.2">
      <c r="F195" s="1108">
        <f>F181+F183+F185+F187+F189+F193+F191</f>
        <v>0</v>
      </c>
      <c r="G195" s="1109">
        <f>G181+G183+G185+G187+G189+G193+G191</f>
        <v>0</v>
      </c>
      <c r="H195" s="1109">
        <f>H181+H183+H185+H187+H189+H193+H191</f>
        <v>0</v>
      </c>
      <c r="I195" s="1109"/>
      <c r="J195" s="1109"/>
      <c r="K195" s="1190"/>
      <c r="L195" s="1191">
        <f>SUM(L181:L194)</f>
        <v>0</v>
      </c>
      <c r="M195" s="1192" t="e">
        <f>ROUND(SUM(M181:M194),6)</f>
        <v>#DIV/0!</v>
      </c>
    </row>
    <row r="196" spans="1:13" ht="16.5" thickBot="1" x14ac:dyDescent="0.25">
      <c r="F196" s="230" t="e">
        <f>F195/L195</f>
        <v>#DIV/0!</v>
      </c>
      <c r="G196" s="231" t="e">
        <f>G195/L195</f>
        <v>#DIV/0!</v>
      </c>
      <c r="H196" s="231" t="e">
        <f>H195/L195</f>
        <v>#DIV/0!</v>
      </c>
      <c r="I196" s="231"/>
      <c r="J196" s="231"/>
      <c r="K196" s="1193"/>
      <c r="L196" s="1194"/>
      <c r="M196" s="1195"/>
    </row>
    <row r="197" spans="1:13" x14ac:dyDescent="0.2">
      <c r="A197" s="1196"/>
      <c r="B197" s="1197"/>
      <c r="C197" s="1198"/>
      <c r="D197" s="1198"/>
      <c r="E197" s="1197"/>
      <c r="F197" s="1196"/>
      <c r="G197" s="1196"/>
      <c r="H197" s="1196"/>
      <c r="I197" s="1196"/>
      <c r="J197" s="1196"/>
      <c r="K197" s="1196"/>
      <c r="L197" s="1196"/>
      <c r="M197" s="1196"/>
    </row>
    <row r="198" spans="1:13" x14ac:dyDescent="0.2">
      <c r="A198" s="1196"/>
      <c r="B198" s="1199"/>
      <c r="C198" s="1198"/>
      <c r="D198" s="1198"/>
      <c r="E198" s="339"/>
      <c r="F198" s="1196"/>
      <c r="G198" s="1196"/>
      <c r="H198" s="1196"/>
      <c r="I198" s="1196"/>
      <c r="J198" s="1196"/>
      <c r="K198" s="1196"/>
      <c r="L198" s="1196"/>
      <c r="M198" s="1196"/>
    </row>
    <row r="199" spans="1:13" x14ac:dyDescent="0.2">
      <c r="A199" s="1196"/>
      <c r="B199" s="1196"/>
      <c r="C199" s="1196"/>
      <c r="D199" s="1196"/>
      <c r="E199" s="1196"/>
      <c r="F199" s="1196"/>
      <c r="G199" s="1196"/>
      <c r="H199" s="1196"/>
      <c r="I199" s="1196"/>
      <c r="J199" s="1196"/>
      <c r="K199" s="1196"/>
      <c r="L199" s="1196"/>
      <c r="M199" s="1196"/>
    </row>
    <row r="200" spans="1:13" x14ac:dyDescent="0.2">
      <c r="A200" s="1196"/>
      <c r="B200" s="1200"/>
      <c r="C200" s="1201"/>
      <c r="D200" s="1201"/>
      <c r="E200" s="1201"/>
      <c r="F200" s="1196"/>
      <c r="G200" s="1196"/>
      <c r="H200" s="1196"/>
      <c r="I200" s="1196"/>
      <c r="J200" s="1196"/>
      <c r="K200" s="1196"/>
      <c r="L200" s="1196"/>
      <c r="M200" s="1196"/>
    </row>
    <row r="201" spans="1:13" x14ac:dyDescent="0.2">
      <c r="A201" s="1202"/>
      <c r="B201" s="1203"/>
      <c r="C201" s="1204"/>
      <c r="D201" s="1204"/>
      <c r="E201" s="1204"/>
      <c r="F201" s="1202"/>
      <c r="G201" s="1202"/>
      <c r="H201" s="1202"/>
      <c r="I201" s="1202"/>
      <c r="J201" s="1202"/>
      <c r="K201" s="1202"/>
      <c r="L201" s="1202"/>
      <c r="M201" s="1202"/>
    </row>
    <row r="203" spans="1:13" ht="18.75" x14ac:dyDescent="0.2">
      <c r="A203" s="514" t="s">
        <v>1211</v>
      </c>
      <c r="B203" s="514"/>
      <c r="C203" s="514"/>
      <c r="D203" s="514"/>
      <c r="E203" s="514"/>
      <c r="F203" s="514"/>
      <c r="G203" s="514"/>
      <c r="H203" s="514"/>
      <c r="I203" s="514"/>
      <c r="J203" s="514"/>
      <c r="K203" s="514"/>
      <c r="L203" s="514"/>
      <c r="M203" s="514"/>
    </row>
    <row r="204" spans="1:13" x14ac:dyDescent="0.2">
      <c r="M204" s="1206"/>
    </row>
    <row r="205" spans="1:13" ht="18.75" x14ac:dyDescent="0.2">
      <c r="A205" s="886" t="s">
        <v>1212</v>
      </c>
      <c r="B205" s="886"/>
      <c r="C205" s="886"/>
      <c r="D205" s="886"/>
      <c r="E205" s="886"/>
      <c r="F205" s="886"/>
      <c r="G205" s="886"/>
      <c r="H205" s="886"/>
      <c r="I205" s="886"/>
      <c r="J205" s="886"/>
      <c r="K205" s="886"/>
      <c r="L205" s="886"/>
      <c r="M205" s="886"/>
    </row>
    <row r="206" spans="1:13" x14ac:dyDescent="0.2">
      <c r="M206" s="1206"/>
    </row>
    <row r="207" spans="1:13" x14ac:dyDescent="0.2">
      <c r="M207" s="1206"/>
    </row>
    <row r="208" spans="1:13" x14ac:dyDescent="0.2">
      <c r="M208" s="1206"/>
    </row>
    <row r="209" spans="1:13" x14ac:dyDescent="0.2">
      <c r="M209" s="1206"/>
    </row>
    <row r="210" spans="1:13" x14ac:dyDescent="0.2">
      <c r="M210" s="1206"/>
    </row>
    <row r="211" spans="1:13" x14ac:dyDescent="0.2">
      <c r="M211" s="1206"/>
    </row>
    <row r="212" spans="1:13" x14ac:dyDescent="0.2">
      <c r="M212" s="1206"/>
    </row>
    <row r="213" spans="1:13" x14ac:dyDescent="0.2">
      <c r="M213" s="1206"/>
    </row>
    <row r="214" spans="1:13" x14ac:dyDescent="0.2">
      <c r="A214" s="1207"/>
      <c r="B214" s="1208"/>
      <c r="C214" s="1207"/>
      <c r="D214" s="1207"/>
      <c r="E214" s="1207"/>
      <c r="F214" s="1207"/>
      <c r="G214" s="1207"/>
      <c r="H214" s="1207"/>
      <c r="I214" s="1207"/>
      <c r="J214" s="1207"/>
      <c r="K214" s="1207"/>
      <c r="L214" s="1207"/>
      <c r="M214" s="1207"/>
    </row>
    <row r="215" spans="1:13" x14ac:dyDescent="0.2">
      <c r="A215" s="1209"/>
      <c r="B215" s="1210"/>
      <c r="C215" s="1211"/>
      <c r="D215" s="1212"/>
      <c r="E215" s="1213"/>
      <c r="F215" s="1213"/>
      <c r="G215" s="1213"/>
      <c r="H215" s="1213"/>
      <c r="I215" s="1213"/>
      <c r="J215" s="1213"/>
      <c r="K215" s="1214"/>
      <c r="L215" s="1214"/>
      <c r="M215" s="1215"/>
    </row>
    <row r="216" spans="1:13" x14ac:dyDescent="0.2">
      <c r="A216" s="1209"/>
      <c r="B216" s="1216"/>
      <c r="C216" s="1211"/>
      <c r="D216" s="1212"/>
      <c r="E216" s="1213"/>
      <c r="F216" s="1213"/>
      <c r="G216" s="1213"/>
      <c r="H216" s="1213"/>
      <c r="I216" s="1213"/>
      <c r="J216" s="1213"/>
      <c r="K216" s="1214"/>
      <c r="L216" s="1214"/>
      <c r="M216" s="1215"/>
    </row>
    <row r="217" spans="1:13" x14ac:dyDescent="0.2">
      <c r="A217" s="1209"/>
      <c r="B217" s="1216"/>
      <c r="C217" s="1211"/>
      <c r="D217" s="1212"/>
      <c r="E217" s="1213"/>
      <c r="F217" s="1213"/>
      <c r="G217" s="1213"/>
      <c r="H217" s="1213"/>
      <c r="I217" s="1213"/>
      <c r="J217" s="1213"/>
      <c r="K217" s="1214"/>
      <c r="L217" s="1214"/>
      <c r="M217" s="1215"/>
    </row>
    <row r="218" spans="1:13" x14ac:dyDescent="0.2">
      <c r="A218" s="1209"/>
      <c r="B218" s="1216"/>
      <c r="C218" s="1211"/>
      <c r="D218" s="1212"/>
      <c r="E218" s="1213"/>
      <c r="F218" s="1213"/>
      <c r="G218" s="1213"/>
      <c r="H218" s="1213"/>
      <c r="I218" s="1213"/>
      <c r="J218" s="1213"/>
      <c r="K218" s="1214"/>
      <c r="L218" s="1214"/>
      <c r="M218" s="1215"/>
    </row>
    <row r="219" spans="1:13" x14ac:dyDescent="0.2">
      <c r="A219" s="1209"/>
      <c r="B219" s="1216"/>
      <c r="C219" s="1211"/>
      <c r="D219" s="1212"/>
      <c r="E219" s="1213"/>
      <c r="F219" s="1213"/>
      <c r="G219" s="1213"/>
      <c r="H219" s="1213"/>
      <c r="I219" s="1213"/>
      <c r="J219" s="1213"/>
      <c r="K219" s="1214"/>
      <c r="L219" s="1214"/>
      <c r="M219" s="1215"/>
    </row>
    <row r="220" spans="1:13" x14ac:dyDescent="0.2">
      <c r="A220" s="1209"/>
      <c r="B220" s="1216"/>
      <c r="C220" s="1211"/>
      <c r="D220" s="1212"/>
      <c r="E220" s="1213"/>
      <c r="F220" s="1213"/>
      <c r="G220" s="1213"/>
      <c r="H220" s="1213"/>
      <c r="I220" s="1213"/>
      <c r="J220" s="1213"/>
      <c r="K220" s="1214"/>
      <c r="L220" s="1214"/>
      <c r="M220" s="1215"/>
    </row>
    <row r="221" spans="1:13" x14ac:dyDescent="0.2">
      <c r="A221" s="1209"/>
      <c r="B221" s="1216"/>
      <c r="C221" s="1211"/>
      <c r="D221" s="1212"/>
      <c r="E221" s="1213"/>
      <c r="F221" s="1213"/>
      <c r="G221" s="1213"/>
      <c r="H221" s="1213"/>
      <c r="I221" s="1213"/>
      <c r="J221" s="1213"/>
      <c r="K221" s="1214"/>
      <c r="L221" s="1214"/>
      <c r="M221" s="1215"/>
    </row>
    <row r="222" spans="1:13" x14ac:dyDescent="0.2">
      <c r="A222" s="1209"/>
      <c r="B222" s="1216"/>
      <c r="C222" s="1211"/>
      <c r="D222" s="1212"/>
      <c r="E222" s="1213"/>
      <c r="F222" s="1213"/>
      <c r="G222" s="1213"/>
      <c r="H222" s="1213"/>
      <c r="I222" s="1213"/>
      <c r="J222" s="1213"/>
      <c r="K222" s="1214"/>
      <c r="L222" s="1214"/>
      <c r="M222" s="1215"/>
    </row>
    <row r="223" spans="1:13" x14ac:dyDescent="0.2">
      <c r="A223" s="1209"/>
      <c r="B223" s="1216"/>
      <c r="C223" s="1211"/>
      <c r="D223" s="1212"/>
      <c r="E223" s="1213"/>
      <c r="F223" s="1213"/>
      <c r="G223" s="1213"/>
      <c r="H223" s="1213"/>
      <c r="I223" s="1213"/>
      <c r="J223" s="1213"/>
      <c r="K223" s="1214"/>
      <c r="L223" s="1214"/>
      <c r="M223" s="1215"/>
    </row>
    <row r="224" spans="1:13" x14ac:dyDescent="0.2">
      <c r="A224" s="1209"/>
      <c r="B224" s="1216"/>
      <c r="C224" s="1211"/>
      <c r="D224" s="1212"/>
      <c r="E224" s="1213"/>
      <c r="F224" s="1213"/>
      <c r="G224" s="1213"/>
      <c r="H224" s="1213"/>
      <c r="I224" s="1213"/>
      <c r="J224" s="1213"/>
      <c r="K224" s="1214"/>
      <c r="L224" s="1214"/>
      <c r="M224" s="1215"/>
    </row>
    <row r="237" spans="1:13" x14ac:dyDescent="0.2">
      <c r="A237" s="1189"/>
      <c r="B237" s="1217"/>
      <c r="C237" s="1189"/>
      <c r="D237" s="1218"/>
      <c r="F237" s="931"/>
      <c r="G237" s="931"/>
      <c r="H237" s="1219"/>
      <c r="I237" s="1220"/>
      <c r="J237" s="931"/>
      <c r="K237" s="1221"/>
      <c r="L237" s="931"/>
      <c r="M237" s="1222"/>
    </row>
    <row r="238" spans="1:13" x14ac:dyDescent="0.2">
      <c r="A238" s="1189"/>
      <c r="B238" s="1217"/>
      <c r="C238" s="1189"/>
      <c r="D238" s="1218"/>
      <c r="F238" s="931"/>
      <c r="G238" s="931"/>
      <c r="H238" s="1219"/>
      <c r="I238" s="1220"/>
      <c r="J238" s="931"/>
      <c r="K238" s="1221"/>
      <c r="L238" s="931"/>
      <c r="M238" s="1222"/>
    </row>
    <row r="239" spans="1:13" x14ac:dyDescent="0.2">
      <c r="A239" s="1189"/>
      <c r="B239" s="1217"/>
      <c r="C239" s="1189"/>
      <c r="D239" s="1218"/>
      <c r="F239" s="1223"/>
      <c r="G239" s="931"/>
      <c r="H239" s="1219"/>
      <c r="I239" s="1220"/>
      <c r="J239" s="931"/>
      <c r="K239" s="1221"/>
      <c r="L239" s="931"/>
      <c r="M239" s="1222"/>
    </row>
    <row r="240" spans="1:13" x14ac:dyDescent="0.2">
      <c r="A240" s="1189"/>
      <c r="B240" s="1217"/>
      <c r="C240" s="1189"/>
      <c r="D240" s="1218"/>
      <c r="F240" s="931"/>
      <c r="G240" s="931"/>
      <c r="H240" s="1219"/>
      <c r="I240" s="1220"/>
      <c r="J240" s="931"/>
      <c r="K240" s="1221"/>
      <c r="L240" s="931"/>
      <c r="M240" s="1222"/>
    </row>
    <row r="241" spans="1:13" x14ac:dyDescent="0.2">
      <c r="A241" s="1189"/>
      <c r="B241" s="1217"/>
      <c r="C241" s="1189"/>
      <c r="D241" s="1218"/>
      <c r="F241" s="931"/>
      <c r="G241" s="931"/>
      <c r="H241" s="1219"/>
      <c r="I241" s="1220"/>
      <c r="J241" s="931"/>
      <c r="K241" s="1221"/>
      <c r="L241" s="931"/>
      <c r="M241" s="1222"/>
    </row>
    <row r="242" spans="1:13" x14ac:dyDescent="0.2">
      <c r="A242" s="1189"/>
      <c r="B242" s="1217"/>
      <c r="C242" s="1189"/>
      <c r="D242" s="1218"/>
      <c r="F242" s="931"/>
      <c r="G242" s="931"/>
      <c r="H242" s="1219"/>
      <c r="I242" s="1220"/>
      <c r="J242" s="931"/>
      <c r="K242" s="1221"/>
      <c r="L242" s="931"/>
      <c r="M242" s="1222"/>
    </row>
    <row r="243" spans="1:13" x14ac:dyDescent="0.2">
      <c r="A243" s="1189"/>
      <c r="B243" s="1217"/>
      <c r="C243" s="1189"/>
      <c r="D243" s="1218"/>
      <c r="F243" s="931"/>
      <c r="G243" s="931"/>
      <c r="H243" s="1219"/>
      <c r="I243" s="1220"/>
      <c r="J243" s="931"/>
      <c r="K243" s="1221"/>
      <c r="L243" s="931"/>
      <c r="M243" s="1222"/>
    </row>
    <row r="244" spans="1:13" x14ac:dyDescent="0.2">
      <c r="A244" s="1189"/>
      <c r="B244" s="1217"/>
      <c r="C244" s="1189"/>
      <c r="D244" s="1218"/>
      <c r="F244" s="931"/>
      <c r="G244" s="931"/>
      <c r="H244" s="1219"/>
      <c r="I244" s="1220"/>
      <c r="J244" s="931"/>
      <c r="K244" s="1221"/>
      <c r="L244" s="931"/>
      <c r="M244" s="1222"/>
    </row>
    <row r="245" spans="1:13" x14ac:dyDescent="0.2">
      <c r="A245" s="1189"/>
      <c r="B245" s="1217"/>
      <c r="C245" s="1189"/>
      <c r="D245" s="1218"/>
      <c r="F245" s="931"/>
      <c r="G245" s="931"/>
      <c r="H245" s="1219"/>
      <c r="I245" s="1220"/>
      <c r="J245" s="931"/>
      <c r="K245" s="1221"/>
      <c r="L245" s="931"/>
      <c r="M245" s="1222"/>
    </row>
    <row r="246" spans="1:13" x14ac:dyDescent="0.2">
      <c r="A246" s="1189"/>
      <c r="B246" s="1217"/>
      <c r="C246" s="1189"/>
      <c r="D246" s="1218"/>
      <c r="F246" s="931"/>
      <c r="G246" s="931"/>
      <c r="H246" s="1219"/>
      <c r="I246" s="1220"/>
      <c r="J246" s="931"/>
      <c r="K246" s="1221"/>
      <c r="L246" s="931"/>
      <c r="M246" s="1222"/>
    </row>
    <row r="247" spans="1:13" x14ac:dyDescent="0.2">
      <c r="A247" s="1189"/>
      <c r="B247" s="1217"/>
      <c r="C247" s="1189"/>
      <c r="D247" s="1218"/>
      <c r="F247" s="931"/>
      <c r="G247" s="931"/>
      <c r="H247" s="1219"/>
      <c r="I247" s="1220"/>
      <c r="J247" s="931"/>
      <c r="K247" s="1221"/>
      <c r="L247" s="931"/>
      <c r="M247" s="1222"/>
    </row>
    <row r="248" spans="1:13" x14ac:dyDescent="0.2">
      <c r="A248" s="1189"/>
      <c r="B248" s="1217"/>
      <c r="C248" s="1189"/>
      <c r="D248" s="1218"/>
      <c r="F248" s="931"/>
      <c r="G248" s="931"/>
      <c r="H248" s="1219"/>
      <c r="I248" s="1220"/>
      <c r="J248" s="931"/>
      <c r="K248" s="1221"/>
      <c r="L248" s="931"/>
      <c r="M248" s="1222"/>
    </row>
    <row r="249" spans="1:13" x14ac:dyDescent="0.2">
      <c r="A249" s="1189"/>
      <c r="B249" s="1217"/>
      <c r="C249" s="1189"/>
      <c r="D249" s="1218"/>
      <c r="F249" s="931"/>
      <c r="G249" s="931"/>
      <c r="H249" s="1219"/>
      <c r="I249" s="1220"/>
      <c r="J249" s="931"/>
      <c r="K249" s="1221"/>
      <c r="L249" s="931"/>
      <c r="M249" s="1222"/>
    </row>
    <row r="250" spans="1:13" x14ac:dyDescent="0.2">
      <c r="A250" s="1189"/>
      <c r="B250" s="1217"/>
      <c r="C250" s="1189"/>
      <c r="D250" s="1218"/>
      <c r="F250" s="931"/>
      <c r="G250" s="931"/>
      <c r="H250" s="1219"/>
      <c r="I250" s="1220"/>
      <c r="J250" s="931"/>
      <c r="K250" s="1221"/>
      <c r="L250" s="931"/>
      <c r="M250" s="1222"/>
    </row>
    <row r="251" spans="1:13" x14ac:dyDescent="0.2">
      <c r="A251" s="1189"/>
      <c r="B251" s="1217"/>
      <c r="C251" s="1189"/>
      <c r="D251" s="1218"/>
      <c r="F251" s="931"/>
      <c r="G251" s="931"/>
      <c r="H251" s="1219"/>
      <c r="I251" s="1220"/>
      <c r="J251" s="931"/>
      <c r="K251" s="1221"/>
      <c r="L251" s="931"/>
      <c r="M251" s="1222"/>
    </row>
    <row r="252" spans="1:13" x14ac:dyDescent="0.2">
      <c r="A252" s="1189"/>
      <c r="B252" s="1217"/>
      <c r="C252" s="1189"/>
      <c r="D252" s="1218"/>
      <c r="F252" s="931"/>
      <c r="G252" s="931"/>
      <c r="H252" s="1219"/>
      <c r="I252" s="1220"/>
      <c r="J252" s="931"/>
      <c r="K252" s="1221"/>
      <c r="L252" s="931"/>
      <c r="M252" s="1222"/>
    </row>
    <row r="253" spans="1:13" x14ac:dyDescent="0.2">
      <c r="A253" s="1189"/>
      <c r="B253" s="1217"/>
      <c r="C253" s="1189"/>
      <c r="D253" s="1218"/>
      <c r="F253" s="931"/>
      <c r="G253" s="931"/>
      <c r="H253" s="1219"/>
      <c r="I253" s="1220"/>
      <c r="J253" s="931"/>
      <c r="K253" s="1221"/>
      <c r="L253" s="931"/>
      <c r="M253" s="1222"/>
    </row>
    <row r="254" spans="1:13" x14ac:dyDescent="0.2">
      <c r="A254" s="1189"/>
      <c r="B254" s="1217"/>
      <c r="C254" s="1189"/>
      <c r="D254" s="1218"/>
      <c r="F254" s="931"/>
      <c r="G254" s="931"/>
      <c r="H254" s="1219"/>
      <c r="I254" s="1220"/>
      <c r="J254" s="931"/>
      <c r="K254" s="1221"/>
      <c r="L254" s="931"/>
      <c r="M254" s="1222"/>
    </row>
    <row r="255" spans="1:13" x14ac:dyDescent="0.2">
      <c r="A255" s="1189"/>
      <c r="B255" s="1217"/>
      <c r="C255" s="1189"/>
      <c r="D255" s="1218"/>
      <c r="F255" s="931"/>
      <c r="G255" s="931"/>
      <c r="H255" s="1219"/>
      <c r="I255" s="1220"/>
      <c r="J255" s="931"/>
      <c r="K255" s="1221"/>
      <c r="L255" s="931"/>
      <c r="M255" s="1222"/>
    </row>
    <row r="256" spans="1:13" x14ac:dyDescent="0.2">
      <c r="A256" s="1189"/>
      <c r="B256" s="1217"/>
      <c r="C256" s="1189"/>
      <c r="D256" s="1218"/>
      <c r="F256" s="931"/>
      <c r="G256" s="931"/>
      <c r="H256" s="1219"/>
      <c r="I256" s="1220"/>
      <c r="J256" s="931"/>
      <c r="K256" s="1221"/>
      <c r="L256" s="931"/>
      <c r="M256" s="1222"/>
    </row>
    <row r="257" spans="1:13" x14ac:dyDescent="0.2">
      <c r="A257" s="1189"/>
      <c r="B257" s="1217"/>
      <c r="C257" s="1189"/>
      <c r="D257" s="1218"/>
      <c r="F257" s="931"/>
      <c r="G257" s="931"/>
      <c r="H257" s="1219"/>
      <c r="I257" s="1220"/>
      <c r="J257" s="931"/>
      <c r="K257" s="1221"/>
      <c r="L257" s="931"/>
      <c r="M257" s="1222"/>
    </row>
    <row r="258" spans="1:13" x14ac:dyDescent="0.2">
      <c r="A258" s="1189"/>
      <c r="B258" s="1217"/>
      <c r="C258" s="1189"/>
      <c r="D258" s="1218"/>
      <c r="F258" s="931"/>
      <c r="G258" s="931"/>
      <c r="H258" s="1219"/>
      <c r="I258" s="1220"/>
      <c r="J258" s="931"/>
      <c r="K258" s="1221"/>
      <c r="L258" s="931"/>
      <c r="M258" s="1222"/>
    </row>
    <row r="259" spans="1:13" x14ac:dyDescent="0.2">
      <c r="A259" s="1189"/>
      <c r="B259" s="1217"/>
      <c r="C259" s="1189"/>
      <c r="D259" s="1218"/>
      <c r="F259" s="931"/>
      <c r="G259" s="931"/>
      <c r="H259" s="1219"/>
      <c r="I259" s="1220"/>
      <c r="J259" s="931"/>
      <c r="K259" s="1221"/>
      <c r="L259" s="931"/>
      <c r="M259" s="1222"/>
    </row>
  </sheetData>
  <sheetProtection algorithmName="SHA-512" hashValue="I3wvLVdvTCFIJulufrLyliAoypQNDrAotH730TPMLrAJtfycHDi9x5K7SHBXx5PyW65bPfi058WmL0hmkS05Jw==" saltValue="cG/jeVKndFXSpxDAWZO9WA==" spinCount="100000" sheet="1" selectLockedCells="1"/>
  <autoFilter ref="A11:M172" xr:uid="{00000000-0001-0000-0200-000000000000}"/>
  <mergeCells count="90">
    <mergeCell ref="A205:M205"/>
    <mergeCell ref="C200:E200"/>
    <mergeCell ref="C201:E201"/>
    <mergeCell ref="M189:M190"/>
    <mergeCell ref="B189:E190"/>
    <mergeCell ref="C197:D197"/>
    <mergeCell ref="A203:M203"/>
    <mergeCell ref="L195:L196"/>
    <mergeCell ref="M195:M196"/>
    <mergeCell ref="C198:D198"/>
    <mergeCell ref="M193:M194"/>
    <mergeCell ref="B193:E194"/>
    <mergeCell ref="A189:A190"/>
    <mergeCell ref="L189:L190"/>
    <mergeCell ref="A193:A194"/>
    <mergeCell ref="L193:L194"/>
    <mergeCell ref="L187:L188"/>
    <mergeCell ref="B187:E188"/>
    <mergeCell ref="A175:K175"/>
    <mergeCell ref="A176:K176"/>
    <mergeCell ref="C155:E156"/>
    <mergeCell ref="A174:K174"/>
    <mergeCell ref="M183:M184"/>
    <mergeCell ref="C134:E135"/>
    <mergeCell ref="B185:E186"/>
    <mergeCell ref="L185:L186"/>
    <mergeCell ref="A185:A186"/>
    <mergeCell ref="A134:A135"/>
    <mergeCell ref="A181:A182"/>
    <mergeCell ref="A179:A180"/>
    <mergeCell ref="B181:E182"/>
    <mergeCell ref="A155:A156"/>
    <mergeCell ref="B155:B156"/>
    <mergeCell ref="A126:A127"/>
    <mergeCell ref="M134:M135"/>
    <mergeCell ref="B134:B135"/>
    <mergeCell ref="M155:M156"/>
    <mergeCell ref="L134:L135"/>
    <mergeCell ref="A112:A113"/>
    <mergeCell ref="A1:M2"/>
    <mergeCell ref="M126:M127"/>
    <mergeCell ref="L126:L127"/>
    <mergeCell ref="C126:E127"/>
    <mergeCell ref="B14:B15"/>
    <mergeCell ref="M22:M23"/>
    <mergeCell ref="A3:M3"/>
    <mergeCell ref="A5:M5"/>
    <mergeCell ref="C14:E15"/>
    <mergeCell ref="A14:A15"/>
    <mergeCell ref="C22:E23"/>
    <mergeCell ref="L22:L23"/>
    <mergeCell ref="B43:B44"/>
    <mergeCell ref="L14:L15"/>
    <mergeCell ref="L8:M9"/>
    <mergeCell ref="A191:A192"/>
    <mergeCell ref="M191:M192"/>
    <mergeCell ref="L191:L192"/>
    <mergeCell ref="L155:L156"/>
    <mergeCell ref="B191:E192"/>
    <mergeCell ref="A187:A188"/>
    <mergeCell ref="A183:A184"/>
    <mergeCell ref="B183:E184"/>
    <mergeCell ref="L183:L184"/>
    <mergeCell ref="M187:M188"/>
    <mergeCell ref="M185:M186"/>
    <mergeCell ref="L181:L182"/>
    <mergeCell ref="A177:K177"/>
    <mergeCell ref="M181:M182"/>
    <mergeCell ref="B179:E180"/>
    <mergeCell ref="M179:M180"/>
    <mergeCell ref="M14:M15"/>
    <mergeCell ref="B126:B127"/>
    <mergeCell ref="L43:L44"/>
    <mergeCell ref="L112:L113"/>
    <mergeCell ref="M112:M113"/>
    <mergeCell ref="M43:M44"/>
    <mergeCell ref="B112:B113"/>
    <mergeCell ref="C112:E113"/>
    <mergeCell ref="H8:K9"/>
    <mergeCell ref="F8:G8"/>
    <mergeCell ref="F9:G9"/>
    <mergeCell ref="M10:M11"/>
    <mergeCell ref="B10:B11"/>
    <mergeCell ref="C10:C11"/>
    <mergeCell ref="A10:A11"/>
    <mergeCell ref="D10:D11"/>
    <mergeCell ref="A22:A23"/>
    <mergeCell ref="B22:B23"/>
    <mergeCell ref="A43:A44"/>
    <mergeCell ref="C43:E44"/>
  </mergeCells>
  <phoneticPr fontId="26" type="noConversion"/>
  <printOptions horizontalCentered="1"/>
  <pageMargins left="0.31496062992125984" right="0.23622047244094491" top="0.70866141732283472" bottom="0.62992125984251968" header="0.43307086614173229" footer="0.39370078740157483"/>
  <pageSetup paperSize="9" scale="54" firstPageNumber="0" fitToHeight="0" orientation="landscape" r:id="rId1"/>
  <headerFooter alignWithMargins="0">
    <oddFooter>&amp;L&amp;G&amp;C&amp;"Arial,Negrito itálico"&amp;12Página &amp;P de &amp;N&amp;R&amp;"Arial,Negrito itálico"&amp;G</oddFooter>
  </headerFooter>
  <rowBreaks count="5" manualBreakCount="5">
    <brk id="41" max="12" man="1"/>
    <brk id="78" max="12" man="1"/>
    <brk id="111" max="12" man="1"/>
    <brk id="133" max="12" man="1"/>
    <brk id="173" max="12"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N160"/>
  <sheetViews>
    <sheetView view="pageBreakPreview" topLeftCell="B1" zoomScale="70" zoomScaleSheetLayoutView="70" workbookViewId="0">
      <selection activeCell="B161" sqref="B161"/>
    </sheetView>
  </sheetViews>
  <sheetFormatPr defaultRowHeight="15" customHeight="1" x14ac:dyDescent="0.25"/>
  <cols>
    <col min="1" max="1" width="4.5703125" style="760" hidden="1" customWidth="1"/>
    <col min="2" max="2" width="6" style="874" customWidth="1"/>
    <col min="3" max="3" width="35.7109375" style="874" customWidth="1"/>
    <col min="4" max="4" width="17.28515625" style="882" customWidth="1"/>
    <col min="5" max="6" width="12.7109375" style="882" customWidth="1"/>
    <col min="7" max="7" width="12.7109375" style="883" customWidth="1"/>
    <col min="8" max="15" width="12.7109375" style="884" customWidth="1"/>
    <col min="16" max="16" width="12.7109375" style="760" customWidth="1"/>
    <col min="17" max="17" width="14.85546875" style="885" bestFit="1" customWidth="1"/>
    <col min="18" max="18" width="12.7109375" style="885" customWidth="1"/>
    <col min="19" max="19" width="14.85546875" style="760" bestFit="1" customWidth="1"/>
    <col min="20" max="20" width="13.140625" style="760" bestFit="1" customWidth="1"/>
    <col min="21" max="21" width="12.7109375" style="760" customWidth="1"/>
    <col min="22" max="22" width="13.85546875" style="760" bestFit="1" customWidth="1"/>
    <col min="23" max="23" width="18" style="760" customWidth="1"/>
    <col min="24" max="24" width="17.140625" style="762" bestFit="1" customWidth="1"/>
    <col min="25" max="25" width="15" style="760" bestFit="1" customWidth="1"/>
    <col min="26" max="26" width="9.85546875" style="760" bestFit="1" customWidth="1"/>
    <col min="27" max="30" width="8.7109375" style="760" customWidth="1"/>
    <col min="31" max="236" width="9.140625" style="760"/>
    <col min="237" max="16384" width="9.140625" style="763"/>
  </cols>
  <sheetData>
    <row r="1" spans="2:26" ht="15" customHeight="1" x14ac:dyDescent="0.25">
      <c r="B1" s="761" t="str">
        <f>'A IV.A'!A1</f>
        <v>(TIMBRE DA LICITANTE)</v>
      </c>
      <c r="C1" s="761"/>
      <c r="D1" s="761"/>
      <c r="E1" s="761"/>
      <c r="F1" s="761"/>
      <c r="G1" s="761"/>
      <c r="H1" s="761"/>
      <c r="I1" s="761"/>
      <c r="J1" s="761"/>
      <c r="K1" s="761"/>
      <c r="L1" s="761"/>
      <c r="M1" s="761"/>
      <c r="N1" s="761"/>
      <c r="O1" s="761"/>
      <c r="P1" s="761"/>
      <c r="Q1" s="761"/>
      <c r="R1" s="761"/>
      <c r="S1" s="761"/>
      <c r="T1" s="761"/>
      <c r="U1" s="761"/>
      <c r="V1" s="761"/>
      <c r="W1" s="761"/>
    </row>
    <row r="2" spans="2:26" ht="15" customHeight="1" x14ac:dyDescent="0.25">
      <c r="B2" s="761"/>
      <c r="C2" s="761"/>
      <c r="D2" s="761"/>
      <c r="E2" s="761"/>
      <c r="F2" s="761"/>
      <c r="G2" s="761"/>
      <c r="H2" s="761"/>
      <c r="I2" s="761"/>
      <c r="J2" s="761"/>
      <c r="K2" s="761"/>
      <c r="L2" s="761"/>
      <c r="M2" s="761"/>
      <c r="N2" s="761"/>
      <c r="O2" s="761"/>
      <c r="P2" s="761"/>
      <c r="Q2" s="761"/>
      <c r="R2" s="761"/>
      <c r="S2" s="761"/>
      <c r="T2" s="761"/>
      <c r="U2" s="761"/>
      <c r="V2" s="761"/>
      <c r="W2" s="761"/>
    </row>
    <row r="3" spans="2:26" x14ac:dyDescent="0.25">
      <c r="B3" s="761"/>
      <c r="C3" s="761"/>
      <c r="D3" s="761"/>
      <c r="E3" s="761"/>
      <c r="F3" s="761"/>
      <c r="G3" s="761"/>
      <c r="H3" s="761"/>
      <c r="I3" s="761"/>
      <c r="J3" s="761"/>
      <c r="K3" s="761"/>
      <c r="L3" s="761"/>
      <c r="M3" s="761"/>
      <c r="N3" s="761"/>
      <c r="O3" s="761"/>
      <c r="P3" s="761"/>
      <c r="Q3" s="761"/>
      <c r="R3" s="761"/>
      <c r="S3" s="761"/>
      <c r="T3" s="761"/>
      <c r="U3" s="761"/>
      <c r="V3" s="761"/>
      <c r="W3" s="761"/>
    </row>
    <row r="4" spans="2:26" ht="20.25" x14ac:dyDescent="0.25">
      <c r="B4" s="764" t="str">
        <f>'A IV.A'!A3</f>
        <v xml:space="preserve">  </v>
      </c>
      <c r="C4" s="764"/>
      <c r="D4" s="764"/>
      <c r="E4" s="764"/>
      <c r="F4" s="764"/>
      <c r="G4" s="764"/>
      <c r="H4" s="764"/>
      <c r="I4" s="764"/>
      <c r="J4" s="764"/>
      <c r="K4" s="764"/>
      <c r="L4" s="764"/>
      <c r="M4" s="764"/>
      <c r="N4" s="764"/>
      <c r="O4" s="764"/>
      <c r="P4" s="764"/>
      <c r="Q4" s="764"/>
      <c r="R4" s="764"/>
      <c r="S4" s="764"/>
      <c r="T4" s="764"/>
      <c r="U4" s="764"/>
      <c r="V4" s="764"/>
      <c r="W4" s="764"/>
    </row>
    <row r="5" spans="2:26" ht="15" customHeight="1" x14ac:dyDescent="0.3">
      <c r="B5" s="765"/>
      <c r="C5" s="765"/>
      <c r="D5" s="765"/>
      <c r="E5" s="765"/>
      <c r="F5" s="765"/>
      <c r="G5" s="765"/>
      <c r="H5" s="765"/>
      <c r="I5" s="765"/>
      <c r="J5" s="765"/>
      <c r="K5" s="765"/>
      <c r="L5" s="765"/>
      <c r="M5" s="765"/>
      <c r="N5" s="765"/>
      <c r="O5" s="765"/>
      <c r="P5" s="765"/>
      <c r="Q5" s="765"/>
      <c r="R5" s="765"/>
      <c r="S5" s="765"/>
      <c r="T5" s="765"/>
      <c r="U5" s="765"/>
      <c r="V5" s="765"/>
      <c r="W5" s="766"/>
    </row>
    <row r="6" spans="2:26" ht="18.75" x14ac:dyDescent="0.3">
      <c r="B6" s="767"/>
      <c r="C6" s="767"/>
      <c r="D6" s="767"/>
      <c r="E6" s="767"/>
      <c r="F6" s="767"/>
      <c r="G6" s="767"/>
      <c r="H6" s="767"/>
      <c r="I6" s="767"/>
      <c r="J6" s="767"/>
      <c r="K6" s="767"/>
      <c r="L6" s="767"/>
      <c r="M6" s="767"/>
      <c r="N6" s="767"/>
      <c r="O6" s="767"/>
      <c r="P6" s="767"/>
      <c r="Q6" s="767"/>
      <c r="R6" s="767"/>
      <c r="S6" s="767"/>
      <c r="T6" s="767"/>
      <c r="U6" s="767"/>
      <c r="V6" s="767"/>
      <c r="W6" s="766"/>
    </row>
    <row r="7" spans="2:26" ht="18.75" x14ac:dyDescent="0.25">
      <c r="B7" s="765" t="str">
        <f>'A IV.A'!$A$7</f>
        <v>EXECUÇÃO DE SERVIÇO DE REFORMA CIVIL, CONSTRUÇÕES E MANUTENÇÕES GERAIS  PARA MELHORIAS NAS ÁREAS DE PROPRIEDADE E/OU DE RESPONSABILIDADE DO SEMAE.</v>
      </c>
      <c r="C7" s="765"/>
      <c r="D7" s="765"/>
      <c r="E7" s="765"/>
      <c r="F7" s="765"/>
      <c r="G7" s="765"/>
      <c r="H7" s="765"/>
      <c r="I7" s="765"/>
      <c r="J7" s="765"/>
      <c r="K7" s="765"/>
      <c r="L7" s="765"/>
      <c r="M7" s="765"/>
      <c r="N7" s="765"/>
      <c r="O7" s="765"/>
      <c r="P7" s="765"/>
      <c r="Q7" s="765"/>
      <c r="R7" s="765"/>
      <c r="S7" s="765"/>
      <c r="T7" s="765"/>
      <c r="U7" s="765"/>
      <c r="V7" s="765"/>
      <c r="W7" s="765"/>
    </row>
    <row r="8" spans="2:26" ht="15" customHeight="1" x14ac:dyDescent="0.25">
      <c r="B8" s="768"/>
      <c r="C8" s="768"/>
      <c r="D8" s="768"/>
      <c r="E8" s="768"/>
      <c r="F8" s="768"/>
      <c r="G8" s="768"/>
      <c r="H8" s="768"/>
      <c r="I8" s="768"/>
      <c r="J8" s="768"/>
      <c r="K8" s="768"/>
      <c r="L8" s="768"/>
      <c r="M8" s="768"/>
      <c r="N8" s="768"/>
      <c r="O8" s="768"/>
      <c r="P8" s="768"/>
      <c r="Q8" s="768"/>
      <c r="R8" s="768"/>
      <c r="S8" s="768"/>
      <c r="T8" s="768"/>
      <c r="U8" s="768"/>
      <c r="V8" s="768"/>
    </row>
    <row r="9" spans="2:26" ht="15" customHeight="1" x14ac:dyDescent="0.25">
      <c r="B9" s="765" t="s">
        <v>1228</v>
      </c>
      <c r="C9" s="765"/>
      <c r="D9" s="765"/>
      <c r="E9" s="765"/>
      <c r="F9" s="765"/>
      <c r="G9" s="765"/>
      <c r="H9" s="765"/>
      <c r="I9" s="765"/>
      <c r="J9" s="765"/>
      <c r="K9" s="765"/>
      <c r="L9" s="765"/>
      <c r="M9" s="765"/>
      <c r="N9" s="765"/>
      <c r="O9" s="765"/>
      <c r="P9" s="765"/>
      <c r="Q9" s="765"/>
      <c r="R9" s="765"/>
      <c r="S9" s="765"/>
      <c r="T9" s="765"/>
      <c r="U9" s="765"/>
      <c r="V9" s="765"/>
      <c r="W9" s="765"/>
    </row>
    <row r="10" spans="2:26" ht="15" customHeight="1" x14ac:dyDescent="0.25">
      <c r="B10" s="769"/>
      <c r="C10" s="769"/>
      <c r="D10" s="769"/>
      <c r="E10" s="769"/>
      <c r="F10" s="769"/>
      <c r="G10" s="769"/>
      <c r="H10" s="769"/>
      <c r="I10" s="769"/>
      <c r="J10" s="769"/>
      <c r="K10" s="769"/>
      <c r="L10" s="769"/>
      <c r="M10" s="769"/>
      <c r="N10" s="769"/>
      <c r="O10" s="769"/>
      <c r="P10" s="769"/>
      <c r="Q10" s="769"/>
      <c r="R10" s="769"/>
      <c r="S10" s="769"/>
      <c r="T10" s="769"/>
      <c r="U10" s="769"/>
      <c r="V10" s="769"/>
    </row>
    <row r="11" spans="2:26" ht="0.95" customHeight="1" thickBot="1" x14ac:dyDescent="0.3">
      <c r="B11" s="770"/>
      <c r="C11" s="770"/>
      <c r="D11" s="770"/>
      <c r="E11" s="770"/>
      <c r="F11" s="770"/>
      <c r="G11" s="770"/>
      <c r="H11" s="770"/>
      <c r="I11" s="770"/>
      <c r="J11" s="770"/>
      <c r="K11" s="770"/>
      <c r="L11" s="770"/>
      <c r="M11" s="770"/>
      <c r="N11" s="770"/>
      <c r="O11" s="770"/>
      <c r="P11" s="770"/>
      <c r="Q11" s="770"/>
      <c r="R11" s="770"/>
      <c r="S11" s="770"/>
      <c r="T11" s="770"/>
      <c r="U11" s="770"/>
      <c r="V11" s="770"/>
    </row>
    <row r="12" spans="2:26" ht="24.95" customHeight="1" thickTop="1" x14ac:dyDescent="0.25">
      <c r="B12" s="771"/>
      <c r="C12" s="771"/>
      <c r="D12" s="772"/>
      <c r="E12" s="773" t="s">
        <v>893</v>
      </c>
      <c r="F12" s="774"/>
      <c r="G12" s="775"/>
      <c r="H12" s="776" t="s">
        <v>894</v>
      </c>
      <c r="I12" s="774"/>
      <c r="J12" s="775"/>
      <c r="K12" s="776" t="s">
        <v>895</v>
      </c>
      <c r="L12" s="774"/>
      <c r="M12" s="775"/>
      <c r="N12" s="776" t="s">
        <v>896</v>
      </c>
      <c r="O12" s="774"/>
      <c r="P12" s="775"/>
      <c r="Q12" s="776" t="s">
        <v>897</v>
      </c>
      <c r="R12" s="774"/>
      <c r="S12" s="775"/>
      <c r="T12" s="776" t="s">
        <v>898</v>
      </c>
      <c r="U12" s="774"/>
      <c r="V12" s="777"/>
    </row>
    <row r="13" spans="2:26" ht="24.95" customHeight="1" thickBot="1" x14ac:dyDescent="0.3">
      <c r="B13" s="778"/>
      <c r="C13" s="778"/>
      <c r="D13" s="779"/>
      <c r="E13" s="780" t="s">
        <v>19</v>
      </c>
      <c r="F13" s="781" t="s">
        <v>889</v>
      </c>
      <c r="G13" s="782" t="s">
        <v>12</v>
      </c>
      <c r="H13" s="781" t="s">
        <v>19</v>
      </c>
      <c r="I13" s="781" t="s">
        <v>889</v>
      </c>
      <c r="J13" s="782" t="s">
        <v>12</v>
      </c>
      <c r="K13" s="781" t="s">
        <v>19</v>
      </c>
      <c r="L13" s="781" t="s">
        <v>889</v>
      </c>
      <c r="M13" s="782" t="s">
        <v>12</v>
      </c>
      <c r="N13" s="781" t="s">
        <v>19</v>
      </c>
      <c r="O13" s="781" t="s">
        <v>889</v>
      </c>
      <c r="P13" s="782" t="s">
        <v>12</v>
      </c>
      <c r="Q13" s="781" t="s">
        <v>19</v>
      </c>
      <c r="R13" s="781" t="s">
        <v>889</v>
      </c>
      <c r="S13" s="782" t="s">
        <v>12</v>
      </c>
      <c r="T13" s="781" t="s">
        <v>19</v>
      </c>
      <c r="U13" s="781" t="s">
        <v>889</v>
      </c>
      <c r="V13" s="783" t="s">
        <v>12</v>
      </c>
    </row>
    <row r="14" spans="2:26" ht="24.95" customHeight="1" thickTop="1" x14ac:dyDescent="0.25">
      <c r="B14" s="784" t="str">
        <f>'A IV.A'!$A$14</f>
        <v>1.0</v>
      </c>
      <c r="C14" s="785" t="str">
        <f>'A IV.A'!$B$14</f>
        <v>CANTEIRO DE OBRAS</v>
      </c>
      <c r="D14" s="786">
        <f>'A IV.A'!$L$14</f>
        <v>0</v>
      </c>
      <c r="E14" s="787">
        <f t="shared" ref="E14" si="0">E15+F15+G15</f>
        <v>0</v>
      </c>
      <c r="F14" s="788"/>
      <c r="G14" s="789"/>
      <c r="H14" s="787">
        <f t="shared" ref="H14" si="1">H15+I15+J15</f>
        <v>0</v>
      </c>
      <c r="I14" s="788"/>
      <c r="J14" s="789"/>
      <c r="K14" s="787">
        <f t="shared" ref="K14" si="2">K15+L15+M15</f>
        <v>0</v>
      </c>
      <c r="L14" s="788"/>
      <c r="M14" s="789"/>
      <c r="N14" s="787">
        <f t="shared" ref="N14" si="3">N15+O15+P15</f>
        <v>0</v>
      </c>
      <c r="O14" s="788"/>
      <c r="P14" s="789"/>
      <c r="Q14" s="787">
        <f t="shared" ref="Q14" si="4">Q15+R15+S15</f>
        <v>0</v>
      </c>
      <c r="R14" s="788"/>
      <c r="S14" s="789"/>
      <c r="T14" s="787">
        <f t="shared" ref="T14" si="5">T15+U15+V15</f>
        <v>0</v>
      </c>
      <c r="U14" s="788"/>
      <c r="V14" s="789"/>
      <c r="W14" s="516">
        <f>N14+Q14+T14+K14+H14+E14</f>
        <v>0</v>
      </c>
      <c r="Y14" s="790"/>
      <c r="Z14" s="790"/>
    </row>
    <row r="15" spans="2:26" ht="24.95" customHeight="1" x14ac:dyDescent="0.25">
      <c r="B15" s="791"/>
      <c r="C15" s="792"/>
      <c r="D15" s="793"/>
      <c r="E15" s="794">
        <f>'A IV.A'!$F$14*0.0819/2</f>
        <v>0</v>
      </c>
      <c r="F15" s="794">
        <f>'A IV.A'!$G$14*0.0819/2</f>
        <v>0</v>
      </c>
      <c r="G15" s="794">
        <f>'A IV.A'!$H$14*0.0819/2</f>
        <v>0</v>
      </c>
      <c r="H15" s="794">
        <f>'A IV.A'!$F$14*0.0842/2</f>
        <v>0</v>
      </c>
      <c r="I15" s="794">
        <f>'A IV.A'!$G$14*0.0842/2</f>
        <v>0</v>
      </c>
      <c r="J15" s="794">
        <f>'A IV.A'!$H$14*0.0842/2</f>
        <v>0</v>
      </c>
      <c r="K15" s="794">
        <f>'A IV.A'!$F$14*0.0842/2</f>
        <v>0</v>
      </c>
      <c r="L15" s="794">
        <f>'A IV.A'!$G$14*0.0842/2</f>
        <v>0</v>
      </c>
      <c r="M15" s="794">
        <f>'A IV.A'!$H$14*0.0842/2</f>
        <v>0</v>
      </c>
      <c r="N15" s="794">
        <f>'A IV.A'!$F$14*0.0842/2</f>
        <v>0</v>
      </c>
      <c r="O15" s="794">
        <f>'A IV.A'!$G$14*0.0842/2</f>
        <v>0</v>
      </c>
      <c r="P15" s="794">
        <f>'A IV.A'!$H$14*0.0842/2</f>
        <v>0</v>
      </c>
      <c r="Q15" s="794">
        <f>'A IV.A'!$F$14*0.09/2</f>
        <v>0</v>
      </c>
      <c r="R15" s="794">
        <f>'A IV.A'!$G$14*0.09/2</f>
        <v>0</v>
      </c>
      <c r="S15" s="794">
        <f>'A IV.A'!$H$14*0.09/2</f>
        <v>0</v>
      </c>
      <c r="T15" s="794">
        <f>'A IV.A'!$F$14*0.09/2</f>
        <v>0</v>
      </c>
      <c r="U15" s="794">
        <f>'A IV.A'!$G$14*0.09/2</f>
        <v>0</v>
      </c>
      <c r="V15" s="794">
        <f>'A IV.A'!$H$14*0.09/2</f>
        <v>0</v>
      </c>
      <c r="W15" s="517"/>
    </row>
    <row r="16" spans="2:26" ht="20.100000000000001" customHeight="1" x14ac:dyDescent="0.25">
      <c r="B16" s="795"/>
      <c r="C16" s="796"/>
      <c r="D16" s="797" t="e">
        <f>'A IV.A'!$M$14</f>
        <v>#DIV/0!</v>
      </c>
      <c r="E16" s="798" t="e">
        <f>E14/$D$51</f>
        <v>#DIV/0!</v>
      </c>
      <c r="F16" s="799"/>
      <c r="G16" s="800"/>
      <c r="H16" s="798" t="e">
        <f>H14/$D$51</f>
        <v>#DIV/0!</v>
      </c>
      <c r="I16" s="799"/>
      <c r="J16" s="800"/>
      <c r="K16" s="798" t="e">
        <f>K14/$D$51</f>
        <v>#DIV/0!</v>
      </c>
      <c r="L16" s="799"/>
      <c r="M16" s="800"/>
      <c r="N16" s="798" t="e">
        <f>N14/$D$51</f>
        <v>#DIV/0!</v>
      </c>
      <c r="O16" s="799"/>
      <c r="P16" s="800"/>
      <c r="Q16" s="798" t="e">
        <f>Q14/$D$51</f>
        <v>#DIV/0!</v>
      </c>
      <c r="R16" s="799"/>
      <c r="S16" s="800"/>
      <c r="T16" s="798" t="e">
        <f>T14/$D$51</f>
        <v>#DIV/0!</v>
      </c>
      <c r="U16" s="799"/>
      <c r="V16" s="800"/>
      <c r="W16" s="76" t="e">
        <f>W14/D14</f>
        <v>#DIV/0!</v>
      </c>
    </row>
    <row r="17" spans="2:248" s="808" customFormat="1" ht="24.95" customHeight="1" x14ac:dyDescent="0.25">
      <c r="B17" s="801" t="str">
        <f>'A IV.A'!$A$22</f>
        <v>2.0</v>
      </c>
      <c r="C17" s="802" t="str">
        <f>'A IV.A'!$B$22</f>
        <v>SERVIÇOS INICIAIS</v>
      </c>
      <c r="D17" s="803">
        <f>'A IV.A'!$L$22</f>
        <v>0</v>
      </c>
      <c r="E17" s="804">
        <f>E18+F18+G18</f>
        <v>0</v>
      </c>
      <c r="F17" s="805"/>
      <c r="G17" s="806"/>
      <c r="H17" s="804">
        <f>H18+I18+J18</f>
        <v>0</v>
      </c>
      <c r="I17" s="805"/>
      <c r="J17" s="806"/>
      <c r="K17" s="804">
        <f>K18+L18+M18</f>
        <v>0</v>
      </c>
      <c r="L17" s="805"/>
      <c r="M17" s="806"/>
      <c r="N17" s="804">
        <f>N18+O18+P18</f>
        <v>0</v>
      </c>
      <c r="O17" s="805"/>
      <c r="P17" s="806"/>
      <c r="Q17" s="804">
        <f>Q18+R18+S18</f>
        <v>0</v>
      </c>
      <c r="R17" s="805"/>
      <c r="S17" s="806"/>
      <c r="T17" s="804">
        <f>T18+U18+V18</f>
        <v>0</v>
      </c>
      <c r="U17" s="805"/>
      <c r="V17" s="806"/>
      <c r="W17" s="524">
        <f>N17+Q17+T17+K17+H17+E17</f>
        <v>0</v>
      </c>
      <c r="X17" s="807"/>
      <c r="IC17" s="763"/>
      <c r="ID17" s="763"/>
      <c r="IE17" s="763"/>
      <c r="IF17" s="763"/>
      <c r="IG17" s="763"/>
      <c r="IH17" s="763"/>
      <c r="II17" s="763"/>
      <c r="IJ17" s="763"/>
      <c r="IK17" s="763"/>
      <c r="IL17" s="763"/>
      <c r="IM17" s="763"/>
      <c r="IN17" s="763"/>
    </row>
    <row r="18" spans="2:248" s="808" customFormat="1" ht="24.95" customHeight="1" x14ac:dyDescent="0.25">
      <c r="B18" s="809"/>
      <c r="C18" s="810"/>
      <c r="D18" s="811"/>
      <c r="E18" s="812">
        <f>'A IV.A'!$F$22*0.09/2</f>
        <v>0</v>
      </c>
      <c r="F18" s="812">
        <f>'A IV.A'!$G$22*0.09/2</f>
        <v>0</v>
      </c>
      <c r="G18" s="812">
        <f>'A IV.A'!$H$22*0.09/2</f>
        <v>0</v>
      </c>
      <c r="H18" s="812">
        <f>'A IV.A'!$F$22*0.09/2</f>
        <v>0</v>
      </c>
      <c r="I18" s="812">
        <f>'A IV.A'!$G$22*0.09/2</f>
        <v>0</v>
      </c>
      <c r="J18" s="812">
        <f>'A IV.A'!$H$22*0.09/2</f>
        <v>0</v>
      </c>
      <c r="K18" s="812">
        <f>'A IV.A'!$F$22*0.09/2</f>
        <v>0</v>
      </c>
      <c r="L18" s="812">
        <f>'A IV.A'!$G$22*0.09/2</f>
        <v>0</v>
      </c>
      <c r="M18" s="812">
        <f>'A IV.A'!$H$22*0.09/2</f>
        <v>0</v>
      </c>
      <c r="N18" s="812">
        <f>'A IV.A'!$F$22*0.09/2</f>
        <v>0</v>
      </c>
      <c r="O18" s="812">
        <f>'A IV.A'!$G$22*0.09/2</f>
        <v>0</v>
      </c>
      <c r="P18" s="812">
        <f>'A IV.A'!$H$22*0.09/2</f>
        <v>0</v>
      </c>
      <c r="Q18" s="812">
        <f>'A IV.A'!$F$22/12/2</f>
        <v>0</v>
      </c>
      <c r="R18" s="812">
        <f>'A IV.A'!$G$22/12/2</f>
        <v>0</v>
      </c>
      <c r="S18" s="812">
        <f>'A IV.A'!$H$22/12/2</f>
        <v>0</v>
      </c>
      <c r="T18" s="812">
        <f>'A IV.A'!$F$22/12/2</f>
        <v>0</v>
      </c>
      <c r="U18" s="812">
        <f>'A IV.A'!$G$22/12/2</f>
        <v>0</v>
      </c>
      <c r="V18" s="812">
        <f>'A IV.A'!$H$22/12/2</f>
        <v>0</v>
      </c>
      <c r="W18" s="525"/>
      <c r="X18" s="807"/>
      <c r="IC18" s="763"/>
      <c r="ID18" s="763"/>
      <c r="IE18" s="763"/>
      <c r="IF18" s="763"/>
      <c r="IG18" s="763"/>
      <c r="IH18" s="763"/>
      <c r="II18" s="763"/>
      <c r="IJ18" s="763"/>
      <c r="IK18" s="763"/>
      <c r="IL18" s="763"/>
      <c r="IM18" s="763"/>
      <c r="IN18" s="763"/>
    </row>
    <row r="19" spans="2:248" s="808" customFormat="1" ht="20.100000000000001" customHeight="1" x14ac:dyDescent="0.25">
      <c r="B19" s="813"/>
      <c r="C19" s="814"/>
      <c r="D19" s="815" t="e">
        <f>'A IV.A'!$M$22</f>
        <v>#DIV/0!</v>
      </c>
      <c r="E19" s="816" t="e">
        <f>E17/$D$54</f>
        <v>#DIV/0!</v>
      </c>
      <c r="F19" s="817"/>
      <c r="G19" s="818"/>
      <c r="H19" s="816" t="e">
        <f>H17/$D$54</f>
        <v>#DIV/0!</v>
      </c>
      <c r="I19" s="817"/>
      <c r="J19" s="818"/>
      <c r="K19" s="816" t="e">
        <f>K17/$D$54</f>
        <v>#DIV/0!</v>
      </c>
      <c r="L19" s="817"/>
      <c r="M19" s="818"/>
      <c r="N19" s="816" t="e">
        <f>N17/$D$54</f>
        <v>#DIV/0!</v>
      </c>
      <c r="O19" s="817"/>
      <c r="P19" s="818"/>
      <c r="Q19" s="816" t="e">
        <f>Q17/$D$54</f>
        <v>#DIV/0!</v>
      </c>
      <c r="R19" s="817"/>
      <c r="S19" s="818"/>
      <c r="T19" s="816" t="e">
        <f>T17/$D$54</f>
        <v>#DIV/0!</v>
      </c>
      <c r="U19" s="817"/>
      <c r="V19" s="818"/>
      <c r="W19" s="309" t="e">
        <f>W17/D17</f>
        <v>#DIV/0!</v>
      </c>
      <c r="X19" s="807"/>
      <c r="IC19" s="763"/>
      <c r="ID19" s="763"/>
      <c r="IE19" s="763"/>
      <c r="IF19" s="763"/>
      <c r="IG19" s="763"/>
      <c r="IH19" s="763"/>
      <c r="II19" s="763"/>
      <c r="IJ19" s="763"/>
      <c r="IK19" s="763"/>
      <c r="IL19" s="763"/>
      <c r="IM19" s="763"/>
      <c r="IN19" s="763"/>
    </row>
    <row r="20" spans="2:248" s="808" customFormat="1" ht="24.95" customHeight="1" x14ac:dyDescent="0.25">
      <c r="B20" s="819" t="str">
        <f>'A IV.A'!$A$43</f>
        <v>3.0</v>
      </c>
      <c r="C20" s="820" t="str">
        <f>'A IV.A'!$B$43</f>
        <v>FECHAMENTOS, PROTEÇÕES E ALVENARIAS EM GERAL</v>
      </c>
      <c r="D20" s="821">
        <f>'A IV.A'!$L$43</f>
        <v>0</v>
      </c>
      <c r="E20" s="822">
        <f>E21+F21+G21</f>
        <v>0</v>
      </c>
      <c r="F20" s="823"/>
      <c r="G20" s="824"/>
      <c r="H20" s="822">
        <f>H21+I21+J21</f>
        <v>0</v>
      </c>
      <c r="I20" s="823"/>
      <c r="J20" s="824"/>
      <c r="K20" s="822">
        <f>K21+L21+M21</f>
        <v>0</v>
      </c>
      <c r="L20" s="823"/>
      <c r="M20" s="824"/>
      <c r="N20" s="822">
        <f>N21+O21+P21</f>
        <v>0</v>
      </c>
      <c r="O20" s="823"/>
      <c r="P20" s="824"/>
      <c r="Q20" s="822">
        <f>Q21+R21+S21</f>
        <v>0</v>
      </c>
      <c r="R20" s="823"/>
      <c r="S20" s="824"/>
      <c r="T20" s="822">
        <f>T21+U21+V21</f>
        <v>0</v>
      </c>
      <c r="U20" s="823"/>
      <c r="V20" s="824"/>
      <c r="W20" s="521">
        <f>N20+Q20+T20+K20+H20+E20</f>
        <v>0</v>
      </c>
      <c r="X20" s="807"/>
      <c r="IC20" s="763"/>
      <c r="ID20" s="763"/>
      <c r="IE20" s="763"/>
      <c r="IF20" s="763"/>
      <c r="IG20" s="763"/>
      <c r="IH20" s="763"/>
      <c r="II20" s="763"/>
      <c r="IJ20" s="763"/>
      <c r="IK20" s="763"/>
      <c r="IL20" s="763"/>
      <c r="IM20" s="763"/>
      <c r="IN20" s="763"/>
    </row>
    <row r="21" spans="2:248" s="808" customFormat="1" ht="24.95" customHeight="1" x14ac:dyDescent="0.25">
      <c r="B21" s="825"/>
      <c r="C21" s="792"/>
      <c r="D21" s="793"/>
      <c r="E21" s="794">
        <f>'A IV.A'!$F$43*0.09/2</f>
        <v>0</v>
      </c>
      <c r="F21" s="794">
        <f>'A IV.A'!$G$43*0.09/2</f>
        <v>0</v>
      </c>
      <c r="G21" s="794">
        <f>'A IV.A'!$H$43*0.09/2</f>
        <v>0</v>
      </c>
      <c r="H21" s="794">
        <f>'A IV.A'!$F$43*0.1/2</f>
        <v>0</v>
      </c>
      <c r="I21" s="794">
        <f>'A IV.A'!$G$43*0.1/2</f>
        <v>0</v>
      </c>
      <c r="J21" s="794">
        <f>'A IV.A'!$H$43*0.1/2</f>
        <v>0</v>
      </c>
      <c r="K21" s="794">
        <f>'A IV.A'!$F$43*0.11/2</f>
        <v>0</v>
      </c>
      <c r="L21" s="794">
        <f>'A IV.A'!$G$43*0.11/2</f>
        <v>0</v>
      </c>
      <c r="M21" s="794">
        <f>'A IV.A'!$H$43*0.11/2</f>
        <v>0</v>
      </c>
      <c r="N21" s="794">
        <f>'A IV.A'!$F$43*0.11/2</f>
        <v>0</v>
      </c>
      <c r="O21" s="794">
        <f>'A IV.A'!$G$43*0.11/2</f>
        <v>0</v>
      </c>
      <c r="P21" s="794">
        <f>'A IV.A'!$H$43*0.11/2</f>
        <v>0</v>
      </c>
      <c r="Q21" s="794">
        <f>'A IV.A'!$F$43*0.1/2</f>
        <v>0</v>
      </c>
      <c r="R21" s="794">
        <f>'A IV.A'!$G$43*0.1/2</f>
        <v>0</v>
      </c>
      <c r="S21" s="794">
        <f>'A IV.A'!$H$43*0.1/2</f>
        <v>0</v>
      </c>
      <c r="T21" s="794">
        <f>'A IV.A'!$F$43*0.09/2</f>
        <v>0</v>
      </c>
      <c r="U21" s="794">
        <f>'A IV.A'!$G$43*0.09/2</f>
        <v>0</v>
      </c>
      <c r="V21" s="794">
        <f>'A IV.A'!$H$43*0.09/2</f>
        <v>0</v>
      </c>
      <c r="W21" s="517"/>
      <c r="X21" s="807"/>
      <c r="IC21" s="763"/>
      <c r="ID21" s="763"/>
      <c r="IE21" s="763"/>
      <c r="IF21" s="763"/>
      <c r="IG21" s="763"/>
      <c r="IH21" s="763"/>
      <c r="II21" s="763"/>
      <c r="IJ21" s="763"/>
      <c r="IK21" s="763"/>
      <c r="IL21" s="763"/>
      <c r="IM21" s="763"/>
      <c r="IN21" s="763"/>
    </row>
    <row r="22" spans="2:248" s="808" customFormat="1" ht="20.100000000000001" customHeight="1" x14ac:dyDescent="0.25">
      <c r="B22" s="826"/>
      <c r="C22" s="796"/>
      <c r="D22" s="797" t="e">
        <f>'A IV.A'!$M$43</f>
        <v>#DIV/0!</v>
      </c>
      <c r="E22" s="798" t="e">
        <f>E20/$D$57</f>
        <v>#DIV/0!</v>
      </c>
      <c r="F22" s="799"/>
      <c r="G22" s="800"/>
      <c r="H22" s="798" t="e">
        <f>H20/$D$57</f>
        <v>#DIV/0!</v>
      </c>
      <c r="I22" s="799"/>
      <c r="J22" s="800"/>
      <c r="K22" s="798" t="e">
        <f>K20/$D$57</f>
        <v>#DIV/0!</v>
      </c>
      <c r="L22" s="799"/>
      <c r="M22" s="800"/>
      <c r="N22" s="798" t="e">
        <f>N20/$D$57</f>
        <v>#DIV/0!</v>
      </c>
      <c r="O22" s="799"/>
      <c r="P22" s="800"/>
      <c r="Q22" s="798" t="e">
        <f>Q20/$D$57</f>
        <v>#DIV/0!</v>
      </c>
      <c r="R22" s="799"/>
      <c r="S22" s="800"/>
      <c r="T22" s="798" t="e">
        <f>T20/$D$57</f>
        <v>#DIV/0!</v>
      </c>
      <c r="U22" s="799"/>
      <c r="V22" s="800"/>
      <c r="W22" s="76" t="e">
        <f>W20/D20</f>
        <v>#DIV/0!</v>
      </c>
      <c r="X22" s="807"/>
      <c r="IC22" s="763"/>
      <c r="ID22" s="763"/>
      <c r="IE22" s="763"/>
      <c r="IF22" s="763"/>
      <c r="IG22" s="763"/>
      <c r="IH22" s="763"/>
      <c r="II22" s="763"/>
      <c r="IJ22" s="763"/>
      <c r="IK22" s="763"/>
      <c r="IL22" s="763"/>
      <c r="IM22" s="763"/>
      <c r="IN22" s="763"/>
    </row>
    <row r="23" spans="2:248" s="808" customFormat="1" ht="24.95" customHeight="1" x14ac:dyDescent="0.25">
      <c r="B23" s="801" t="str">
        <f>'A IV.A'!$A$112</f>
        <v>4.0</v>
      </c>
      <c r="C23" s="802" t="str">
        <f>'A IV.A'!$B$112</f>
        <v>FORNECIMENTO E INSTALAÇÕES HIDRAULICAS - ITEM 9.0 DO TERMO DE REFERÊNCIA</v>
      </c>
      <c r="D23" s="803">
        <f>'A IV.A'!$L$112</f>
        <v>0</v>
      </c>
      <c r="E23" s="804">
        <f>E24+F24+G24</f>
        <v>0</v>
      </c>
      <c r="F23" s="805"/>
      <c r="G23" s="806"/>
      <c r="H23" s="804">
        <f>H24+I24+J24</f>
        <v>0</v>
      </c>
      <c r="I23" s="805"/>
      <c r="J23" s="806"/>
      <c r="K23" s="804">
        <f>K24+L24+M24</f>
        <v>0</v>
      </c>
      <c r="L23" s="805"/>
      <c r="M23" s="806"/>
      <c r="N23" s="804">
        <f>N24+O24+P24</f>
        <v>0</v>
      </c>
      <c r="O23" s="805"/>
      <c r="P23" s="806"/>
      <c r="Q23" s="804">
        <f>Q24+R24+S24</f>
        <v>0</v>
      </c>
      <c r="R23" s="805"/>
      <c r="S23" s="806"/>
      <c r="T23" s="804">
        <f>T24+U24+V24</f>
        <v>0</v>
      </c>
      <c r="U23" s="805"/>
      <c r="V23" s="806"/>
      <c r="W23" s="524">
        <f>N23+Q23+T23+K23+H23+E23</f>
        <v>0</v>
      </c>
      <c r="X23" s="807"/>
      <c r="IC23" s="763"/>
      <c r="ID23" s="763"/>
      <c r="IE23" s="763"/>
      <c r="IF23" s="763"/>
      <c r="IG23" s="763"/>
      <c r="IH23" s="763"/>
      <c r="II23" s="763"/>
      <c r="IJ23" s="763"/>
      <c r="IK23" s="763"/>
      <c r="IL23" s="763"/>
      <c r="IM23" s="763"/>
      <c r="IN23" s="763"/>
    </row>
    <row r="24" spans="2:248" s="808" customFormat="1" ht="24.95" customHeight="1" x14ac:dyDescent="0.25">
      <c r="B24" s="809"/>
      <c r="C24" s="810"/>
      <c r="D24" s="811"/>
      <c r="E24" s="812">
        <f>'A IV.A'!$F$112/12/2</f>
        <v>0</v>
      </c>
      <c r="F24" s="812">
        <f>'A IV.A'!$G$112/12/2</f>
        <v>0</v>
      </c>
      <c r="G24" s="812">
        <f>'A IV.A'!$H$112/12/2</f>
        <v>0</v>
      </c>
      <c r="H24" s="812">
        <f>'A IV.A'!$F$112/12/2</f>
        <v>0</v>
      </c>
      <c r="I24" s="812">
        <f>'A IV.A'!$G$112/12/2</f>
        <v>0</v>
      </c>
      <c r="J24" s="812">
        <f>'A IV.A'!$H$112/12/2</f>
        <v>0</v>
      </c>
      <c r="K24" s="812">
        <f>'A IV.A'!$F$112/12/2</f>
        <v>0</v>
      </c>
      <c r="L24" s="812">
        <f>'A IV.A'!$G$112/12/2</f>
        <v>0</v>
      </c>
      <c r="M24" s="812">
        <f>'A IV.A'!$H$112/12/2</f>
        <v>0</v>
      </c>
      <c r="N24" s="812">
        <f>'A IV.A'!$F$112/12/2</f>
        <v>0</v>
      </c>
      <c r="O24" s="812">
        <f>'A IV.A'!$G$112/12/2</f>
        <v>0</v>
      </c>
      <c r="P24" s="812">
        <f>'A IV.A'!$H$112/12/2</f>
        <v>0</v>
      </c>
      <c r="Q24" s="812">
        <f>'A IV.A'!$F$112/12/2</f>
        <v>0</v>
      </c>
      <c r="R24" s="812">
        <f>'A IV.A'!$G$112/12/2</f>
        <v>0</v>
      </c>
      <c r="S24" s="812">
        <f>'A IV.A'!$H$112/12/2</f>
        <v>0</v>
      </c>
      <c r="T24" s="812">
        <f>'A IV.A'!$F$112/12/2</f>
        <v>0</v>
      </c>
      <c r="U24" s="812">
        <f>'A IV.A'!$G$112/12/2</f>
        <v>0</v>
      </c>
      <c r="V24" s="812">
        <f>'A IV.A'!$H$112/12/2</f>
        <v>0</v>
      </c>
      <c r="W24" s="525"/>
      <c r="X24" s="807"/>
      <c r="IC24" s="763"/>
      <c r="ID24" s="763"/>
      <c r="IE24" s="763"/>
      <c r="IF24" s="763"/>
      <c r="IG24" s="763"/>
      <c r="IH24" s="763"/>
      <c r="II24" s="763"/>
      <c r="IJ24" s="763"/>
      <c r="IK24" s="763"/>
      <c r="IL24" s="763"/>
      <c r="IM24" s="763"/>
      <c r="IN24" s="763"/>
    </row>
    <row r="25" spans="2:248" s="808" customFormat="1" ht="20.100000000000001" customHeight="1" x14ac:dyDescent="0.25">
      <c r="B25" s="813"/>
      <c r="C25" s="814"/>
      <c r="D25" s="815" t="e">
        <f>'A IV.A'!$M$112</f>
        <v>#DIV/0!</v>
      </c>
      <c r="E25" s="816" t="e">
        <f>E23/$D$60</f>
        <v>#DIV/0!</v>
      </c>
      <c r="F25" s="817"/>
      <c r="G25" s="818"/>
      <c r="H25" s="816" t="e">
        <f>H23/$D$60</f>
        <v>#DIV/0!</v>
      </c>
      <c r="I25" s="817"/>
      <c r="J25" s="818"/>
      <c r="K25" s="816" t="e">
        <f>K23/$D$60</f>
        <v>#DIV/0!</v>
      </c>
      <c r="L25" s="817"/>
      <c r="M25" s="818"/>
      <c r="N25" s="816" t="e">
        <f>N23/$D$60</f>
        <v>#DIV/0!</v>
      </c>
      <c r="O25" s="817"/>
      <c r="P25" s="818"/>
      <c r="Q25" s="816" t="e">
        <f>Q23/$D$60</f>
        <v>#DIV/0!</v>
      </c>
      <c r="R25" s="817"/>
      <c r="S25" s="818"/>
      <c r="T25" s="816" t="e">
        <f>T23/$D$60</f>
        <v>#DIV/0!</v>
      </c>
      <c r="U25" s="817"/>
      <c r="V25" s="818"/>
      <c r="W25" s="309" t="e">
        <f>W23/D23</f>
        <v>#DIV/0!</v>
      </c>
      <c r="X25" s="807"/>
      <c r="IC25" s="763"/>
      <c r="ID25" s="763"/>
      <c r="IE25" s="763"/>
      <c r="IF25" s="763"/>
      <c r="IG25" s="763"/>
      <c r="IH25" s="763"/>
      <c r="II25" s="763"/>
      <c r="IJ25" s="763"/>
      <c r="IK25" s="763"/>
      <c r="IL25" s="763"/>
      <c r="IM25" s="763"/>
      <c r="IN25" s="763"/>
    </row>
    <row r="26" spans="2:248" s="808" customFormat="1" ht="24.95" customHeight="1" x14ac:dyDescent="0.25">
      <c r="B26" s="827" t="str">
        <f>'A IV.A'!$A$126</f>
        <v>5.0</v>
      </c>
      <c r="C26" s="828" t="str">
        <f>'A IV.A'!$B$126</f>
        <v>RECUPERAÇÃO E TRATAMENTO DE SUPERFÍCIES EM CONCRETO ARMADO - ITEM 10.0 DO TERMO DE REFERÊNCIA</v>
      </c>
      <c r="D26" s="821">
        <f>'A IV.A'!$L$126</f>
        <v>0</v>
      </c>
      <c r="E26" s="822">
        <f>E27+F27+G27</f>
        <v>0</v>
      </c>
      <c r="F26" s="823"/>
      <c r="G26" s="824"/>
      <c r="H26" s="822">
        <f>H27+I27+J27</f>
        <v>0</v>
      </c>
      <c r="I26" s="823"/>
      <c r="J26" s="824"/>
      <c r="K26" s="822">
        <f>K27+L27+M27</f>
        <v>0</v>
      </c>
      <c r="L26" s="823"/>
      <c r="M26" s="824"/>
      <c r="N26" s="822">
        <f>N27+O27+P27</f>
        <v>0</v>
      </c>
      <c r="O26" s="823"/>
      <c r="P26" s="824"/>
      <c r="Q26" s="822">
        <f>Q27+R27+S27</f>
        <v>0</v>
      </c>
      <c r="R26" s="823"/>
      <c r="S26" s="824"/>
      <c r="T26" s="822">
        <f>T27+U27+V27</f>
        <v>0</v>
      </c>
      <c r="U26" s="823"/>
      <c r="V26" s="824"/>
      <c r="W26" s="521">
        <f>N26+Q26+T26+K26+H26+E26</f>
        <v>0</v>
      </c>
      <c r="X26" s="807"/>
      <c r="IC26" s="763"/>
      <c r="ID26" s="763"/>
      <c r="IE26" s="763"/>
      <c r="IF26" s="763"/>
      <c r="IG26" s="763"/>
      <c r="IH26" s="763"/>
      <c r="II26" s="763"/>
      <c r="IJ26" s="763"/>
      <c r="IK26" s="763"/>
      <c r="IL26" s="763"/>
      <c r="IM26" s="763"/>
      <c r="IN26" s="763"/>
    </row>
    <row r="27" spans="2:248" s="808" customFormat="1" ht="24.95" customHeight="1" x14ac:dyDescent="0.25">
      <c r="B27" s="829"/>
      <c r="C27" s="830"/>
      <c r="D27" s="793"/>
      <c r="E27" s="794">
        <f>'A IV.A'!$F$126/12/2</f>
        <v>0</v>
      </c>
      <c r="F27" s="794">
        <f>'A IV.A'!$G$126/12/2</f>
        <v>0</v>
      </c>
      <c r="G27" s="794">
        <f>'A IV.A'!$H$126/12/2</f>
        <v>0</v>
      </c>
      <c r="H27" s="794">
        <f>'A IV.A'!$F$126/12/2</f>
        <v>0</v>
      </c>
      <c r="I27" s="794">
        <f>'A IV.A'!$G$126/12/2</f>
        <v>0</v>
      </c>
      <c r="J27" s="794">
        <f>'A IV.A'!$H$126/12/2</f>
        <v>0</v>
      </c>
      <c r="K27" s="794">
        <f>'A IV.A'!$F$126/12/2</f>
        <v>0</v>
      </c>
      <c r="L27" s="794">
        <f>'A IV.A'!$G$126/12/2</f>
        <v>0</v>
      </c>
      <c r="M27" s="794">
        <f>'A IV.A'!$H$126/12/2</f>
        <v>0</v>
      </c>
      <c r="N27" s="794">
        <f>'A IV.A'!$F$126/12/2</f>
        <v>0</v>
      </c>
      <c r="O27" s="794">
        <f>'A IV.A'!$G$126/12/2</f>
        <v>0</v>
      </c>
      <c r="P27" s="794">
        <f>'A IV.A'!$H$126/12/2</f>
        <v>0</v>
      </c>
      <c r="Q27" s="794">
        <f>'A IV.A'!$F$126/12/2</f>
        <v>0</v>
      </c>
      <c r="R27" s="794">
        <f>'A IV.A'!$G$126/12/2</f>
        <v>0</v>
      </c>
      <c r="S27" s="794">
        <f>'A IV.A'!$H$126/12/2</f>
        <v>0</v>
      </c>
      <c r="T27" s="794">
        <f>'A IV.A'!$F$126/12/2</f>
        <v>0</v>
      </c>
      <c r="U27" s="794">
        <f>'A IV.A'!$G$126/12/2</f>
        <v>0</v>
      </c>
      <c r="V27" s="794">
        <f>'A IV.A'!$H$126/12/2</f>
        <v>0</v>
      </c>
      <c r="W27" s="517"/>
      <c r="X27" s="807"/>
      <c r="IC27" s="763"/>
      <c r="ID27" s="763"/>
      <c r="IE27" s="763"/>
      <c r="IF27" s="763"/>
      <c r="IG27" s="763"/>
      <c r="IH27" s="763"/>
      <c r="II27" s="763"/>
      <c r="IJ27" s="763"/>
      <c r="IK27" s="763"/>
      <c r="IL27" s="763"/>
      <c r="IM27" s="763"/>
      <c r="IN27" s="763"/>
    </row>
    <row r="28" spans="2:248" s="808" customFormat="1" ht="20.100000000000001" customHeight="1" x14ac:dyDescent="0.25">
      <c r="B28" s="831"/>
      <c r="C28" s="832"/>
      <c r="D28" s="797" t="e">
        <f>'A IV.A'!$M$126</f>
        <v>#DIV/0!</v>
      </c>
      <c r="E28" s="798" t="e">
        <f>E26/$D$63</f>
        <v>#DIV/0!</v>
      </c>
      <c r="F28" s="799"/>
      <c r="G28" s="800"/>
      <c r="H28" s="798" t="e">
        <f>H26/$D$63</f>
        <v>#DIV/0!</v>
      </c>
      <c r="I28" s="799"/>
      <c r="J28" s="800"/>
      <c r="K28" s="798" t="e">
        <f>K26/$D$63</f>
        <v>#DIV/0!</v>
      </c>
      <c r="L28" s="799"/>
      <c r="M28" s="800"/>
      <c r="N28" s="798" t="e">
        <f>N26/$D$63</f>
        <v>#DIV/0!</v>
      </c>
      <c r="O28" s="799"/>
      <c r="P28" s="800"/>
      <c r="Q28" s="798" t="e">
        <f>Q26/$D$63</f>
        <v>#DIV/0!</v>
      </c>
      <c r="R28" s="799"/>
      <c r="S28" s="800"/>
      <c r="T28" s="798" t="e">
        <f>T26/$D$63</f>
        <v>#DIV/0!</v>
      </c>
      <c r="U28" s="799"/>
      <c r="V28" s="800"/>
      <c r="W28" s="76" t="e">
        <f>W26/D26</f>
        <v>#DIV/0!</v>
      </c>
      <c r="X28" s="807"/>
      <c r="IC28" s="763"/>
      <c r="ID28" s="763"/>
      <c r="IE28" s="763"/>
      <c r="IF28" s="763"/>
      <c r="IG28" s="763"/>
      <c r="IH28" s="763"/>
      <c r="II28" s="763"/>
      <c r="IJ28" s="763"/>
      <c r="IK28" s="763"/>
      <c r="IL28" s="763"/>
      <c r="IM28" s="763"/>
      <c r="IN28" s="763"/>
    </row>
    <row r="29" spans="2:248" s="808" customFormat="1" ht="24.95" customHeight="1" x14ac:dyDescent="0.25">
      <c r="B29" s="833" t="str">
        <f>'A IV.A'!$A$134</f>
        <v>6.0</v>
      </c>
      <c r="C29" s="834" t="str">
        <f>'A IV.A'!$B$134</f>
        <v>PINTURAS - ITEM 11.0 DO TERMO DE REFERÊNCIA</v>
      </c>
      <c r="D29" s="803">
        <f>'A IV.A'!$L$134</f>
        <v>0</v>
      </c>
      <c r="E29" s="804">
        <f>E30+F30+G30</f>
        <v>0</v>
      </c>
      <c r="F29" s="805"/>
      <c r="G29" s="806"/>
      <c r="H29" s="804">
        <f>H30+I30+J30</f>
        <v>0</v>
      </c>
      <c r="I29" s="805"/>
      <c r="J29" s="806"/>
      <c r="K29" s="804">
        <f>K30+L30+M30</f>
        <v>0</v>
      </c>
      <c r="L29" s="805"/>
      <c r="M29" s="806"/>
      <c r="N29" s="804">
        <f>N30+O30+P30</f>
        <v>0</v>
      </c>
      <c r="O29" s="805"/>
      <c r="P29" s="806"/>
      <c r="Q29" s="804">
        <f>Q30+R30+S30</f>
        <v>0</v>
      </c>
      <c r="R29" s="805"/>
      <c r="S29" s="806"/>
      <c r="T29" s="804">
        <f>T30+U30+V30</f>
        <v>0</v>
      </c>
      <c r="U29" s="805"/>
      <c r="V29" s="806"/>
      <c r="W29" s="524">
        <f>N29+Q29+T29+K29+H29+E29</f>
        <v>0</v>
      </c>
      <c r="X29" s="807"/>
      <c r="IC29" s="763"/>
      <c r="ID29" s="763"/>
      <c r="IE29" s="763"/>
      <c r="IF29" s="763"/>
      <c r="IG29" s="763"/>
      <c r="IH29" s="763"/>
      <c r="II29" s="763"/>
      <c r="IJ29" s="763"/>
      <c r="IK29" s="763"/>
      <c r="IL29" s="763"/>
      <c r="IM29" s="763"/>
      <c r="IN29" s="763"/>
    </row>
    <row r="30" spans="2:248" s="808" customFormat="1" ht="24.95" customHeight="1" x14ac:dyDescent="0.25">
      <c r="B30" s="835"/>
      <c r="C30" s="836"/>
      <c r="D30" s="811"/>
      <c r="E30" s="812">
        <f>'A IV.A'!$F$134*0.085/2</f>
        <v>0</v>
      </c>
      <c r="F30" s="812">
        <f>'A IV.A'!$G$134*0.085/2</f>
        <v>0</v>
      </c>
      <c r="G30" s="812">
        <f>'A IV.A'!$H$134*0.085/2</f>
        <v>0</v>
      </c>
      <c r="H30" s="812">
        <f>'A IV.A'!$F$134*0.085/2</f>
        <v>0</v>
      </c>
      <c r="I30" s="812">
        <f>'A IV.A'!$G$134*0.085/2</f>
        <v>0</v>
      </c>
      <c r="J30" s="812">
        <f>'A IV.A'!$H$134*0.085/2</f>
        <v>0</v>
      </c>
      <c r="K30" s="812">
        <f>'A IV.A'!$F$134*0.085/2</f>
        <v>0</v>
      </c>
      <c r="L30" s="812">
        <f>'A IV.A'!$G$134*0.085/2</f>
        <v>0</v>
      </c>
      <c r="M30" s="812">
        <f>'A IV.A'!$H$134*0.085/2</f>
        <v>0</v>
      </c>
      <c r="N30" s="812">
        <f>'A IV.A'!$F$134*0.085/2</f>
        <v>0</v>
      </c>
      <c r="O30" s="812">
        <f>'A IV.A'!$G$134*0.085/2</f>
        <v>0</v>
      </c>
      <c r="P30" s="812">
        <f>'A IV.A'!$H$134*0.085/2</f>
        <v>0</v>
      </c>
      <c r="Q30" s="812">
        <f>'A IV.A'!$F$134*0.08/2</f>
        <v>0</v>
      </c>
      <c r="R30" s="812">
        <f>'A IV.A'!$G$134*0.08/2</f>
        <v>0</v>
      </c>
      <c r="S30" s="812">
        <f>'A IV.A'!$H$134*0.08/2</f>
        <v>0</v>
      </c>
      <c r="T30" s="812">
        <f>'A IV.A'!$F$134*0.08/2</f>
        <v>0</v>
      </c>
      <c r="U30" s="812">
        <f>'A IV.A'!$G$134*0.08/2</f>
        <v>0</v>
      </c>
      <c r="V30" s="812">
        <f>'A IV.A'!$H$134*0.08/2</f>
        <v>0</v>
      </c>
      <c r="W30" s="525"/>
      <c r="X30" s="807"/>
      <c r="IC30" s="763"/>
      <c r="ID30" s="763"/>
      <c r="IE30" s="763"/>
      <c r="IF30" s="763"/>
      <c r="IG30" s="763"/>
      <c r="IH30" s="763"/>
      <c r="II30" s="763"/>
      <c r="IJ30" s="763"/>
      <c r="IK30" s="763"/>
      <c r="IL30" s="763"/>
      <c r="IM30" s="763"/>
      <c r="IN30" s="763"/>
    </row>
    <row r="31" spans="2:248" s="808" customFormat="1" ht="20.100000000000001" customHeight="1" x14ac:dyDescent="0.25">
      <c r="B31" s="837"/>
      <c r="C31" s="838"/>
      <c r="D31" s="815" t="e">
        <f>'A IV.A'!$M$134</f>
        <v>#DIV/0!</v>
      </c>
      <c r="E31" s="816" t="e">
        <f>E29/$D$66</f>
        <v>#DIV/0!</v>
      </c>
      <c r="F31" s="817"/>
      <c r="G31" s="818"/>
      <c r="H31" s="816" t="e">
        <f>H29/$D$66</f>
        <v>#DIV/0!</v>
      </c>
      <c r="I31" s="817"/>
      <c r="J31" s="818"/>
      <c r="K31" s="816" t="e">
        <f>K29/$D$66</f>
        <v>#DIV/0!</v>
      </c>
      <c r="L31" s="817"/>
      <c r="M31" s="818"/>
      <c r="N31" s="816" t="e">
        <f>N29/$D$66</f>
        <v>#DIV/0!</v>
      </c>
      <c r="O31" s="817"/>
      <c r="P31" s="818"/>
      <c r="Q31" s="816" t="e">
        <f>Q29/$D$66</f>
        <v>#DIV/0!</v>
      </c>
      <c r="R31" s="817"/>
      <c r="S31" s="818"/>
      <c r="T31" s="816" t="e">
        <f>T29/$D$66</f>
        <v>#DIV/0!</v>
      </c>
      <c r="U31" s="817"/>
      <c r="V31" s="818"/>
      <c r="W31" s="309" t="e">
        <f>W29/D29</f>
        <v>#DIV/0!</v>
      </c>
      <c r="X31" s="807"/>
      <c r="IC31" s="763"/>
      <c r="ID31" s="763"/>
      <c r="IE31" s="763"/>
      <c r="IF31" s="763"/>
      <c r="IG31" s="763"/>
      <c r="IH31" s="763"/>
      <c r="II31" s="763"/>
      <c r="IJ31" s="763"/>
      <c r="IK31" s="763"/>
      <c r="IL31" s="763"/>
      <c r="IM31" s="763"/>
      <c r="IN31" s="763"/>
    </row>
    <row r="32" spans="2:248" s="808" customFormat="1" ht="24.95" customHeight="1" x14ac:dyDescent="0.25">
      <c r="B32" s="819" t="str">
        <f>'A IV.A'!$A$155</f>
        <v>7.0</v>
      </c>
      <c r="C32" s="820" t="str">
        <f>'A IV.A'!$B$155</f>
        <v>SERVIÇOS COMPLEMENTARES - ITEM 12.0 DO TERMO DE REFERÊNCIA</v>
      </c>
      <c r="D32" s="821">
        <f>'A IV.A'!$L$155</f>
        <v>0</v>
      </c>
      <c r="E32" s="822">
        <f>E33+F33+G33</f>
        <v>0</v>
      </c>
      <c r="F32" s="823"/>
      <c r="G32" s="824"/>
      <c r="H32" s="822">
        <f>H33+I33+J33</f>
        <v>0</v>
      </c>
      <c r="I32" s="823"/>
      <c r="J32" s="824"/>
      <c r="K32" s="822">
        <f>K33+L33+M33</f>
        <v>0</v>
      </c>
      <c r="L32" s="823"/>
      <c r="M32" s="824"/>
      <c r="N32" s="822">
        <f>N33+O33+P33</f>
        <v>0</v>
      </c>
      <c r="O32" s="823"/>
      <c r="P32" s="824"/>
      <c r="Q32" s="822">
        <f>Q33+R33+S33</f>
        <v>0</v>
      </c>
      <c r="R32" s="823"/>
      <c r="S32" s="824"/>
      <c r="T32" s="822">
        <f>T33+U33+V33</f>
        <v>0</v>
      </c>
      <c r="U32" s="823"/>
      <c r="V32" s="824"/>
      <c r="W32" s="521">
        <f>N32+Q32+T32+K32+H32+E32</f>
        <v>0</v>
      </c>
      <c r="X32" s="807"/>
      <c r="IC32" s="763"/>
      <c r="ID32" s="763"/>
      <c r="IE32" s="763"/>
      <c r="IF32" s="763"/>
      <c r="IG32" s="763"/>
      <c r="IH32" s="763"/>
      <c r="II32" s="763"/>
      <c r="IJ32" s="763"/>
      <c r="IK32" s="763"/>
      <c r="IL32" s="763"/>
      <c r="IM32" s="763"/>
      <c r="IN32" s="763"/>
    </row>
    <row r="33" spans="2:248" s="808" customFormat="1" ht="24.95" customHeight="1" x14ac:dyDescent="0.25">
      <c r="B33" s="825"/>
      <c r="C33" s="792"/>
      <c r="D33" s="793"/>
      <c r="E33" s="794">
        <f>'A IV.A'!$F$155*0.08/2</f>
        <v>0</v>
      </c>
      <c r="F33" s="794">
        <f>'A IV.A'!$G$155*0.08/2</f>
        <v>0</v>
      </c>
      <c r="G33" s="794">
        <f>'A IV.A'!$H$155*0.08/2</f>
        <v>0</v>
      </c>
      <c r="H33" s="794">
        <f>'A IV.A'!$F$155/12/2</f>
        <v>0</v>
      </c>
      <c r="I33" s="794">
        <f>'A IV.A'!$G$155/12/2</f>
        <v>0</v>
      </c>
      <c r="J33" s="794">
        <f>'A IV.A'!$H$155/12/2</f>
        <v>0</v>
      </c>
      <c r="K33" s="794">
        <f>'A IV.A'!$F$155/12/2</f>
        <v>0</v>
      </c>
      <c r="L33" s="794">
        <f>'A IV.A'!$G$155/12/2</f>
        <v>0</v>
      </c>
      <c r="M33" s="794">
        <f>'A IV.A'!$H$155/12/2</f>
        <v>0</v>
      </c>
      <c r="N33" s="794">
        <f>'A IV.A'!$F$155/12/2</f>
        <v>0</v>
      </c>
      <c r="O33" s="794">
        <f>'A IV.A'!$G$155/12/2</f>
        <v>0</v>
      </c>
      <c r="P33" s="794">
        <f>'A IV.A'!$H$155/12/2</f>
        <v>0</v>
      </c>
      <c r="Q33" s="794">
        <f>'A IV.A'!$F$155*0.12/2</f>
        <v>0</v>
      </c>
      <c r="R33" s="794">
        <f>'A IV.A'!$G$155*0.12/2</f>
        <v>0</v>
      </c>
      <c r="S33" s="794">
        <f>'A IV.A'!$H$155*0.12/2</f>
        <v>0</v>
      </c>
      <c r="T33" s="794">
        <f>'A IV.A'!$F$155*0.12/2</f>
        <v>0</v>
      </c>
      <c r="U33" s="794">
        <f>'A IV.A'!$G$155*0.12/2</f>
        <v>0</v>
      </c>
      <c r="V33" s="794">
        <f>'A IV.A'!$H$155*0.12/2</f>
        <v>0</v>
      </c>
      <c r="W33" s="517"/>
      <c r="X33" s="807"/>
      <c r="IC33" s="763"/>
      <c r="ID33" s="763"/>
      <c r="IE33" s="763"/>
      <c r="IF33" s="763"/>
      <c r="IG33" s="763"/>
      <c r="IH33" s="763"/>
      <c r="II33" s="763"/>
      <c r="IJ33" s="763"/>
      <c r="IK33" s="763"/>
      <c r="IL33" s="763"/>
      <c r="IM33" s="763"/>
      <c r="IN33" s="763"/>
    </row>
    <row r="34" spans="2:248" s="808" customFormat="1" ht="20.100000000000001" customHeight="1" thickBot="1" x14ac:dyDescent="0.3">
      <c r="B34" s="839"/>
      <c r="C34" s="840"/>
      <c r="D34" s="841" t="e">
        <f>'A IV.A'!$M$155</f>
        <v>#DIV/0!</v>
      </c>
      <c r="E34" s="842" t="e">
        <f>E32/$D$69</f>
        <v>#DIV/0!</v>
      </c>
      <c r="F34" s="843"/>
      <c r="G34" s="844"/>
      <c r="H34" s="842" t="e">
        <f>H32/$D$69</f>
        <v>#DIV/0!</v>
      </c>
      <c r="I34" s="843"/>
      <c r="J34" s="844"/>
      <c r="K34" s="842" t="e">
        <f>K32/$D$69</f>
        <v>#DIV/0!</v>
      </c>
      <c r="L34" s="843"/>
      <c r="M34" s="844"/>
      <c r="N34" s="842" t="e">
        <f>N32/$D$69</f>
        <v>#DIV/0!</v>
      </c>
      <c r="O34" s="843"/>
      <c r="P34" s="844"/>
      <c r="Q34" s="842" t="e">
        <f>Q32/$D$69</f>
        <v>#DIV/0!</v>
      </c>
      <c r="R34" s="843"/>
      <c r="S34" s="844"/>
      <c r="T34" s="842" t="e">
        <f>T32/$D$69</f>
        <v>#DIV/0!</v>
      </c>
      <c r="U34" s="843"/>
      <c r="V34" s="844"/>
      <c r="W34" s="77" t="e">
        <f>W32/D32</f>
        <v>#DIV/0!</v>
      </c>
      <c r="X34" s="807"/>
      <c r="IC34" s="763"/>
      <c r="ID34" s="763"/>
      <c r="IE34" s="763"/>
      <c r="IF34" s="763"/>
      <c r="IG34" s="763"/>
      <c r="IH34" s="763"/>
      <c r="II34" s="763"/>
      <c r="IJ34" s="763"/>
      <c r="IK34" s="763"/>
      <c r="IL34" s="763"/>
      <c r="IM34" s="763"/>
      <c r="IN34" s="763"/>
    </row>
    <row r="35" spans="2:248" s="808" customFormat="1" ht="15.2" customHeight="1" thickTop="1" thickBot="1" x14ac:dyDescent="0.3">
      <c r="B35" s="845"/>
      <c r="C35" s="845"/>
      <c r="D35" s="845"/>
      <c r="E35" s="846"/>
      <c r="F35" s="847"/>
      <c r="G35" s="846"/>
      <c r="H35" s="846"/>
      <c r="I35" s="847"/>
      <c r="J35" s="846"/>
      <c r="K35" s="846"/>
      <c r="L35" s="847"/>
      <c r="M35" s="846"/>
      <c r="N35" s="846"/>
      <c r="O35" s="847"/>
      <c r="P35" s="846"/>
      <c r="Q35" s="846"/>
      <c r="R35" s="847"/>
      <c r="S35" s="846"/>
      <c r="T35" s="846"/>
      <c r="U35" s="847"/>
      <c r="V35" s="846"/>
      <c r="W35" s="80"/>
      <c r="X35" s="807"/>
      <c r="IC35" s="763"/>
      <c r="ID35" s="763"/>
      <c r="IE35" s="763"/>
      <c r="IF35" s="763"/>
      <c r="IG35" s="763"/>
      <c r="IH35" s="763"/>
      <c r="II35" s="763"/>
      <c r="IJ35" s="763"/>
      <c r="IK35" s="763"/>
      <c r="IL35" s="763"/>
      <c r="IM35" s="763"/>
      <c r="IN35" s="763"/>
    </row>
    <row r="36" spans="2:248" s="808" customFormat="1" ht="24.95" customHeight="1" thickTop="1" x14ac:dyDescent="0.25">
      <c r="B36" s="848" t="s">
        <v>890</v>
      </c>
      <c r="C36" s="849"/>
      <c r="D36" s="522">
        <f>D14+D17+D20+D23+D26+D29+D32</f>
        <v>0</v>
      </c>
      <c r="E36" s="850">
        <f>E37+F37+G37</f>
        <v>0</v>
      </c>
      <c r="F36" s="851"/>
      <c r="G36" s="852"/>
      <c r="H36" s="850">
        <f>H37+I37+J37</f>
        <v>0</v>
      </c>
      <c r="I36" s="851"/>
      <c r="J36" s="852"/>
      <c r="K36" s="853">
        <f>K37+L37+M37</f>
        <v>0</v>
      </c>
      <c r="L36" s="854"/>
      <c r="M36" s="855"/>
      <c r="N36" s="853">
        <f>N37+O37+P37</f>
        <v>0</v>
      </c>
      <c r="O36" s="854"/>
      <c r="P36" s="855"/>
      <c r="Q36" s="853">
        <f>Q37+R37+S37</f>
        <v>0</v>
      </c>
      <c r="R36" s="854"/>
      <c r="S36" s="855"/>
      <c r="T36" s="853">
        <f>T37+U37+V37</f>
        <v>0</v>
      </c>
      <c r="U36" s="854"/>
      <c r="V36" s="855"/>
      <c r="W36" s="516">
        <f>W14+W17+W20+W23+W26+W29+W32</f>
        <v>0</v>
      </c>
      <c r="X36" s="807"/>
      <c r="IC36" s="763"/>
      <c r="ID36" s="763"/>
      <c r="IE36" s="763"/>
      <c r="IF36" s="763"/>
      <c r="IG36" s="763"/>
      <c r="IH36" s="763"/>
      <c r="II36" s="763"/>
      <c r="IJ36" s="763"/>
      <c r="IK36" s="763"/>
      <c r="IL36" s="763"/>
      <c r="IM36" s="763"/>
      <c r="IN36" s="763"/>
    </row>
    <row r="37" spans="2:248" s="808" customFormat="1" ht="24.95" customHeight="1" x14ac:dyDescent="0.25">
      <c r="B37" s="848"/>
      <c r="C37" s="849"/>
      <c r="D37" s="523"/>
      <c r="E37" s="78">
        <f>E27+E24+E21+E18+E15+E30+E33</f>
        <v>0</v>
      </c>
      <c r="F37" s="78">
        <f>F27+F24+F21+F18+F15+F30+F33</f>
        <v>0</v>
      </c>
      <c r="G37" s="78">
        <f t="shared" ref="G37:V37" si="6">G27+G24+G21+G18+G15+G30+G33</f>
        <v>0</v>
      </c>
      <c r="H37" s="78">
        <f t="shared" si="6"/>
        <v>0</v>
      </c>
      <c r="I37" s="78">
        <f t="shared" si="6"/>
        <v>0</v>
      </c>
      <c r="J37" s="78">
        <f t="shared" si="6"/>
        <v>0</v>
      </c>
      <c r="K37" s="78">
        <f t="shared" si="6"/>
        <v>0</v>
      </c>
      <c r="L37" s="78">
        <f t="shared" si="6"/>
        <v>0</v>
      </c>
      <c r="M37" s="78">
        <f t="shared" si="6"/>
        <v>0</v>
      </c>
      <c r="N37" s="78">
        <f t="shared" si="6"/>
        <v>0</v>
      </c>
      <c r="O37" s="78">
        <f t="shared" si="6"/>
        <v>0</v>
      </c>
      <c r="P37" s="78">
        <f t="shared" si="6"/>
        <v>0</v>
      </c>
      <c r="Q37" s="78">
        <f t="shared" si="6"/>
        <v>0</v>
      </c>
      <c r="R37" s="78">
        <f t="shared" si="6"/>
        <v>0</v>
      </c>
      <c r="S37" s="78">
        <f t="shared" si="6"/>
        <v>0</v>
      </c>
      <c r="T37" s="78">
        <f t="shared" si="6"/>
        <v>0</v>
      </c>
      <c r="U37" s="78">
        <f t="shared" si="6"/>
        <v>0</v>
      </c>
      <c r="V37" s="78">
        <f t="shared" si="6"/>
        <v>0</v>
      </c>
      <c r="W37" s="517"/>
      <c r="X37" s="807"/>
      <c r="IC37" s="763"/>
      <c r="ID37" s="763"/>
      <c r="IE37" s="763"/>
      <c r="IF37" s="763"/>
      <c r="IG37" s="763"/>
      <c r="IH37" s="763"/>
      <c r="II37" s="763"/>
      <c r="IJ37" s="763"/>
      <c r="IK37" s="763"/>
      <c r="IL37" s="763"/>
      <c r="IM37" s="763"/>
      <c r="IN37" s="763"/>
    </row>
    <row r="38" spans="2:248" s="808" customFormat="1" ht="24.95" customHeight="1" thickBot="1" x14ac:dyDescent="0.3">
      <c r="B38" s="848"/>
      <c r="C38" s="849"/>
      <c r="D38" s="79" t="e">
        <f>D16+D19+D22+D25+D28+D31+D34</f>
        <v>#DIV/0!</v>
      </c>
      <c r="E38" s="518" t="e">
        <f>ROUND(E36/$D$36,6)</f>
        <v>#DIV/0!</v>
      </c>
      <c r="F38" s="519"/>
      <c r="G38" s="520"/>
      <c r="H38" s="518" t="e">
        <f>ROUND(H36/$D$36,6)</f>
        <v>#DIV/0!</v>
      </c>
      <c r="I38" s="519"/>
      <c r="J38" s="520"/>
      <c r="K38" s="518" t="e">
        <f>ROUND(K36/$D$36,6)</f>
        <v>#DIV/0!</v>
      </c>
      <c r="L38" s="519"/>
      <c r="M38" s="520"/>
      <c r="N38" s="518" t="e">
        <f>ROUND(N36/$D$36,6)</f>
        <v>#DIV/0!</v>
      </c>
      <c r="O38" s="519"/>
      <c r="P38" s="520"/>
      <c r="Q38" s="518" t="e">
        <f>ROUND(Q36/$D$36,6)</f>
        <v>#DIV/0!</v>
      </c>
      <c r="R38" s="519"/>
      <c r="S38" s="520"/>
      <c r="T38" s="518" t="e">
        <f>ROUND(T36/$D$36,6)</f>
        <v>#DIV/0!</v>
      </c>
      <c r="U38" s="519"/>
      <c r="V38" s="520"/>
      <c r="W38" s="325" t="e">
        <f>ROUND(N38+Q38+T38+K38+H38+E38,6)</f>
        <v>#DIV/0!</v>
      </c>
      <c r="X38" s="807"/>
      <c r="IC38" s="763"/>
      <c r="ID38" s="763"/>
      <c r="IE38" s="763"/>
      <c r="IF38" s="763"/>
      <c r="IG38" s="763"/>
      <c r="IH38" s="763"/>
      <c r="II38" s="763"/>
      <c r="IJ38" s="763"/>
      <c r="IK38" s="763"/>
      <c r="IL38" s="763"/>
      <c r="IM38" s="763"/>
      <c r="IN38" s="763"/>
    </row>
    <row r="39" spans="2:248" s="808" customFormat="1" ht="15.2" customHeight="1" thickTop="1" thickBot="1" x14ac:dyDescent="0.3">
      <c r="B39" s="856"/>
      <c r="C39" s="856"/>
      <c r="D39" s="856"/>
      <c r="E39" s="846"/>
      <c r="F39" s="846"/>
      <c r="G39" s="846"/>
      <c r="H39" s="846"/>
      <c r="I39" s="846"/>
      <c r="J39" s="846"/>
      <c r="K39" s="846"/>
      <c r="L39" s="846"/>
      <c r="M39" s="846"/>
      <c r="N39" s="846"/>
      <c r="O39" s="846"/>
      <c r="P39" s="846"/>
      <c r="Q39" s="846"/>
      <c r="R39" s="846"/>
      <c r="S39" s="846"/>
      <c r="T39" s="846"/>
      <c r="U39" s="846"/>
      <c r="V39" s="846"/>
      <c r="W39" s="80"/>
      <c r="X39" s="807"/>
      <c r="IC39" s="763"/>
      <c r="ID39" s="763"/>
      <c r="IE39" s="763"/>
      <c r="IF39" s="763"/>
      <c r="IG39" s="763"/>
      <c r="IH39" s="763"/>
      <c r="II39" s="763"/>
      <c r="IJ39" s="763"/>
      <c r="IK39" s="763"/>
      <c r="IL39" s="763"/>
      <c r="IM39" s="763"/>
      <c r="IN39" s="763"/>
    </row>
    <row r="40" spans="2:248" s="808" customFormat="1" ht="24.95" customHeight="1" thickTop="1" x14ac:dyDescent="0.25">
      <c r="B40" s="857" t="s">
        <v>891</v>
      </c>
      <c r="C40" s="858"/>
      <c r="D40" s="859" t="s">
        <v>2</v>
      </c>
      <c r="E40" s="850">
        <f>E36</f>
        <v>0</v>
      </c>
      <c r="F40" s="851"/>
      <c r="G40" s="852"/>
      <c r="H40" s="850">
        <f>H36+E40</f>
        <v>0</v>
      </c>
      <c r="I40" s="851"/>
      <c r="J40" s="852"/>
      <c r="K40" s="850">
        <f>K36+H40</f>
        <v>0</v>
      </c>
      <c r="L40" s="851"/>
      <c r="M40" s="852"/>
      <c r="N40" s="850">
        <f>N36+K40</f>
        <v>0</v>
      </c>
      <c r="O40" s="851"/>
      <c r="P40" s="852"/>
      <c r="Q40" s="850">
        <f>Q36+N40</f>
        <v>0</v>
      </c>
      <c r="R40" s="851"/>
      <c r="S40" s="852"/>
      <c r="T40" s="850">
        <f>T36+Q40</f>
        <v>0</v>
      </c>
      <c r="U40" s="851"/>
      <c r="V40" s="860"/>
      <c r="W40" s="80"/>
      <c r="X40" s="807"/>
      <c r="IC40" s="763"/>
      <c r="ID40" s="763"/>
      <c r="IE40" s="763"/>
      <c r="IF40" s="763"/>
      <c r="IG40" s="763"/>
      <c r="IH40" s="763"/>
      <c r="II40" s="763"/>
      <c r="IJ40" s="763"/>
      <c r="IK40" s="763"/>
      <c r="IL40" s="763"/>
      <c r="IM40" s="763"/>
      <c r="IN40" s="763"/>
    </row>
    <row r="41" spans="2:248" s="808" customFormat="1" ht="24.95" customHeight="1" x14ac:dyDescent="0.25">
      <c r="B41" s="857" t="s">
        <v>891</v>
      </c>
      <c r="C41" s="858"/>
      <c r="D41" s="861" t="s">
        <v>2</v>
      </c>
      <c r="E41" s="862">
        <f>E37</f>
        <v>0</v>
      </c>
      <c r="F41" s="862">
        <f>F37</f>
        <v>0</v>
      </c>
      <c r="G41" s="862">
        <f>G37</f>
        <v>0</v>
      </c>
      <c r="H41" s="862">
        <f>H37+E41</f>
        <v>0</v>
      </c>
      <c r="I41" s="862">
        <f>I37+F41</f>
        <v>0</v>
      </c>
      <c r="J41" s="862">
        <f>J37+G41</f>
        <v>0</v>
      </c>
      <c r="K41" s="862">
        <f>K37+H41</f>
        <v>0</v>
      </c>
      <c r="L41" s="862">
        <f>L37+I41</f>
        <v>0</v>
      </c>
      <c r="M41" s="863">
        <f>M37+J41</f>
        <v>0</v>
      </c>
      <c r="N41" s="862">
        <f>N37+K41</f>
        <v>0</v>
      </c>
      <c r="O41" s="862">
        <f>O37+L41</f>
        <v>0</v>
      </c>
      <c r="P41" s="862">
        <f>P37+M41</f>
        <v>0</v>
      </c>
      <c r="Q41" s="864">
        <f>Q37+N41</f>
        <v>0</v>
      </c>
      <c r="R41" s="862">
        <f>R37+O41</f>
        <v>0</v>
      </c>
      <c r="S41" s="863">
        <f>S37+P41</f>
        <v>0</v>
      </c>
      <c r="T41" s="862">
        <f>T37+Q41</f>
        <v>0</v>
      </c>
      <c r="U41" s="862">
        <f>U37+R41</f>
        <v>0</v>
      </c>
      <c r="V41" s="865">
        <f>V37+S41</f>
        <v>0</v>
      </c>
      <c r="W41" s="80"/>
      <c r="X41" s="807"/>
      <c r="IC41" s="763"/>
      <c r="ID41" s="763"/>
      <c r="IE41" s="763"/>
      <c r="IF41" s="763"/>
      <c r="IG41" s="763"/>
      <c r="IH41" s="763"/>
      <c r="II41" s="763"/>
      <c r="IJ41" s="763"/>
      <c r="IK41" s="763"/>
      <c r="IL41" s="763"/>
      <c r="IM41" s="763"/>
      <c r="IN41" s="763"/>
    </row>
    <row r="42" spans="2:248" s="808" customFormat="1" ht="24.95" customHeight="1" x14ac:dyDescent="0.25">
      <c r="B42" s="857" t="s">
        <v>892</v>
      </c>
      <c r="C42" s="858"/>
      <c r="D42" s="861" t="s">
        <v>2</v>
      </c>
      <c r="E42" s="866">
        <f>$D$36-E40</f>
        <v>0</v>
      </c>
      <c r="F42" s="867"/>
      <c r="G42" s="868"/>
      <c r="H42" s="866">
        <f>$D$36-H40</f>
        <v>0</v>
      </c>
      <c r="I42" s="867"/>
      <c r="J42" s="868"/>
      <c r="K42" s="866">
        <f>$D$36-K40</f>
        <v>0</v>
      </c>
      <c r="L42" s="867"/>
      <c r="M42" s="868"/>
      <c r="N42" s="866">
        <f>$D$36-N40</f>
        <v>0</v>
      </c>
      <c r="O42" s="867"/>
      <c r="P42" s="868"/>
      <c r="Q42" s="866">
        <f>$D$36-Q40</f>
        <v>0</v>
      </c>
      <c r="R42" s="867"/>
      <c r="S42" s="868"/>
      <c r="T42" s="866">
        <f>$D$36-T40</f>
        <v>0</v>
      </c>
      <c r="U42" s="867"/>
      <c r="V42" s="869"/>
      <c r="W42" s="80"/>
      <c r="X42" s="807"/>
      <c r="IC42" s="763"/>
      <c r="ID42" s="763"/>
      <c r="IE42" s="763"/>
      <c r="IF42" s="763"/>
      <c r="IG42" s="763"/>
      <c r="IH42" s="763"/>
      <c r="II42" s="763"/>
      <c r="IJ42" s="763"/>
      <c r="IK42" s="763"/>
      <c r="IL42" s="763"/>
      <c r="IM42" s="763"/>
      <c r="IN42" s="763"/>
    </row>
    <row r="43" spans="2:248" s="808" customFormat="1" ht="24.75" customHeight="1" thickBot="1" x14ac:dyDescent="0.3">
      <c r="B43" s="857" t="s">
        <v>892</v>
      </c>
      <c r="C43" s="858"/>
      <c r="D43" s="870" t="s">
        <v>2</v>
      </c>
      <c r="E43" s="871">
        <f>'A IV.A'!$L$175-E41</f>
        <v>0</v>
      </c>
      <c r="F43" s="871">
        <f>'A IV.A'!$L$176-F41</f>
        <v>0</v>
      </c>
      <c r="G43" s="871">
        <f>'A IV.A'!$L$177-G41</f>
        <v>0</v>
      </c>
      <c r="H43" s="871">
        <f>'A IV.A'!$L$175-H41</f>
        <v>0</v>
      </c>
      <c r="I43" s="871">
        <f>'A IV.A'!$L$176-I41</f>
        <v>0</v>
      </c>
      <c r="J43" s="871">
        <f>'A IV.A'!$L$177-J41</f>
        <v>0</v>
      </c>
      <c r="K43" s="871">
        <f>'A IV.A'!$L$175-K41</f>
        <v>0</v>
      </c>
      <c r="L43" s="871">
        <f>'A IV.A'!$L$176-L41</f>
        <v>0</v>
      </c>
      <c r="M43" s="871">
        <f>'A IV.A'!$L$177-M41</f>
        <v>0</v>
      </c>
      <c r="N43" s="871">
        <f>'A IV.A'!$L$175-N41</f>
        <v>0</v>
      </c>
      <c r="O43" s="871">
        <f>'A IV.A'!$L$176-O41</f>
        <v>0</v>
      </c>
      <c r="P43" s="871">
        <f>'A IV.A'!$L$177-P41</f>
        <v>0</v>
      </c>
      <c r="Q43" s="871">
        <f>'A IV.A'!$L$175-Q41</f>
        <v>0</v>
      </c>
      <c r="R43" s="871">
        <f>'A IV.A'!$L$176-R41</f>
        <v>0</v>
      </c>
      <c r="S43" s="871">
        <f>'A IV.A'!$L$177-S41</f>
        <v>0</v>
      </c>
      <c r="T43" s="871">
        <f>'A IV.A'!$L$175-T41</f>
        <v>0</v>
      </c>
      <c r="U43" s="871">
        <f>'A IV.A'!$L$176-U41</f>
        <v>0</v>
      </c>
      <c r="V43" s="872">
        <f>'A IV.A'!$L$177-V41</f>
        <v>0</v>
      </c>
      <c r="W43" s="80"/>
      <c r="X43" s="807"/>
      <c r="IC43" s="763"/>
      <c r="ID43" s="763"/>
      <c r="IE43" s="763"/>
      <c r="IF43" s="763"/>
      <c r="IG43" s="763"/>
      <c r="IH43" s="763"/>
      <c r="II43" s="763"/>
      <c r="IJ43" s="763"/>
      <c r="IK43" s="763"/>
      <c r="IL43" s="763"/>
      <c r="IM43" s="763"/>
      <c r="IN43" s="763"/>
    </row>
    <row r="44" spans="2:248" s="808" customFormat="1" ht="15" customHeight="1" thickTop="1" x14ac:dyDescent="0.25">
      <c r="B44" s="856"/>
      <c r="C44" s="856"/>
      <c r="D44" s="856"/>
      <c r="E44" s="846"/>
      <c r="F44" s="846"/>
      <c r="G44" s="846"/>
      <c r="H44" s="846"/>
      <c r="I44" s="846"/>
      <c r="J44" s="846"/>
      <c r="K44" s="846"/>
      <c r="L44" s="846"/>
      <c r="M44" s="846"/>
      <c r="N44" s="846"/>
      <c r="O44" s="846"/>
      <c r="P44" s="846"/>
      <c r="Q44" s="846"/>
      <c r="R44" s="846"/>
      <c r="S44" s="846"/>
      <c r="T44" s="846"/>
      <c r="U44" s="846"/>
      <c r="V44" s="846"/>
      <c r="W44" s="80"/>
      <c r="X44" s="807"/>
      <c r="IC44" s="763"/>
      <c r="ID44" s="763"/>
      <c r="IE44" s="763"/>
      <c r="IF44" s="763"/>
      <c r="IG44" s="763"/>
      <c r="IH44" s="763"/>
      <c r="II44" s="763"/>
      <c r="IJ44" s="763"/>
      <c r="IK44" s="763"/>
      <c r="IL44" s="763"/>
      <c r="IM44" s="763"/>
      <c r="IN44" s="763"/>
    </row>
    <row r="45" spans="2:248" s="808" customFormat="1" ht="15" customHeight="1" x14ac:dyDescent="0.25">
      <c r="B45" s="856"/>
      <c r="C45" s="856"/>
      <c r="D45" s="856"/>
      <c r="E45" s="846"/>
      <c r="F45" s="846"/>
      <c r="G45" s="846"/>
      <c r="H45" s="846"/>
      <c r="I45" s="846"/>
      <c r="J45" s="846"/>
      <c r="K45" s="846"/>
      <c r="L45" s="846"/>
      <c r="M45" s="846"/>
      <c r="N45" s="846"/>
      <c r="O45" s="846"/>
      <c r="P45" s="846"/>
      <c r="Q45" s="846"/>
      <c r="R45" s="846"/>
      <c r="S45" s="846"/>
      <c r="T45" s="846"/>
      <c r="U45" s="846"/>
      <c r="V45" s="846"/>
      <c r="W45" s="80"/>
      <c r="X45" s="807"/>
      <c r="IC45" s="763"/>
      <c r="ID45" s="763"/>
      <c r="IE45" s="763"/>
      <c r="IF45" s="763"/>
      <c r="IG45" s="763"/>
      <c r="IH45" s="763"/>
      <c r="II45" s="763"/>
      <c r="IJ45" s="763"/>
      <c r="IK45" s="763"/>
      <c r="IL45" s="763"/>
      <c r="IM45" s="763"/>
      <c r="IN45" s="763"/>
    </row>
    <row r="46" spans="2:248" s="808" customFormat="1" ht="15" customHeight="1" x14ac:dyDescent="0.25">
      <c r="B46" s="856"/>
      <c r="C46" s="856"/>
      <c r="D46" s="856"/>
      <c r="E46" s="846"/>
      <c r="F46" s="846"/>
      <c r="G46" s="846"/>
      <c r="H46" s="846"/>
      <c r="I46" s="846"/>
      <c r="J46" s="846"/>
      <c r="K46" s="846"/>
      <c r="L46" s="846"/>
      <c r="M46" s="846"/>
      <c r="N46" s="846"/>
      <c r="O46" s="846"/>
      <c r="P46" s="846"/>
      <c r="Q46" s="846"/>
      <c r="R46" s="846"/>
      <c r="S46" s="846"/>
      <c r="T46" s="846"/>
      <c r="U46" s="846"/>
      <c r="V46" s="846"/>
      <c r="W46" s="80"/>
      <c r="X46" s="807"/>
      <c r="IC46" s="763"/>
      <c r="ID46" s="763"/>
      <c r="IE46" s="763"/>
      <c r="IF46" s="763"/>
      <c r="IG46" s="763"/>
      <c r="IH46" s="763"/>
      <c r="II46" s="763"/>
      <c r="IJ46" s="763"/>
      <c r="IK46" s="763"/>
      <c r="IL46" s="763"/>
      <c r="IM46" s="763"/>
      <c r="IN46" s="763"/>
    </row>
    <row r="47" spans="2:248" s="808" customFormat="1" ht="15" customHeight="1" x14ac:dyDescent="0.25">
      <c r="B47" s="873" t="str">
        <f>'A IV.A'!A203</f>
        <v>Valor Total</v>
      </c>
      <c r="C47" s="873"/>
      <c r="D47" s="873"/>
      <c r="E47" s="873"/>
      <c r="F47" s="873"/>
      <c r="G47" s="873"/>
      <c r="H47" s="873"/>
      <c r="I47" s="873"/>
      <c r="J47" s="873"/>
      <c r="K47" s="873"/>
      <c r="L47" s="873"/>
      <c r="M47" s="873"/>
      <c r="N47" s="873"/>
      <c r="O47" s="873"/>
      <c r="P47" s="873"/>
      <c r="Q47" s="873"/>
      <c r="R47" s="873"/>
      <c r="S47" s="873"/>
      <c r="T47" s="873"/>
      <c r="U47" s="873"/>
      <c r="V47" s="873"/>
      <c r="W47" s="873"/>
      <c r="X47" s="807"/>
      <c r="IC47" s="763"/>
      <c r="ID47" s="763"/>
      <c r="IE47" s="763"/>
      <c r="IF47" s="763"/>
      <c r="IG47" s="763"/>
      <c r="IH47" s="763"/>
      <c r="II47" s="763"/>
      <c r="IJ47" s="763"/>
      <c r="IK47" s="763"/>
      <c r="IL47" s="763"/>
      <c r="IM47" s="763"/>
      <c r="IN47" s="763"/>
    </row>
    <row r="48" spans="2:248" s="808" customFormat="1" ht="15" customHeight="1" thickBot="1" x14ac:dyDescent="0.3">
      <c r="B48" s="874"/>
      <c r="C48" s="874"/>
      <c r="D48" s="874"/>
      <c r="E48" s="875"/>
      <c r="F48" s="875"/>
      <c r="G48" s="875"/>
      <c r="H48" s="875"/>
      <c r="I48" s="875"/>
      <c r="J48" s="875"/>
      <c r="K48" s="875"/>
      <c r="L48" s="875"/>
      <c r="M48" s="875"/>
      <c r="N48" s="875"/>
      <c r="O48" s="875"/>
      <c r="P48" s="875"/>
      <c r="Q48" s="875"/>
      <c r="R48" s="875"/>
      <c r="S48" s="875"/>
      <c r="T48" s="875"/>
      <c r="U48" s="875"/>
      <c r="V48" s="875"/>
      <c r="W48" s="326"/>
      <c r="X48" s="807"/>
      <c r="IC48" s="763"/>
      <c r="ID48" s="763"/>
      <c r="IE48" s="763"/>
      <c r="IF48" s="763"/>
      <c r="IG48" s="763"/>
      <c r="IH48" s="763"/>
      <c r="II48" s="763"/>
      <c r="IJ48" s="763"/>
      <c r="IK48" s="763"/>
      <c r="IL48" s="763"/>
      <c r="IM48" s="763"/>
      <c r="IN48" s="763"/>
    </row>
    <row r="49" spans="2:248" s="808" customFormat="1" ht="24.95" customHeight="1" thickTop="1" x14ac:dyDescent="0.25">
      <c r="B49" s="771"/>
      <c r="C49" s="771"/>
      <c r="D49" s="772"/>
      <c r="E49" s="773" t="s">
        <v>899</v>
      </c>
      <c r="F49" s="774"/>
      <c r="G49" s="775"/>
      <c r="H49" s="776" t="s">
        <v>900</v>
      </c>
      <c r="I49" s="774"/>
      <c r="J49" s="775"/>
      <c r="K49" s="776" t="s">
        <v>901</v>
      </c>
      <c r="L49" s="774"/>
      <c r="M49" s="775"/>
      <c r="N49" s="776" t="s">
        <v>902</v>
      </c>
      <c r="O49" s="774"/>
      <c r="P49" s="775"/>
      <c r="Q49" s="776" t="s">
        <v>903</v>
      </c>
      <c r="R49" s="774"/>
      <c r="S49" s="775"/>
      <c r="T49" s="776" t="s">
        <v>904</v>
      </c>
      <c r="U49" s="774"/>
      <c r="V49" s="777"/>
      <c r="W49" s="760"/>
      <c r="X49" s="807"/>
      <c r="IC49" s="763"/>
      <c r="ID49" s="763"/>
      <c r="IE49" s="763"/>
      <c r="IF49" s="763"/>
      <c r="IG49" s="763"/>
      <c r="IH49" s="763"/>
      <c r="II49" s="763"/>
      <c r="IJ49" s="763"/>
      <c r="IK49" s="763"/>
      <c r="IL49" s="763"/>
      <c r="IM49" s="763"/>
      <c r="IN49" s="763"/>
    </row>
    <row r="50" spans="2:248" s="808" customFormat="1" ht="24.95" customHeight="1" thickBot="1" x14ac:dyDescent="0.3">
      <c r="B50" s="778"/>
      <c r="C50" s="778"/>
      <c r="D50" s="779"/>
      <c r="E50" s="780" t="s">
        <v>19</v>
      </c>
      <c r="F50" s="781" t="s">
        <v>889</v>
      </c>
      <c r="G50" s="782" t="s">
        <v>12</v>
      </c>
      <c r="H50" s="781" t="s">
        <v>19</v>
      </c>
      <c r="I50" s="781" t="s">
        <v>889</v>
      </c>
      <c r="J50" s="782" t="s">
        <v>12</v>
      </c>
      <c r="K50" s="781" t="s">
        <v>19</v>
      </c>
      <c r="L50" s="781" t="s">
        <v>889</v>
      </c>
      <c r="M50" s="782" t="s">
        <v>12</v>
      </c>
      <c r="N50" s="781" t="s">
        <v>19</v>
      </c>
      <c r="O50" s="781" t="s">
        <v>889</v>
      </c>
      <c r="P50" s="782" t="s">
        <v>12</v>
      </c>
      <c r="Q50" s="781" t="s">
        <v>19</v>
      </c>
      <c r="R50" s="781" t="s">
        <v>889</v>
      </c>
      <c r="S50" s="782" t="s">
        <v>12</v>
      </c>
      <c r="T50" s="781" t="s">
        <v>19</v>
      </c>
      <c r="U50" s="781" t="s">
        <v>889</v>
      </c>
      <c r="V50" s="783" t="s">
        <v>12</v>
      </c>
      <c r="W50" s="760"/>
      <c r="X50" s="807"/>
      <c r="IC50" s="763"/>
      <c r="ID50" s="763"/>
      <c r="IE50" s="763"/>
      <c r="IF50" s="763"/>
      <c r="IG50" s="763"/>
      <c r="IH50" s="763"/>
      <c r="II50" s="763"/>
      <c r="IJ50" s="763"/>
      <c r="IK50" s="763"/>
      <c r="IL50" s="763"/>
      <c r="IM50" s="763"/>
      <c r="IN50" s="763"/>
    </row>
    <row r="51" spans="2:248" s="808" customFormat="1" ht="24.95" customHeight="1" thickTop="1" x14ac:dyDescent="0.25">
      <c r="B51" s="784" t="str">
        <f>'A IV.A'!$A$14</f>
        <v>1.0</v>
      </c>
      <c r="C51" s="785" t="str">
        <f>'A IV.A'!$B$14</f>
        <v>CANTEIRO DE OBRAS</v>
      </c>
      <c r="D51" s="786">
        <f>'A IV.A'!$L$14</f>
        <v>0</v>
      </c>
      <c r="E51" s="787">
        <f t="shared" ref="E51" si="7">E52+F52+G52</f>
        <v>0</v>
      </c>
      <c r="F51" s="788"/>
      <c r="G51" s="789"/>
      <c r="H51" s="787">
        <f t="shared" ref="H51" si="8">H52+I52+J52</f>
        <v>0</v>
      </c>
      <c r="I51" s="788"/>
      <c r="J51" s="789"/>
      <c r="K51" s="787">
        <f t="shared" ref="K51" si="9">K52+L52+M52</f>
        <v>0</v>
      </c>
      <c r="L51" s="788"/>
      <c r="M51" s="789"/>
      <c r="N51" s="787">
        <f t="shared" ref="N51" si="10">N52+O52+P52</f>
        <v>0</v>
      </c>
      <c r="O51" s="788"/>
      <c r="P51" s="789"/>
      <c r="Q51" s="787">
        <f t="shared" ref="Q51" si="11">Q52+R52+S52</f>
        <v>0</v>
      </c>
      <c r="R51" s="788"/>
      <c r="S51" s="789"/>
      <c r="T51" s="787">
        <f t="shared" ref="T51" si="12">T52+U52+V52</f>
        <v>0</v>
      </c>
      <c r="U51" s="788"/>
      <c r="V51" s="789"/>
      <c r="W51" s="516">
        <f>N51+Q51+T51+K51+H51+E51+W14</f>
        <v>0</v>
      </c>
      <c r="X51" s="807"/>
      <c r="IC51" s="763"/>
      <c r="ID51" s="763"/>
      <c r="IE51" s="763"/>
      <c r="IF51" s="763"/>
      <c r="IG51" s="763"/>
      <c r="IH51" s="763"/>
      <c r="II51" s="763"/>
      <c r="IJ51" s="763"/>
      <c r="IK51" s="763"/>
      <c r="IL51" s="763"/>
      <c r="IM51" s="763"/>
      <c r="IN51" s="763"/>
    </row>
    <row r="52" spans="2:248" s="808" customFormat="1" ht="24.95" customHeight="1" x14ac:dyDescent="0.25">
      <c r="B52" s="791"/>
      <c r="C52" s="792"/>
      <c r="D52" s="793"/>
      <c r="E52" s="794">
        <f>'A IV.A'!$F$14*0.09/2</f>
        <v>0</v>
      </c>
      <c r="F52" s="794">
        <f>'A IV.A'!$G$14*0.09/2</f>
        <v>0</v>
      </c>
      <c r="G52" s="794">
        <f>'A IV.A'!$H$14*0.09/2</f>
        <v>0</v>
      </c>
      <c r="H52" s="794">
        <f>'A IV.A'!$F$14*0.0811/2</f>
        <v>0</v>
      </c>
      <c r="I52" s="794">
        <f>'A IV.A'!$G$14*0.0811/2</f>
        <v>0</v>
      </c>
      <c r="J52" s="794">
        <f>'A IV.A'!$H$14*0.0811/2</f>
        <v>0</v>
      </c>
      <c r="K52" s="794">
        <f>'A IV.A'!$F$14*0.0811/2</f>
        <v>0</v>
      </c>
      <c r="L52" s="794">
        <f>'A IV.A'!$G$14*0.0811/2</f>
        <v>0</v>
      </c>
      <c r="M52" s="794">
        <f>'A IV.A'!$H$14*0.0811/2</f>
        <v>0</v>
      </c>
      <c r="N52" s="794">
        <f>'A IV.A'!$F$14*0.0811/2</f>
        <v>0</v>
      </c>
      <c r="O52" s="794">
        <f>'A IV.A'!$G$14*0.0811/2</f>
        <v>0</v>
      </c>
      <c r="P52" s="794">
        <f>'A IV.A'!$H$14*0.0811/2</f>
        <v>0</v>
      </c>
      <c r="Q52" s="794">
        <f>'A IV.A'!$F$14*0.0811/2</f>
        <v>0</v>
      </c>
      <c r="R52" s="794">
        <f>'A IV.A'!$G$14*0.0811/2</f>
        <v>0</v>
      </c>
      <c r="S52" s="794">
        <f>'A IV.A'!$H$14*0.0811/2</f>
        <v>0</v>
      </c>
      <c r="T52" s="794">
        <f>'A IV.A'!$F$14*0.0711/2</f>
        <v>0</v>
      </c>
      <c r="U52" s="794">
        <f>'A IV.A'!$G$14*0.0711/2</f>
        <v>0</v>
      </c>
      <c r="V52" s="794">
        <f>'A IV.A'!$H$14*0.0711/2</f>
        <v>0</v>
      </c>
      <c r="W52" s="517"/>
      <c r="X52" s="807"/>
      <c r="IC52" s="763"/>
      <c r="ID52" s="763"/>
      <c r="IE52" s="763"/>
      <c r="IF52" s="763"/>
      <c r="IG52" s="763"/>
      <c r="IH52" s="763"/>
      <c r="II52" s="763"/>
      <c r="IJ52" s="763"/>
      <c r="IK52" s="763"/>
      <c r="IL52" s="763"/>
      <c r="IM52" s="763"/>
      <c r="IN52" s="763"/>
    </row>
    <row r="53" spans="2:248" s="808" customFormat="1" ht="20.100000000000001" customHeight="1" x14ac:dyDescent="0.25">
      <c r="B53" s="795"/>
      <c r="C53" s="796"/>
      <c r="D53" s="797" t="e">
        <f>'A IV.A'!$M$14</f>
        <v>#DIV/0!</v>
      </c>
      <c r="E53" s="798" t="e">
        <f>E51/$D$51</f>
        <v>#DIV/0!</v>
      </c>
      <c r="F53" s="799"/>
      <c r="G53" s="800"/>
      <c r="H53" s="798" t="e">
        <f>H51/$D$51</f>
        <v>#DIV/0!</v>
      </c>
      <c r="I53" s="799"/>
      <c r="J53" s="800"/>
      <c r="K53" s="798" t="e">
        <f>K51/$D$51</f>
        <v>#DIV/0!</v>
      </c>
      <c r="L53" s="799"/>
      <c r="M53" s="800"/>
      <c r="N53" s="798" t="e">
        <f>N51/$D$51</f>
        <v>#DIV/0!</v>
      </c>
      <c r="O53" s="799"/>
      <c r="P53" s="800"/>
      <c r="Q53" s="798" t="e">
        <f>Q51/$D$51</f>
        <v>#DIV/0!</v>
      </c>
      <c r="R53" s="799"/>
      <c r="S53" s="800"/>
      <c r="T53" s="798" t="e">
        <f>T51/$D$51</f>
        <v>#DIV/0!</v>
      </c>
      <c r="U53" s="799"/>
      <c r="V53" s="800"/>
      <c r="W53" s="76" t="e">
        <f>W51/D51</f>
        <v>#DIV/0!</v>
      </c>
      <c r="X53" s="807"/>
      <c r="IC53" s="763"/>
      <c r="ID53" s="763"/>
      <c r="IE53" s="763"/>
      <c r="IF53" s="763"/>
      <c r="IG53" s="763"/>
      <c r="IH53" s="763"/>
      <c r="II53" s="763"/>
      <c r="IJ53" s="763"/>
      <c r="IK53" s="763"/>
      <c r="IL53" s="763"/>
      <c r="IM53" s="763"/>
      <c r="IN53" s="763"/>
    </row>
    <row r="54" spans="2:248" s="808" customFormat="1" ht="24.95" customHeight="1" x14ac:dyDescent="0.25">
      <c r="B54" s="801" t="str">
        <f>'A IV.A'!$A$22</f>
        <v>2.0</v>
      </c>
      <c r="C54" s="802" t="str">
        <f>'A IV.A'!$B$22</f>
        <v>SERVIÇOS INICIAIS</v>
      </c>
      <c r="D54" s="803">
        <f>'A IV.A'!$L$22</f>
        <v>0</v>
      </c>
      <c r="E54" s="804">
        <f>E55+F55+G55</f>
        <v>0</v>
      </c>
      <c r="F54" s="805"/>
      <c r="G54" s="806"/>
      <c r="H54" s="804">
        <f>H55+I55+J55</f>
        <v>0</v>
      </c>
      <c r="I54" s="805"/>
      <c r="J54" s="806"/>
      <c r="K54" s="804">
        <f>K55+L55+M55</f>
        <v>0</v>
      </c>
      <c r="L54" s="805"/>
      <c r="M54" s="806"/>
      <c r="N54" s="804">
        <f>N55+O55+P55</f>
        <v>0</v>
      </c>
      <c r="O54" s="805"/>
      <c r="P54" s="806"/>
      <c r="Q54" s="804">
        <f>Q55+R55+S55</f>
        <v>0</v>
      </c>
      <c r="R54" s="805"/>
      <c r="S54" s="806"/>
      <c r="T54" s="804">
        <f>T55+U55+V55</f>
        <v>0</v>
      </c>
      <c r="U54" s="805"/>
      <c r="V54" s="806"/>
      <c r="W54" s="524">
        <f>N54+Q54+T54+K54+H54+E54+W17</f>
        <v>0</v>
      </c>
      <c r="X54" s="807"/>
      <c r="IC54" s="763"/>
      <c r="ID54" s="763"/>
      <c r="IE54" s="763"/>
      <c r="IF54" s="763"/>
      <c r="IG54" s="763"/>
      <c r="IH54" s="763"/>
      <c r="II54" s="763"/>
      <c r="IJ54" s="763"/>
      <c r="IK54" s="763"/>
      <c r="IL54" s="763"/>
      <c r="IM54" s="763"/>
      <c r="IN54" s="763"/>
    </row>
    <row r="55" spans="2:248" s="808" customFormat="1" ht="24.95" customHeight="1" x14ac:dyDescent="0.25">
      <c r="B55" s="809"/>
      <c r="C55" s="810"/>
      <c r="D55" s="811"/>
      <c r="E55" s="812">
        <f>'A IV.A'!$F$22/12/2</f>
        <v>0</v>
      </c>
      <c r="F55" s="812">
        <f>'A IV.A'!$G$22/12/2</f>
        <v>0</v>
      </c>
      <c r="G55" s="812">
        <f>'A IV.A'!$H$22/12/2</f>
        <v>0</v>
      </c>
      <c r="H55" s="812">
        <f>'A IV.A'!$F$22/12/2</f>
        <v>0</v>
      </c>
      <c r="I55" s="812">
        <f>'A IV.A'!$G$22/12/2</f>
        <v>0</v>
      </c>
      <c r="J55" s="812">
        <f>'A IV.A'!$H$22/12/2</f>
        <v>0</v>
      </c>
      <c r="K55" s="812">
        <f>'A IV.A'!$F$22/12/2</f>
        <v>0</v>
      </c>
      <c r="L55" s="812">
        <f>'A IV.A'!$G$22/12/2</f>
        <v>0</v>
      </c>
      <c r="M55" s="812">
        <f>'A IV.A'!$H$22/12/2</f>
        <v>0</v>
      </c>
      <c r="N55" s="812">
        <f>'A IV.A'!$F$22/12/2</f>
        <v>0</v>
      </c>
      <c r="O55" s="812">
        <f>'A IV.A'!$G$22/12/2</f>
        <v>0</v>
      </c>
      <c r="P55" s="812">
        <f>'A IV.A'!$H$22/12/2</f>
        <v>0</v>
      </c>
      <c r="Q55" s="812">
        <f>'A IV.A'!$F$22/12/2</f>
        <v>0</v>
      </c>
      <c r="R55" s="812">
        <f>'A IV.A'!$G$22/12/2</f>
        <v>0</v>
      </c>
      <c r="S55" s="812">
        <f>'A IV.A'!$H$22/12/2</f>
        <v>0</v>
      </c>
      <c r="T55" s="812">
        <f>'A IV.A'!$F$22/2-Q55-N55-K55-H55-E55-T18-Q18-N18-K18-H18-E18</f>
        <v>0</v>
      </c>
      <c r="U55" s="812">
        <f>'A IV.A'!$G$22/2-R55-O55-L55-I55-F55-U18-R18-O18-L18-I18-F18</f>
        <v>0</v>
      </c>
      <c r="V55" s="812">
        <f>'A IV.A'!$H$22/2-S55-P55-M55-J55-G55-V18-S18-P18-M18-J18-G18</f>
        <v>0</v>
      </c>
      <c r="W55" s="525"/>
      <c r="X55" s="807"/>
      <c r="IC55" s="763"/>
      <c r="ID55" s="763"/>
      <c r="IE55" s="763"/>
      <c r="IF55" s="763"/>
      <c r="IG55" s="763"/>
      <c r="IH55" s="763"/>
      <c r="II55" s="763"/>
      <c r="IJ55" s="763"/>
      <c r="IK55" s="763"/>
      <c r="IL55" s="763"/>
      <c r="IM55" s="763"/>
      <c r="IN55" s="763"/>
    </row>
    <row r="56" spans="2:248" s="808" customFormat="1" ht="20.100000000000001" customHeight="1" x14ac:dyDescent="0.25">
      <c r="B56" s="813"/>
      <c r="C56" s="814"/>
      <c r="D56" s="815" t="e">
        <f>'A IV.A'!$M$22</f>
        <v>#DIV/0!</v>
      </c>
      <c r="E56" s="816" t="e">
        <f>E54/$D$54</f>
        <v>#DIV/0!</v>
      </c>
      <c r="F56" s="817"/>
      <c r="G56" s="818"/>
      <c r="H56" s="816" t="e">
        <f>H54/$D$54</f>
        <v>#DIV/0!</v>
      </c>
      <c r="I56" s="817"/>
      <c r="J56" s="818"/>
      <c r="K56" s="816" t="e">
        <f>K54/$D$54</f>
        <v>#DIV/0!</v>
      </c>
      <c r="L56" s="817"/>
      <c r="M56" s="818"/>
      <c r="N56" s="816" t="e">
        <f>N54/$D$54</f>
        <v>#DIV/0!</v>
      </c>
      <c r="O56" s="817"/>
      <c r="P56" s="818"/>
      <c r="Q56" s="816" t="e">
        <f>Q54/$D$54</f>
        <v>#DIV/0!</v>
      </c>
      <c r="R56" s="817"/>
      <c r="S56" s="818"/>
      <c r="T56" s="816" t="e">
        <f>T54/$D$54</f>
        <v>#DIV/0!</v>
      </c>
      <c r="U56" s="817"/>
      <c r="V56" s="818"/>
      <c r="W56" s="309" t="e">
        <f>W54/D54</f>
        <v>#DIV/0!</v>
      </c>
      <c r="X56" s="807"/>
      <c r="IC56" s="763"/>
      <c r="ID56" s="763"/>
      <c r="IE56" s="763"/>
      <c r="IF56" s="763"/>
      <c r="IG56" s="763"/>
      <c r="IH56" s="763"/>
      <c r="II56" s="763"/>
      <c r="IJ56" s="763"/>
      <c r="IK56" s="763"/>
      <c r="IL56" s="763"/>
      <c r="IM56" s="763"/>
      <c r="IN56" s="763"/>
    </row>
    <row r="57" spans="2:248" s="808" customFormat="1" ht="24.95" customHeight="1" x14ac:dyDescent="0.25">
      <c r="B57" s="819" t="str">
        <f>'A IV.A'!$A$43</f>
        <v>3.0</v>
      </c>
      <c r="C57" s="820" t="str">
        <f>'A IV.A'!$B$43</f>
        <v>FECHAMENTOS, PROTEÇÕES E ALVENARIAS EM GERAL</v>
      </c>
      <c r="D57" s="821">
        <f>'A IV.A'!$L$43</f>
        <v>0</v>
      </c>
      <c r="E57" s="822">
        <f>E58+F58+G58</f>
        <v>0</v>
      </c>
      <c r="F57" s="823"/>
      <c r="G57" s="824"/>
      <c r="H57" s="822">
        <f>H58+I58+J58</f>
        <v>0</v>
      </c>
      <c r="I57" s="823"/>
      <c r="J57" s="824"/>
      <c r="K57" s="822">
        <f>K58+L58+M58</f>
        <v>0</v>
      </c>
      <c r="L57" s="823"/>
      <c r="M57" s="824"/>
      <c r="N57" s="822">
        <f>N58+O58+P58</f>
        <v>0</v>
      </c>
      <c r="O57" s="823"/>
      <c r="P57" s="824"/>
      <c r="Q57" s="822">
        <f>Q58+R58+S58</f>
        <v>0</v>
      </c>
      <c r="R57" s="823"/>
      <c r="S57" s="824"/>
      <c r="T57" s="822">
        <f>T58+U58+V58</f>
        <v>0</v>
      </c>
      <c r="U57" s="823"/>
      <c r="V57" s="824"/>
      <c r="W57" s="521">
        <f>N57+Q57+T57+K57+H57+E57+W20</f>
        <v>0</v>
      </c>
      <c r="X57" s="807"/>
      <c r="IC57" s="763"/>
      <c r="ID57" s="763"/>
      <c r="IE57" s="763"/>
      <c r="IF57" s="763"/>
      <c r="IG57" s="763"/>
      <c r="IH57" s="763"/>
      <c r="II57" s="763"/>
      <c r="IJ57" s="763"/>
      <c r="IK57" s="763"/>
      <c r="IL57" s="763"/>
      <c r="IM57" s="763"/>
      <c r="IN57" s="763"/>
    </row>
    <row r="58" spans="2:248" s="808" customFormat="1" ht="24.95" customHeight="1" x14ac:dyDescent="0.25">
      <c r="B58" s="825"/>
      <c r="C58" s="792"/>
      <c r="D58" s="793"/>
      <c r="E58" s="794">
        <f>'A IV.A'!$F$43*0.09/2</f>
        <v>0</v>
      </c>
      <c r="F58" s="794">
        <f>'A IV.A'!$G$43*0.09/2</f>
        <v>0</v>
      </c>
      <c r="G58" s="794">
        <f>'A IV.A'!$H$43*0.09/2</f>
        <v>0</v>
      </c>
      <c r="H58" s="794">
        <f>'A IV.A'!$F$43*0.1/2</f>
        <v>0</v>
      </c>
      <c r="I58" s="794">
        <f>'A IV.A'!$G$43*0.1/2</f>
        <v>0</v>
      </c>
      <c r="J58" s="794">
        <f>'A IV.A'!$H$43*0.1/2</f>
        <v>0</v>
      </c>
      <c r="K58" s="794">
        <f>'A IV.A'!$F$43*0.11/2</f>
        <v>0</v>
      </c>
      <c r="L58" s="794">
        <f>'A IV.A'!$G$43*0.11/2</f>
        <v>0</v>
      </c>
      <c r="M58" s="794">
        <f>'A IV.A'!$H$43*0.11/2</f>
        <v>0</v>
      </c>
      <c r="N58" s="794">
        <f>'A IV.A'!$F$43*0.11/2</f>
        <v>0</v>
      </c>
      <c r="O58" s="794">
        <f>'A IV.A'!$G$43*0.11/2</f>
        <v>0</v>
      </c>
      <c r="P58" s="794">
        <f>'A IV.A'!$H$43*0.11/2</f>
        <v>0</v>
      </c>
      <c r="Q58" s="794">
        <f>'A IV.A'!$F$43*0.1/2</f>
        <v>0</v>
      </c>
      <c r="R58" s="794">
        <f>'A IV.A'!$G$43*0.1/2</f>
        <v>0</v>
      </c>
      <c r="S58" s="794">
        <f>'A IV.A'!$H$43*0.1/2</f>
        <v>0</v>
      </c>
      <c r="T58" s="794">
        <f>'A IV.A'!$F$43*0.09/2</f>
        <v>0</v>
      </c>
      <c r="U58" s="794">
        <f>'A IV.A'!$G$43*0.09/2</f>
        <v>0</v>
      </c>
      <c r="V58" s="794">
        <f>'A IV.A'!$H$43*0.09/2</f>
        <v>0</v>
      </c>
      <c r="W58" s="517"/>
      <c r="X58" s="807"/>
      <c r="IC58" s="763"/>
      <c r="ID58" s="763"/>
      <c r="IE58" s="763"/>
      <c r="IF58" s="763"/>
      <c r="IG58" s="763"/>
      <c r="IH58" s="763"/>
      <c r="II58" s="763"/>
      <c r="IJ58" s="763"/>
      <c r="IK58" s="763"/>
      <c r="IL58" s="763"/>
      <c r="IM58" s="763"/>
      <c r="IN58" s="763"/>
    </row>
    <row r="59" spans="2:248" s="808" customFormat="1" ht="20.100000000000001" customHeight="1" x14ac:dyDescent="0.25">
      <c r="B59" s="826"/>
      <c r="C59" s="796"/>
      <c r="D59" s="797" t="e">
        <f>'A IV.A'!$M$43</f>
        <v>#DIV/0!</v>
      </c>
      <c r="E59" s="798" t="e">
        <f>E57/$D$57</f>
        <v>#DIV/0!</v>
      </c>
      <c r="F59" s="799"/>
      <c r="G59" s="800"/>
      <c r="H59" s="798" t="e">
        <f>H57/$D$57</f>
        <v>#DIV/0!</v>
      </c>
      <c r="I59" s="799"/>
      <c r="J59" s="800"/>
      <c r="K59" s="798" t="e">
        <f>K57/$D$57</f>
        <v>#DIV/0!</v>
      </c>
      <c r="L59" s="799"/>
      <c r="M59" s="800"/>
      <c r="N59" s="798" t="e">
        <f>N57/$D$57</f>
        <v>#DIV/0!</v>
      </c>
      <c r="O59" s="799"/>
      <c r="P59" s="800"/>
      <c r="Q59" s="798" t="e">
        <f>Q57/$D$57</f>
        <v>#DIV/0!</v>
      </c>
      <c r="R59" s="799"/>
      <c r="S59" s="800"/>
      <c r="T59" s="798" t="e">
        <f>T57/$D$57</f>
        <v>#DIV/0!</v>
      </c>
      <c r="U59" s="799"/>
      <c r="V59" s="800"/>
      <c r="W59" s="76" t="e">
        <f>W57/D57</f>
        <v>#DIV/0!</v>
      </c>
      <c r="X59" s="807"/>
      <c r="IC59" s="763"/>
      <c r="ID59" s="763"/>
      <c r="IE59" s="763"/>
      <c r="IF59" s="763"/>
      <c r="IG59" s="763"/>
      <c r="IH59" s="763"/>
      <c r="II59" s="763"/>
      <c r="IJ59" s="763"/>
      <c r="IK59" s="763"/>
      <c r="IL59" s="763"/>
      <c r="IM59" s="763"/>
      <c r="IN59" s="763"/>
    </row>
    <row r="60" spans="2:248" s="808" customFormat="1" ht="24.95" customHeight="1" x14ac:dyDescent="0.25">
      <c r="B60" s="801" t="str">
        <f>'A IV.A'!$A$112</f>
        <v>4.0</v>
      </c>
      <c r="C60" s="802" t="str">
        <f>'A IV.A'!$B$112</f>
        <v>FORNECIMENTO E INSTALAÇÕES HIDRAULICAS - ITEM 9.0 DO TERMO DE REFERÊNCIA</v>
      </c>
      <c r="D60" s="803">
        <f>'A IV.A'!$L$112</f>
        <v>0</v>
      </c>
      <c r="E60" s="804">
        <f>E61+F61+G61</f>
        <v>0</v>
      </c>
      <c r="F60" s="805"/>
      <c r="G60" s="806"/>
      <c r="H60" s="804">
        <f>H61+I61+J61</f>
        <v>0</v>
      </c>
      <c r="I60" s="805"/>
      <c r="J60" s="806"/>
      <c r="K60" s="804">
        <f>K61+L61+M61</f>
        <v>0</v>
      </c>
      <c r="L60" s="805"/>
      <c r="M60" s="806"/>
      <c r="N60" s="804">
        <f>N61+O61+P61</f>
        <v>0</v>
      </c>
      <c r="O60" s="805"/>
      <c r="P60" s="806"/>
      <c r="Q60" s="804">
        <f>Q61+R61+S61</f>
        <v>0</v>
      </c>
      <c r="R60" s="805"/>
      <c r="S60" s="806"/>
      <c r="T60" s="804">
        <f>T61+U61+V61</f>
        <v>0</v>
      </c>
      <c r="U60" s="805"/>
      <c r="V60" s="806"/>
      <c r="W60" s="524">
        <f>N60+Q60+T60+K60+H60+E60+W23</f>
        <v>0</v>
      </c>
      <c r="X60" s="807"/>
      <c r="IC60" s="763"/>
      <c r="ID60" s="763"/>
      <c r="IE60" s="763"/>
      <c r="IF60" s="763"/>
      <c r="IG60" s="763"/>
      <c r="IH60" s="763"/>
      <c r="II60" s="763"/>
      <c r="IJ60" s="763"/>
      <c r="IK60" s="763"/>
      <c r="IL60" s="763"/>
      <c r="IM60" s="763"/>
      <c r="IN60" s="763"/>
    </row>
    <row r="61" spans="2:248" s="808" customFormat="1" ht="24.95" customHeight="1" x14ac:dyDescent="0.25">
      <c r="B61" s="809"/>
      <c r="C61" s="810"/>
      <c r="D61" s="811"/>
      <c r="E61" s="812">
        <f>'A IV.A'!$F$112/12/2</f>
        <v>0</v>
      </c>
      <c r="F61" s="812">
        <f>'A IV.A'!$G$112/12/2</f>
        <v>0</v>
      </c>
      <c r="G61" s="812">
        <f>'A IV.A'!$H$112/12/2</f>
        <v>0</v>
      </c>
      <c r="H61" s="812">
        <f>'A IV.A'!$F$112/12/2</f>
        <v>0</v>
      </c>
      <c r="I61" s="812">
        <f>'A IV.A'!$G$112/12/2</f>
        <v>0</v>
      </c>
      <c r="J61" s="812">
        <f>'A IV.A'!$H$112/12/2</f>
        <v>0</v>
      </c>
      <c r="K61" s="812">
        <f>'A IV.A'!$F$112/12/2</f>
        <v>0</v>
      </c>
      <c r="L61" s="812">
        <f>'A IV.A'!$G$112/12/2</f>
        <v>0</v>
      </c>
      <c r="M61" s="812">
        <f>'A IV.A'!$H$112/12/2</f>
        <v>0</v>
      </c>
      <c r="N61" s="812">
        <f>'A IV.A'!$F$112/12/2</f>
        <v>0</v>
      </c>
      <c r="O61" s="812">
        <f>'A IV.A'!$G$112/12/2</f>
        <v>0</v>
      </c>
      <c r="P61" s="812">
        <f>'A IV.A'!$H$112/12/2</f>
        <v>0</v>
      </c>
      <c r="Q61" s="812">
        <f>'A IV.A'!$F$112/12/2</f>
        <v>0</v>
      </c>
      <c r="R61" s="812">
        <f>'A IV.A'!$G$112/12/2</f>
        <v>0</v>
      </c>
      <c r="S61" s="812">
        <f>'A IV.A'!$H$112/12/2</f>
        <v>0</v>
      </c>
      <c r="T61" s="812">
        <f>'A IV.A'!$F$112/2-Q61-N61-K61-H61-E61-T24-Q24-N24-K24-H24-E24</f>
        <v>0</v>
      </c>
      <c r="U61" s="812">
        <f>'A IV.A'!$G$112/2-R61-O61-L61-I61-F61-U24-R24-O24-L24-I24-F24</f>
        <v>0</v>
      </c>
      <c r="V61" s="812">
        <f>'A IV.A'!$H$112/2-S61-P61-M61-J61-G61-V24-S24-P24-M24-J24-G24</f>
        <v>0</v>
      </c>
      <c r="W61" s="525"/>
      <c r="X61" s="807"/>
      <c r="IC61" s="763"/>
      <c r="ID61" s="763"/>
      <c r="IE61" s="763"/>
      <c r="IF61" s="763"/>
      <c r="IG61" s="763"/>
      <c r="IH61" s="763"/>
      <c r="II61" s="763"/>
      <c r="IJ61" s="763"/>
      <c r="IK61" s="763"/>
      <c r="IL61" s="763"/>
      <c r="IM61" s="763"/>
      <c r="IN61" s="763"/>
    </row>
    <row r="62" spans="2:248" s="808" customFormat="1" ht="20.100000000000001" customHeight="1" x14ac:dyDescent="0.25">
      <c r="B62" s="813"/>
      <c r="C62" s="814"/>
      <c r="D62" s="815" t="e">
        <f>'A IV.A'!$M$112</f>
        <v>#DIV/0!</v>
      </c>
      <c r="E62" s="816" t="e">
        <f>E60/$D$60</f>
        <v>#DIV/0!</v>
      </c>
      <c r="F62" s="817"/>
      <c r="G62" s="818"/>
      <c r="H62" s="816" t="e">
        <f>H60/$D$60</f>
        <v>#DIV/0!</v>
      </c>
      <c r="I62" s="817"/>
      <c r="J62" s="818"/>
      <c r="K62" s="816" t="e">
        <f>K60/$D$60</f>
        <v>#DIV/0!</v>
      </c>
      <c r="L62" s="817"/>
      <c r="M62" s="818"/>
      <c r="N62" s="816" t="e">
        <f>N60/$D$60</f>
        <v>#DIV/0!</v>
      </c>
      <c r="O62" s="817"/>
      <c r="P62" s="818"/>
      <c r="Q62" s="816" t="e">
        <f>Q60/$D$60</f>
        <v>#DIV/0!</v>
      </c>
      <c r="R62" s="817"/>
      <c r="S62" s="818"/>
      <c r="T62" s="816" t="e">
        <f>T60/$D$60</f>
        <v>#DIV/0!</v>
      </c>
      <c r="U62" s="817"/>
      <c r="V62" s="818"/>
      <c r="W62" s="309" t="e">
        <f>W60/D60</f>
        <v>#DIV/0!</v>
      </c>
      <c r="X62" s="807"/>
      <c r="IC62" s="763"/>
      <c r="ID62" s="763"/>
      <c r="IE62" s="763"/>
      <c r="IF62" s="763"/>
      <c r="IG62" s="763"/>
      <c r="IH62" s="763"/>
      <c r="II62" s="763"/>
      <c r="IJ62" s="763"/>
      <c r="IK62" s="763"/>
      <c r="IL62" s="763"/>
      <c r="IM62" s="763"/>
      <c r="IN62" s="763"/>
    </row>
    <row r="63" spans="2:248" s="808" customFormat="1" ht="24.95" customHeight="1" x14ac:dyDescent="0.25">
      <c r="B63" s="827" t="str">
        <f>'A IV.A'!$A$126</f>
        <v>5.0</v>
      </c>
      <c r="C63" s="828" t="str">
        <f>'A IV.A'!$B$126</f>
        <v>RECUPERAÇÃO E TRATAMENTO DE SUPERFÍCIES EM CONCRETO ARMADO - ITEM 10.0 DO TERMO DE REFERÊNCIA</v>
      </c>
      <c r="D63" s="821">
        <f>'A IV.A'!$L$126</f>
        <v>0</v>
      </c>
      <c r="E63" s="822">
        <f>E64+F64+G64</f>
        <v>0</v>
      </c>
      <c r="F63" s="823"/>
      <c r="G63" s="824"/>
      <c r="H63" s="822">
        <f>H64+I64+J64</f>
        <v>0</v>
      </c>
      <c r="I63" s="823"/>
      <c r="J63" s="824"/>
      <c r="K63" s="822">
        <f>K64+L64+M64</f>
        <v>0</v>
      </c>
      <c r="L63" s="823"/>
      <c r="M63" s="824"/>
      <c r="N63" s="822">
        <f>N64+O64+P64</f>
        <v>0</v>
      </c>
      <c r="O63" s="823"/>
      <c r="P63" s="824"/>
      <c r="Q63" s="822">
        <f>Q64+R64+S64</f>
        <v>0</v>
      </c>
      <c r="R63" s="823"/>
      <c r="S63" s="824"/>
      <c r="T63" s="822">
        <f>T64+U64+V64</f>
        <v>0</v>
      </c>
      <c r="U63" s="823"/>
      <c r="V63" s="824"/>
      <c r="W63" s="521">
        <f>N63+Q63+T63+K63+H63+E63+W26</f>
        <v>0</v>
      </c>
      <c r="X63" s="807"/>
      <c r="IC63" s="763"/>
      <c r="ID63" s="763"/>
      <c r="IE63" s="763"/>
      <c r="IF63" s="763"/>
      <c r="IG63" s="763"/>
      <c r="IH63" s="763"/>
      <c r="II63" s="763"/>
      <c r="IJ63" s="763"/>
      <c r="IK63" s="763"/>
      <c r="IL63" s="763"/>
      <c r="IM63" s="763"/>
      <c r="IN63" s="763"/>
    </row>
    <row r="64" spans="2:248" s="808" customFormat="1" ht="24.95" customHeight="1" x14ac:dyDescent="0.25">
      <c r="B64" s="829"/>
      <c r="C64" s="830"/>
      <c r="D64" s="793"/>
      <c r="E64" s="794">
        <f>'A IV.A'!$F$126/12/2</f>
        <v>0</v>
      </c>
      <c r="F64" s="794">
        <f>'A IV.A'!$G$126/12/2</f>
        <v>0</v>
      </c>
      <c r="G64" s="794">
        <f>'A IV.A'!$H$126/12/2</f>
        <v>0</v>
      </c>
      <c r="H64" s="794">
        <f>'A IV.A'!$F$126/12/2</f>
        <v>0</v>
      </c>
      <c r="I64" s="794">
        <f>'A IV.A'!$G$126/12/2</f>
        <v>0</v>
      </c>
      <c r="J64" s="794">
        <f>'A IV.A'!$H$126/12/2</f>
        <v>0</v>
      </c>
      <c r="K64" s="794">
        <f>'A IV.A'!$F$126/12/2</f>
        <v>0</v>
      </c>
      <c r="L64" s="794">
        <f>'A IV.A'!$G$126/12/2</f>
        <v>0</v>
      </c>
      <c r="M64" s="794">
        <f>'A IV.A'!$H$126/12/2</f>
        <v>0</v>
      </c>
      <c r="N64" s="794">
        <f>'A IV.A'!$F$126/12/2</f>
        <v>0</v>
      </c>
      <c r="O64" s="794">
        <f>'A IV.A'!$G$126/12/2</f>
        <v>0</v>
      </c>
      <c r="P64" s="794">
        <f>'A IV.A'!$H$126/12/2</f>
        <v>0</v>
      </c>
      <c r="Q64" s="794">
        <f>'A IV.A'!$F$126/12/2</f>
        <v>0</v>
      </c>
      <c r="R64" s="794">
        <f>'A IV.A'!$G$126/12/2</f>
        <v>0</v>
      </c>
      <c r="S64" s="794">
        <f>'A IV.A'!$H$126/12/2</f>
        <v>0</v>
      </c>
      <c r="T64" s="794">
        <f>'A IV.A'!$F$126/2-Q64-N64-K64-H64-E64-T27-Q27-N27-K27-H27-E27</f>
        <v>0</v>
      </c>
      <c r="U64" s="794">
        <f>'A IV.A'!$G$126/2-R64-O64-L64-I64-F64-U27-R27-O27-L27-I27-F27</f>
        <v>0</v>
      </c>
      <c r="V64" s="794">
        <f>'A IV.A'!$H$126/2-S64-P64-M64-J64-G64-V27-S27-P27-M27-J27-G27</f>
        <v>0</v>
      </c>
      <c r="W64" s="517"/>
      <c r="X64" s="807"/>
      <c r="IC64" s="763"/>
      <c r="ID64" s="763"/>
      <c r="IE64" s="763"/>
      <c r="IF64" s="763"/>
      <c r="IG64" s="763"/>
      <c r="IH64" s="763"/>
      <c r="II64" s="763"/>
      <c r="IJ64" s="763"/>
      <c r="IK64" s="763"/>
      <c r="IL64" s="763"/>
      <c r="IM64" s="763"/>
      <c r="IN64" s="763"/>
    </row>
    <row r="65" spans="2:248" s="808" customFormat="1" ht="20.100000000000001" customHeight="1" x14ac:dyDescent="0.25">
      <c r="B65" s="831"/>
      <c r="C65" s="832"/>
      <c r="D65" s="797" t="e">
        <f>'A IV.A'!$M$126</f>
        <v>#DIV/0!</v>
      </c>
      <c r="E65" s="798" t="e">
        <f>E63/$D$63</f>
        <v>#DIV/0!</v>
      </c>
      <c r="F65" s="799"/>
      <c r="G65" s="800"/>
      <c r="H65" s="798" t="e">
        <f>H63/$D$63</f>
        <v>#DIV/0!</v>
      </c>
      <c r="I65" s="799"/>
      <c r="J65" s="800"/>
      <c r="K65" s="798" t="e">
        <f>K63/$D$63</f>
        <v>#DIV/0!</v>
      </c>
      <c r="L65" s="799"/>
      <c r="M65" s="800"/>
      <c r="N65" s="798" t="e">
        <f>N63/$D$63</f>
        <v>#DIV/0!</v>
      </c>
      <c r="O65" s="799"/>
      <c r="P65" s="800"/>
      <c r="Q65" s="798" t="e">
        <f>Q63/$D$63</f>
        <v>#DIV/0!</v>
      </c>
      <c r="R65" s="799"/>
      <c r="S65" s="800"/>
      <c r="T65" s="798" t="e">
        <f>T63/$D$63</f>
        <v>#DIV/0!</v>
      </c>
      <c r="U65" s="799"/>
      <c r="V65" s="800"/>
      <c r="W65" s="76" t="e">
        <f>W63/D63</f>
        <v>#DIV/0!</v>
      </c>
      <c r="X65" s="807"/>
      <c r="IC65" s="763"/>
      <c r="ID65" s="763"/>
      <c r="IE65" s="763"/>
      <c r="IF65" s="763"/>
      <c r="IG65" s="763"/>
      <c r="IH65" s="763"/>
      <c r="II65" s="763"/>
      <c r="IJ65" s="763"/>
      <c r="IK65" s="763"/>
      <c r="IL65" s="763"/>
      <c r="IM65" s="763"/>
      <c r="IN65" s="763"/>
    </row>
    <row r="66" spans="2:248" s="808" customFormat="1" ht="24.95" customHeight="1" x14ac:dyDescent="0.25">
      <c r="B66" s="833" t="str">
        <f>'A IV.A'!$A$134</f>
        <v>6.0</v>
      </c>
      <c r="C66" s="834" t="str">
        <f>'A IV.A'!$B$134</f>
        <v>PINTURAS - ITEM 11.0 DO TERMO DE REFERÊNCIA</v>
      </c>
      <c r="D66" s="803">
        <f>'A IV.A'!$L$134</f>
        <v>0</v>
      </c>
      <c r="E66" s="804">
        <f>E67+F67+G67</f>
        <v>0</v>
      </c>
      <c r="F66" s="805"/>
      <c r="G66" s="806"/>
      <c r="H66" s="804">
        <f>H67+I67+J67</f>
        <v>0</v>
      </c>
      <c r="I66" s="805"/>
      <c r="J66" s="806"/>
      <c r="K66" s="804">
        <f>K67+L67+M67</f>
        <v>0</v>
      </c>
      <c r="L66" s="805"/>
      <c r="M66" s="806"/>
      <c r="N66" s="804">
        <f>N67+O67+P67</f>
        <v>0</v>
      </c>
      <c r="O66" s="805"/>
      <c r="P66" s="806"/>
      <c r="Q66" s="804">
        <f>Q67+R67+S67</f>
        <v>0</v>
      </c>
      <c r="R66" s="805"/>
      <c r="S66" s="806"/>
      <c r="T66" s="804">
        <f>T67+U67+V67</f>
        <v>0</v>
      </c>
      <c r="U66" s="805"/>
      <c r="V66" s="806"/>
      <c r="W66" s="524">
        <f>N66+Q66+T66+K66+H66+E66+W29</f>
        <v>0</v>
      </c>
      <c r="X66" s="807"/>
      <c r="IC66" s="763"/>
      <c r="ID66" s="763"/>
      <c r="IE66" s="763"/>
      <c r="IF66" s="763"/>
      <c r="IG66" s="763"/>
      <c r="IH66" s="763"/>
      <c r="II66" s="763"/>
      <c r="IJ66" s="763"/>
      <c r="IK66" s="763"/>
      <c r="IL66" s="763"/>
      <c r="IM66" s="763"/>
      <c r="IN66" s="763"/>
    </row>
    <row r="67" spans="2:248" s="808" customFormat="1" ht="24.95" customHeight="1" x14ac:dyDescent="0.25">
      <c r="B67" s="835"/>
      <c r="C67" s="836"/>
      <c r="D67" s="811"/>
      <c r="E67" s="812">
        <f>'A IV.A'!$F$134*0.08/2</f>
        <v>0</v>
      </c>
      <c r="F67" s="812">
        <f>'A IV.A'!$G$134*0.08/2</f>
        <v>0</v>
      </c>
      <c r="G67" s="812">
        <f>'A IV.A'!$H$134*0.08/2</f>
        <v>0</v>
      </c>
      <c r="H67" s="812">
        <f>'A IV.A'!$F$134/12/2</f>
        <v>0</v>
      </c>
      <c r="I67" s="812">
        <f>'A IV.A'!$G$134/12/2</f>
        <v>0</v>
      </c>
      <c r="J67" s="812">
        <f>'A IV.A'!$H$134/12/2</f>
        <v>0</v>
      </c>
      <c r="K67" s="812">
        <f>'A IV.A'!$F$134/12/2</f>
        <v>0</v>
      </c>
      <c r="L67" s="812">
        <f>'A IV.A'!$G$134/12/2</f>
        <v>0</v>
      </c>
      <c r="M67" s="812">
        <f>'A IV.A'!$H$134/12/2</f>
        <v>0</v>
      </c>
      <c r="N67" s="812">
        <f>'A IV.A'!$F$134/12/2</f>
        <v>0</v>
      </c>
      <c r="O67" s="812">
        <f>'A IV.A'!$G$134/12/2</f>
        <v>0</v>
      </c>
      <c r="P67" s="812">
        <f>'A IV.A'!$H$134/12/2</f>
        <v>0</v>
      </c>
      <c r="Q67" s="812">
        <f>'A IV.A'!$F$134/12/2</f>
        <v>0</v>
      </c>
      <c r="R67" s="812">
        <f>'A IV.A'!$G$134/12/2</f>
        <v>0</v>
      </c>
      <c r="S67" s="812">
        <f>'A IV.A'!$H$134/12/2</f>
        <v>0</v>
      </c>
      <c r="T67" s="812">
        <f>'A IV.A'!$F$134/2-Q67-N67-K67-H67-E67-T30-Q30-N30-K30-H30-E30</f>
        <v>0</v>
      </c>
      <c r="U67" s="812">
        <f>'A IV.A'!$G$134/2-R67-O67-L67-I67-F67-U30-R30-O30-L30-I30-F30</f>
        <v>0</v>
      </c>
      <c r="V67" s="812">
        <f>'A IV.A'!$H$134/2-S67-P67-M67-J67-G67-V30-S30-P30-M30-J30-G30</f>
        <v>0</v>
      </c>
      <c r="W67" s="525"/>
      <c r="X67" s="807"/>
      <c r="IC67" s="763"/>
      <c r="ID67" s="763"/>
      <c r="IE67" s="763"/>
      <c r="IF67" s="763"/>
      <c r="IG67" s="763"/>
      <c r="IH67" s="763"/>
      <c r="II67" s="763"/>
      <c r="IJ67" s="763"/>
      <c r="IK67" s="763"/>
      <c r="IL67" s="763"/>
      <c r="IM67" s="763"/>
      <c r="IN67" s="763"/>
    </row>
    <row r="68" spans="2:248" s="808" customFormat="1" ht="20.100000000000001" customHeight="1" x14ac:dyDescent="0.25">
      <c r="B68" s="837"/>
      <c r="C68" s="838"/>
      <c r="D68" s="815" t="e">
        <f>'A IV.A'!$M$134</f>
        <v>#DIV/0!</v>
      </c>
      <c r="E68" s="816" t="e">
        <f>E66/$D$66</f>
        <v>#DIV/0!</v>
      </c>
      <c r="F68" s="817"/>
      <c r="G68" s="818"/>
      <c r="H68" s="816" t="e">
        <f>H66/$D$66</f>
        <v>#DIV/0!</v>
      </c>
      <c r="I68" s="817"/>
      <c r="J68" s="818"/>
      <c r="K68" s="816" t="e">
        <f>K66/$D$66</f>
        <v>#DIV/0!</v>
      </c>
      <c r="L68" s="817"/>
      <c r="M68" s="818"/>
      <c r="N68" s="816" t="e">
        <f>N66/$D$66</f>
        <v>#DIV/0!</v>
      </c>
      <c r="O68" s="817"/>
      <c r="P68" s="818"/>
      <c r="Q68" s="816" t="e">
        <f>Q66/$D$66</f>
        <v>#DIV/0!</v>
      </c>
      <c r="R68" s="817"/>
      <c r="S68" s="818"/>
      <c r="T68" s="816" t="e">
        <f>T66/$D$66</f>
        <v>#DIV/0!</v>
      </c>
      <c r="U68" s="817"/>
      <c r="V68" s="818"/>
      <c r="W68" s="309" t="e">
        <f>W66/D66</f>
        <v>#DIV/0!</v>
      </c>
      <c r="X68" s="807"/>
      <c r="IC68" s="763"/>
      <c r="ID68" s="763"/>
      <c r="IE68" s="763"/>
      <c r="IF68" s="763"/>
      <c r="IG68" s="763"/>
      <c r="IH68" s="763"/>
      <c r="II68" s="763"/>
      <c r="IJ68" s="763"/>
      <c r="IK68" s="763"/>
      <c r="IL68" s="763"/>
      <c r="IM68" s="763"/>
      <c r="IN68" s="763"/>
    </row>
    <row r="69" spans="2:248" s="808" customFormat="1" ht="24.95" customHeight="1" x14ac:dyDescent="0.25">
      <c r="B69" s="819" t="str">
        <f>'A IV.A'!$A$155</f>
        <v>7.0</v>
      </c>
      <c r="C69" s="820" t="str">
        <f>'A IV.A'!$B$155</f>
        <v>SERVIÇOS COMPLEMENTARES - ITEM 12.0 DO TERMO DE REFERÊNCIA</v>
      </c>
      <c r="D69" s="821">
        <f>'A IV.A'!$L$155</f>
        <v>0</v>
      </c>
      <c r="E69" s="822">
        <f>E70+F70+G70</f>
        <v>0</v>
      </c>
      <c r="F69" s="823"/>
      <c r="G69" s="824"/>
      <c r="H69" s="822">
        <f>H70+I70+J70</f>
        <v>0</v>
      </c>
      <c r="I69" s="823"/>
      <c r="J69" s="824"/>
      <c r="K69" s="822">
        <f>K70+L70+M70</f>
        <v>0</v>
      </c>
      <c r="L69" s="823"/>
      <c r="M69" s="824"/>
      <c r="N69" s="822">
        <f>N70+O70+P70</f>
        <v>0</v>
      </c>
      <c r="O69" s="823"/>
      <c r="P69" s="824"/>
      <c r="Q69" s="822">
        <f>Q70+R70+S70</f>
        <v>0</v>
      </c>
      <c r="R69" s="823"/>
      <c r="S69" s="824"/>
      <c r="T69" s="822">
        <f>T70+U70+V70</f>
        <v>0</v>
      </c>
      <c r="U69" s="823"/>
      <c r="V69" s="824"/>
      <c r="W69" s="521">
        <f>N69+Q69+T69+K69+H69+E69+W32</f>
        <v>0</v>
      </c>
      <c r="X69" s="807"/>
      <c r="IC69" s="763"/>
      <c r="ID69" s="763"/>
      <c r="IE69" s="763"/>
      <c r="IF69" s="763"/>
      <c r="IG69" s="763"/>
      <c r="IH69" s="763"/>
      <c r="II69" s="763"/>
      <c r="IJ69" s="763"/>
      <c r="IK69" s="763"/>
      <c r="IL69" s="763"/>
      <c r="IM69" s="763"/>
      <c r="IN69" s="763"/>
    </row>
    <row r="70" spans="2:248" s="808" customFormat="1" ht="24.95" customHeight="1" x14ac:dyDescent="0.25">
      <c r="B70" s="825"/>
      <c r="C70" s="792"/>
      <c r="D70" s="793"/>
      <c r="E70" s="794">
        <f>'A IV.A'!$F$155*0.12/2</f>
        <v>0</v>
      </c>
      <c r="F70" s="794">
        <f>'A IV.A'!$G$155*0.12/2</f>
        <v>0</v>
      </c>
      <c r="G70" s="794">
        <f>'A IV.A'!$H$155*0.12/2</f>
        <v>0</v>
      </c>
      <c r="H70" s="794">
        <f>'A IV.A'!$F$155*0.07/2</f>
        <v>0</v>
      </c>
      <c r="I70" s="794">
        <f>'A IV.A'!$G$155*0.07/2</f>
        <v>0</v>
      </c>
      <c r="J70" s="794">
        <f>'A IV.A'!$H$155*0.07/2</f>
        <v>0</v>
      </c>
      <c r="K70" s="794">
        <f>'A IV.A'!$F$155*0.07/2</f>
        <v>0</v>
      </c>
      <c r="L70" s="794">
        <f>'A IV.A'!$G$155*0.07/2</f>
        <v>0</v>
      </c>
      <c r="M70" s="794">
        <f>'A IV.A'!$H$155*0.07/2</f>
        <v>0</v>
      </c>
      <c r="N70" s="794">
        <f>'A IV.A'!$F$155*0.07/2</f>
        <v>0</v>
      </c>
      <c r="O70" s="794">
        <f>'A IV.A'!$G$155*0.07/2</f>
        <v>0</v>
      </c>
      <c r="P70" s="794">
        <f>'A IV.A'!$H$155*0.07/2</f>
        <v>0</v>
      </c>
      <c r="Q70" s="794">
        <f>'A IV.A'!$F$155*0.07/2</f>
        <v>0</v>
      </c>
      <c r="R70" s="794">
        <f>'A IV.A'!$G$155*0.07/2</f>
        <v>0</v>
      </c>
      <c r="S70" s="794">
        <f>'A IV.A'!$H$155*0.07/2</f>
        <v>0</v>
      </c>
      <c r="T70" s="794">
        <f>Q70</f>
        <v>0</v>
      </c>
      <c r="U70" s="794">
        <f>R70</f>
        <v>0</v>
      </c>
      <c r="V70" s="794">
        <f>S70</f>
        <v>0</v>
      </c>
      <c r="W70" s="517"/>
      <c r="X70" s="807"/>
      <c r="IC70" s="763"/>
      <c r="ID70" s="763"/>
      <c r="IE70" s="763"/>
      <c r="IF70" s="763"/>
      <c r="IG70" s="763"/>
      <c r="IH70" s="763"/>
      <c r="II70" s="763"/>
      <c r="IJ70" s="763"/>
      <c r="IK70" s="763"/>
      <c r="IL70" s="763"/>
      <c r="IM70" s="763"/>
      <c r="IN70" s="763"/>
    </row>
    <row r="71" spans="2:248" s="808" customFormat="1" ht="20.100000000000001" customHeight="1" thickBot="1" x14ac:dyDescent="0.3">
      <c r="B71" s="839"/>
      <c r="C71" s="840"/>
      <c r="D71" s="841" t="e">
        <f>'A IV.A'!$M$155</f>
        <v>#DIV/0!</v>
      </c>
      <c r="E71" s="842" t="e">
        <f>E69/$D$69</f>
        <v>#DIV/0!</v>
      </c>
      <c r="F71" s="843"/>
      <c r="G71" s="844"/>
      <c r="H71" s="842" t="e">
        <f>H69/$D$69</f>
        <v>#DIV/0!</v>
      </c>
      <c r="I71" s="843"/>
      <c r="J71" s="844"/>
      <c r="K71" s="842" t="e">
        <f>K69/$D$69</f>
        <v>#DIV/0!</v>
      </c>
      <c r="L71" s="843"/>
      <c r="M71" s="844"/>
      <c r="N71" s="842" t="e">
        <f>N69/$D$69</f>
        <v>#DIV/0!</v>
      </c>
      <c r="O71" s="843"/>
      <c r="P71" s="844"/>
      <c r="Q71" s="842" t="e">
        <f>Q69/$D$69</f>
        <v>#DIV/0!</v>
      </c>
      <c r="R71" s="843"/>
      <c r="S71" s="844"/>
      <c r="T71" s="842" t="e">
        <f>T69/$D$69</f>
        <v>#DIV/0!</v>
      </c>
      <c r="U71" s="843"/>
      <c r="V71" s="844"/>
      <c r="W71" s="77" t="e">
        <f>W69/D69</f>
        <v>#DIV/0!</v>
      </c>
      <c r="X71" s="807"/>
      <c r="IC71" s="763"/>
      <c r="ID71" s="763"/>
      <c r="IE71" s="763"/>
      <c r="IF71" s="763"/>
      <c r="IG71" s="763"/>
      <c r="IH71" s="763"/>
      <c r="II71" s="763"/>
      <c r="IJ71" s="763"/>
      <c r="IK71" s="763"/>
      <c r="IL71" s="763"/>
      <c r="IM71" s="763"/>
      <c r="IN71" s="763"/>
    </row>
    <row r="72" spans="2:248" s="808" customFormat="1" ht="15.2" customHeight="1" thickTop="1" thickBot="1" x14ac:dyDescent="0.3">
      <c r="B72" s="845"/>
      <c r="C72" s="845"/>
      <c r="D72" s="845"/>
      <c r="E72" s="846"/>
      <c r="F72" s="847"/>
      <c r="G72" s="846"/>
      <c r="H72" s="846"/>
      <c r="I72" s="847"/>
      <c r="J72" s="846"/>
      <c r="K72" s="846"/>
      <c r="L72" s="847"/>
      <c r="M72" s="846"/>
      <c r="N72" s="846"/>
      <c r="O72" s="847"/>
      <c r="P72" s="846"/>
      <c r="Q72" s="846"/>
      <c r="R72" s="847"/>
      <c r="S72" s="846"/>
      <c r="T72" s="846"/>
      <c r="U72" s="847"/>
      <c r="V72" s="846"/>
      <c r="W72" s="80"/>
      <c r="X72" s="807"/>
      <c r="IC72" s="763"/>
      <c r="ID72" s="763"/>
      <c r="IE72" s="763"/>
      <c r="IF72" s="763"/>
      <c r="IG72" s="763"/>
      <c r="IH72" s="763"/>
      <c r="II72" s="763"/>
      <c r="IJ72" s="763"/>
      <c r="IK72" s="763"/>
      <c r="IL72" s="763"/>
      <c r="IM72" s="763"/>
      <c r="IN72" s="763"/>
    </row>
    <row r="73" spans="2:248" s="808" customFormat="1" ht="24.95" customHeight="1" thickTop="1" x14ac:dyDescent="0.25">
      <c r="B73" s="848" t="s">
        <v>890</v>
      </c>
      <c r="C73" s="849"/>
      <c r="D73" s="522">
        <f>D51+D54+D57+D60+D63+D66+D69</f>
        <v>0</v>
      </c>
      <c r="E73" s="850">
        <f>E74+F74+G74</f>
        <v>0</v>
      </c>
      <c r="F73" s="851"/>
      <c r="G73" s="852"/>
      <c r="H73" s="850">
        <f>H74+I74+J74</f>
        <v>0</v>
      </c>
      <c r="I73" s="851"/>
      <c r="J73" s="852"/>
      <c r="K73" s="853">
        <f>K74+L74+M74</f>
        <v>0</v>
      </c>
      <c r="L73" s="854"/>
      <c r="M73" s="855"/>
      <c r="N73" s="853">
        <f>N74+O74+P74</f>
        <v>0</v>
      </c>
      <c r="O73" s="854"/>
      <c r="P73" s="855"/>
      <c r="Q73" s="853">
        <f>Q74+R74+S74</f>
        <v>0</v>
      </c>
      <c r="R73" s="854"/>
      <c r="S73" s="855"/>
      <c r="T73" s="853">
        <f>T74+U74+V74</f>
        <v>0</v>
      </c>
      <c r="U73" s="854"/>
      <c r="V73" s="855"/>
      <c r="W73" s="516">
        <f>W51+W54+W57+W60+W63+W66+W69</f>
        <v>0</v>
      </c>
      <c r="X73" s="807"/>
      <c r="IC73" s="763"/>
      <c r="ID73" s="763"/>
      <c r="IE73" s="763"/>
      <c r="IF73" s="763"/>
      <c r="IG73" s="763"/>
      <c r="IH73" s="763"/>
      <c r="II73" s="763"/>
      <c r="IJ73" s="763"/>
      <c r="IK73" s="763"/>
      <c r="IL73" s="763"/>
      <c r="IM73" s="763"/>
      <c r="IN73" s="763"/>
    </row>
    <row r="74" spans="2:248" s="808" customFormat="1" ht="24.95" customHeight="1" x14ac:dyDescent="0.25">
      <c r="B74" s="848"/>
      <c r="C74" s="849"/>
      <c r="D74" s="523"/>
      <c r="E74" s="78">
        <f>E64+E61+E58+E55+E52+E67+E70</f>
        <v>0</v>
      </c>
      <c r="F74" s="78">
        <f t="shared" ref="F74:V74" si="13">F64+F61+F58+F55+F52+F67+F70</f>
        <v>0</v>
      </c>
      <c r="G74" s="78">
        <f t="shared" si="13"/>
        <v>0</v>
      </c>
      <c r="H74" s="78">
        <f t="shared" si="13"/>
        <v>0</v>
      </c>
      <c r="I74" s="78">
        <f t="shared" si="13"/>
        <v>0</v>
      </c>
      <c r="J74" s="78">
        <f t="shared" si="13"/>
        <v>0</v>
      </c>
      <c r="K74" s="78">
        <f t="shared" si="13"/>
        <v>0</v>
      </c>
      <c r="L74" s="78">
        <f t="shared" si="13"/>
        <v>0</v>
      </c>
      <c r="M74" s="78">
        <f t="shared" si="13"/>
        <v>0</v>
      </c>
      <c r="N74" s="78">
        <f t="shared" si="13"/>
        <v>0</v>
      </c>
      <c r="O74" s="78">
        <f t="shared" si="13"/>
        <v>0</v>
      </c>
      <c r="P74" s="78">
        <f t="shared" si="13"/>
        <v>0</v>
      </c>
      <c r="Q74" s="78">
        <f t="shared" si="13"/>
        <v>0</v>
      </c>
      <c r="R74" s="78">
        <f t="shared" si="13"/>
        <v>0</v>
      </c>
      <c r="S74" s="78">
        <f t="shared" si="13"/>
        <v>0</v>
      </c>
      <c r="T74" s="78">
        <f t="shared" si="13"/>
        <v>0</v>
      </c>
      <c r="U74" s="78">
        <f t="shared" si="13"/>
        <v>0</v>
      </c>
      <c r="V74" s="78">
        <f t="shared" si="13"/>
        <v>0</v>
      </c>
      <c r="W74" s="517"/>
      <c r="X74" s="876"/>
      <c r="IC74" s="763"/>
      <c r="ID74" s="763"/>
      <c r="IE74" s="763"/>
      <c r="IF74" s="763"/>
      <c r="IG74" s="763"/>
      <c r="IH74" s="763"/>
      <c r="II74" s="763"/>
      <c r="IJ74" s="763"/>
      <c r="IK74" s="763"/>
      <c r="IL74" s="763"/>
      <c r="IM74" s="763"/>
      <c r="IN74" s="763"/>
    </row>
    <row r="75" spans="2:248" s="808" customFormat="1" ht="24.95" customHeight="1" thickBot="1" x14ac:dyDescent="0.3">
      <c r="B75" s="848"/>
      <c r="C75" s="849"/>
      <c r="D75" s="79" t="e">
        <f>D53+D56+D59+D62+D65+D68+D71</f>
        <v>#DIV/0!</v>
      </c>
      <c r="E75" s="518" t="e">
        <f>ROUND(E73/$D$36,6)</f>
        <v>#DIV/0!</v>
      </c>
      <c r="F75" s="519"/>
      <c r="G75" s="520"/>
      <c r="H75" s="518" t="e">
        <f>ROUND(H73/$D$36,6)</f>
        <v>#DIV/0!</v>
      </c>
      <c r="I75" s="519"/>
      <c r="J75" s="520"/>
      <c r="K75" s="518" t="e">
        <f>ROUND(K73/$D$36,6)</f>
        <v>#DIV/0!</v>
      </c>
      <c r="L75" s="519"/>
      <c r="M75" s="520"/>
      <c r="N75" s="518" t="e">
        <f>ROUND(N73/$D$36,6)</f>
        <v>#DIV/0!</v>
      </c>
      <c r="O75" s="519"/>
      <c r="P75" s="520"/>
      <c r="Q75" s="518" t="e">
        <f>ROUND(Q73/$D$36,6)</f>
        <v>#DIV/0!</v>
      </c>
      <c r="R75" s="519"/>
      <c r="S75" s="520"/>
      <c r="T75" s="518" t="e">
        <f>ROUND(T73/$D$36,6)</f>
        <v>#DIV/0!</v>
      </c>
      <c r="U75" s="519"/>
      <c r="V75" s="520"/>
      <c r="W75" s="325" t="e">
        <f>ROUND(N75+Q75+T75+K75+H75+E75+W38,6)</f>
        <v>#DIV/0!</v>
      </c>
      <c r="X75" s="807"/>
      <c r="Y75" s="877"/>
      <c r="IC75" s="763"/>
      <c r="ID75" s="763"/>
      <c r="IE75" s="763"/>
      <c r="IF75" s="763"/>
      <c r="IG75" s="763"/>
      <c r="IH75" s="763"/>
      <c r="II75" s="763"/>
      <c r="IJ75" s="763"/>
      <c r="IK75" s="763"/>
      <c r="IL75" s="763"/>
      <c r="IM75" s="763"/>
      <c r="IN75" s="763"/>
    </row>
    <row r="76" spans="2:248" s="808" customFormat="1" ht="15.2" customHeight="1" thickTop="1" thickBot="1" x14ac:dyDescent="0.3">
      <c r="B76" s="856"/>
      <c r="C76" s="856"/>
      <c r="D76" s="856"/>
      <c r="E76" s="846"/>
      <c r="F76" s="846"/>
      <c r="G76" s="846"/>
      <c r="H76" s="846"/>
      <c r="I76" s="846"/>
      <c r="J76" s="846"/>
      <c r="K76" s="846"/>
      <c r="L76" s="846"/>
      <c r="M76" s="846"/>
      <c r="N76" s="846"/>
      <c r="O76" s="846"/>
      <c r="P76" s="846"/>
      <c r="Q76" s="846"/>
      <c r="R76" s="846"/>
      <c r="S76" s="846"/>
      <c r="T76" s="846"/>
      <c r="U76" s="846"/>
      <c r="V76" s="846"/>
      <c r="W76" s="80"/>
      <c r="X76" s="807"/>
      <c r="IC76" s="763"/>
      <c r="ID76" s="763"/>
      <c r="IE76" s="763"/>
      <c r="IF76" s="763"/>
      <c r="IG76" s="763"/>
      <c r="IH76" s="763"/>
      <c r="II76" s="763"/>
      <c r="IJ76" s="763"/>
      <c r="IK76" s="763"/>
      <c r="IL76" s="763"/>
      <c r="IM76" s="763"/>
      <c r="IN76" s="763"/>
    </row>
    <row r="77" spans="2:248" s="808" customFormat="1" ht="24.95" customHeight="1" thickTop="1" x14ac:dyDescent="0.25">
      <c r="B77" s="857" t="s">
        <v>891</v>
      </c>
      <c r="C77" s="858"/>
      <c r="D77" s="859" t="s">
        <v>2</v>
      </c>
      <c r="E77" s="850">
        <f>E73+T40</f>
        <v>0</v>
      </c>
      <c r="F77" s="851"/>
      <c r="G77" s="852"/>
      <c r="H77" s="850">
        <f>H73+E77</f>
        <v>0</v>
      </c>
      <c r="I77" s="851"/>
      <c r="J77" s="852"/>
      <c r="K77" s="850">
        <f>K73+H77</f>
        <v>0</v>
      </c>
      <c r="L77" s="851"/>
      <c r="M77" s="852"/>
      <c r="N77" s="850">
        <f>N73+K77</f>
        <v>0</v>
      </c>
      <c r="O77" s="851"/>
      <c r="P77" s="852"/>
      <c r="Q77" s="850">
        <f>Q73+N77</f>
        <v>0</v>
      </c>
      <c r="R77" s="851"/>
      <c r="S77" s="852"/>
      <c r="T77" s="850">
        <f>T73+Q77</f>
        <v>0</v>
      </c>
      <c r="U77" s="851"/>
      <c r="V77" s="860"/>
      <c r="W77" s="80"/>
      <c r="X77" s="807"/>
      <c r="IC77" s="763"/>
      <c r="ID77" s="763"/>
      <c r="IE77" s="763"/>
      <c r="IF77" s="763"/>
      <c r="IG77" s="763"/>
      <c r="IH77" s="763"/>
      <c r="II77" s="763"/>
      <c r="IJ77" s="763"/>
      <c r="IK77" s="763"/>
      <c r="IL77" s="763"/>
      <c r="IM77" s="763"/>
      <c r="IN77" s="763"/>
    </row>
    <row r="78" spans="2:248" s="808" customFormat="1" ht="24.95" customHeight="1" x14ac:dyDescent="0.25">
      <c r="B78" s="857" t="s">
        <v>891</v>
      </c>
      <c r="C78" s="858"/>
      <c r="D78" s="861" t="s">
        <v>2</v>
      </c>
      <c r="E78" s="862">
        <f>E74+T41</f>
        <v>0</v>
      </c>
      <c r="F78" s="862">
        <f>F74+U41</f>
        <v>0</v>
      </c>
      <c r="G78" s="862">
        <f>G74+V41</f>
        <v>0</v>
      </c>
      <c r="H78" s="862">
        <f>H74+E78</f>
        <v>0</v>
      </c>
      <c r="I78" s="862">
        <f>I74+F78</f>
        <v>0</v>
      </c>
      <c r="J78" s="862">
        <f>J74+G78</f>
        <v>0</v>
      </c>
      <c r="K78" s="862">
        <f>K74+H78</f>
        <v>0</v>
      </c>
      <c r="L78" s="862">
        <f>L74+I78</f>
        <v>0</v>
      </c>
      <c r="M78" s="863">
        <f>M74+J78</f>
        <v>0</v>
      </c>
      <c r="N78" s="862">
        <f>N74+K78</f>
        <v>0</v>
      </c>
      <c r="O78" s="862">
        <f>O74+L78</f>
        <v>0</v>
      </c>
      <c r="P78" s="862">
        <f>P74+M78</f>
        <v>0</v>
      </c>
      <c r="Q78" s="864">
        <f>Q74+N78</f>
        <v>0</v>
      </c>
      <c r="R78" s="862">
        <f>R74+O78</f>
        <v>0</v>
      </c>
      <c r="S78" s="863">
        <f>S74+P78</f>
        <v>0</v>
      </c>
      <c r="T78" s="862">
        <f>T74+Q78</f>
        <v>0</v>
      </c>
      <c r="U78" s="862">
        <f>U74+R78</f>
        <v>0</v>
      </c>
      <c r="V78" s="865">
        <f>V74+S78</f>
        <v>0</v>
      </c>
      <c r="W78" s="80"/>
      <c r="X78" s="807"/>
      <c r="IC78" s="763"/>
      <c r="ID78" s="763"/>
      <c r="IE78" s="763"/>
      <c r="IF78" s="763"/>
      <c r="IG78" s="763"/>
      <c r="IH78" s="763"/>
      <c r="II78" s="763"/>
      <c r="IJ78" s="763"/>
      <c r="IK78" s="763"/>
      <c r="IL78" s="763"/>
      <c r="IM78" s="763"/>
      <c r="IN78" s="763"/>
    </row>
    <row r="79" spans="2:248" s="808" customFormat="1" ht="24.95" customHeight="1" x14ac:dyDescent="0.25">
      <c r="B79" s="857" t="s">
        <v>892</v>
      </c>
      <c r="C79" s="858"/>
      <c r="D79" s="861" t="s">
        <v>2</v>
      </c>
      <c r="E79" s="866">
        <f>$D$36-E77</f>
        <v>0</v>
      </c>
      <c r="F79" s="867"/>
      <c r="G79" s="868"/>
      <c r="H79" s="866">
        <f>$D$36-H77</f>
        <v>0</v>
      </c>
      <c r="I79" s="867"/>
      <c r="J79" s="868"/>
      <c r="K79" s="866">
        <f>$D$36-K77</f>
        <v>0</v>
      </c>
      <c r="L79" s="867"/>
      <c r="M79" s="868"/>
      <c r="N79" s="866">
        <f>$D$36-N77</f>
        <v>0</v>
      </c>
      <c r="O79" s="867"/>
      <c r="P79" s="868"/>
      <c r="Q79" s="866">
        <f>$D$36-Q77</f>
        <v>0</v>
      </c>
      <c r="R79" s="867"/>
      <c r="S79" s="868"/>
      <c r="T79" s="866">
        <f>$D$36-T77</f>
        <v>0</v>
      </c>
      <c r="U79" s="867"/>
      <c r="V79" s="869"/>
      <c r="W79" s="80"/>
      <c r="X79" s="807"/>
      <c r="IC79" s="763"/>
      <c r="ID79" s="763"/>
      <c r="IE79" s="763"/>
      <c r="IF79" s="763"/>
      <c r="IG79" s="763"/>
      <c r="IH79" s="763"/>
      <c r="II79" s="763"/>
      <c r="IJ79" s="763"/>
      <c r="IK79" s="763"/>
      <c r="IL79" s="763"/>
      <c r="IM79" s="763"/>
      <c r="IN79" s="763"/>
    </row>
    <row r="80" spans="2:248" s="808" customFormat="1" ht="24.95" customHeight="1" thickBot="1" x14ac:dyDescent="0.3">
      <c r="B80" s="857" t="s">
        <v>892</v>
      </c>
      <c r="C80" s="858"/>
      <c r="D80" s="870" t="s">
        <v>2</v>
      </c>
      <c r="E80" s="871">
        <f>'A IV.A'!$L$175-E78</f>
        <v>0</v>
      </c>
      <c r="F80" s="871">
        <f>'A IV.A'!$L$176-F78</f>
        <v>0</v>
      </c>
      <c r="G80" s="871">
        <f>'A IV.A'!$L$177-G78</f>
        <v>0</v>
      </c>
      <c r="H80" s="871">
        <f>'A IV.A'!$L$175-H78</f>
        <v>0</v>
      </c>
      <c r="I80" s="871">
        <f>'A IV.A'!$L$176-I78</f>
        <v>0</v>
      </c>
      <c r="J80" s="871">
        <f>'A IV.A'!$L$177-J78</f>
        <v>0</v>
      </c>
      <c r="K80" s="871">
        <f>'A IV.A'!$L$175-K78</f>
        <v>0</v>
      </c>
      <c r="L80" s="871">
        <f>'A IV.A'!$L$176-L78</f>
        <v>0</v>
      </c>
      <c r="M80" s="871">
        <f>'A IV.A'!$L$177-M78</f>
        <v>0</v>
      </c>
      <c r="N80" s="871">
        <f>'A IV.A'!$L$175-N78</f>
        <v>0</v>
      </c>
      <c r="O80" s="871">
        <f>'A IV.A'!$L$176-O78</f>
        <v>0</v>
      </c>
      <c r="P80" s="871">
        <f>'A IV.A'!$L$177-P78</f>
        <v>0</v>
      </c>
      <c r="Q80" s="871">
        <f>'A IV.A'!$L$175-Q78</f>
        <v>0</v>
      </c>
      <c r="R80" s="871">
        <f>'A IV.A'!$L$176-R78</f>
        <v>0</v>
      </c>
      <c r="S80" s="871">
        <f>'A IV.A'!$L$177-S78</f>
        <v>0</v>
      </c>
      <c r="T80" s="871">
        <f>'A IV.A'!$L$175-T78</f>
        <v>0</v>
      </c>
      <c r="U80" s="871">
        <f>'A IV.A'!$L$176-U78</f>
        <v>0</v>
      </c>
      <c r="V80" s="872">
        <f>'A IV.A'!$L$177-V78</f>
        <v>0</v>
      </c>
      <c r="W80" s="80"/>
      <c r="X80" s="807"/>
      <c r="IC80" s="763"/>
      <c r="ID80" s="763"/>
      <c r="IE80" s="763"/>
      <c r="IF80" s="763"/>
      <c r="IG80" s="763"/>
      <c r="IH80" s="763"/>
      <c r="II80" s="763"/>
      <c r="IJ80" s="763"/>
      <c r="IK80" s="763"/>
      <c r="IL80" s="763"/>
      <c r="IM80" s="763"/>
      <c r="IN80" s="763"/>
    </row>
    <row r="81" spans="2:248" s="808" customFormat="1" ht="15" customHeight="1" thickTop="1" x14ac:dyDescent="0.25">
      <c r="B81" s="856"/>
      <c r="C81" s="856"/>
      <c r="D81" s="856"/>
      <c r="E81" s="846"/>
      <c r="F81" s="846"/>
      <c r="G81" s="846"/>
      <c r="H81" s="846"/>
      <c r="I81" s="846"/>
      <c r="J81" s="846"/>
      <c r="K81" s="846"/>
      <c r="L81" s="846"/>
      <c r="M81" s="846"/>
      <c r="N81" s="846"/>
      <c r="O81" s="846"/>
      <c r="P81" s="846"/>
      <c r="Q81" s="846"/>
      <c r="R81" s="846"/>
      <c r="S81" s="846"/>
      <c r="T81" s="846"/>
      <c r="U81" s="846"/>
      <c r="V81" s="846"/>
      <c r="W81" s="80"/>
      <c r="X81" s="807"/>
      <c r="IC81" s="763"/>
      <c r="ID81" s="763"/>
      <c r="IE81" s="763"/>
      <c r="IF81" s="763"/>
      <c r="IG81" s="763"/>
      <c r="IH81" s="763"/>
      <c r="II81" s="763"/>
      <c r="IJ81" s="763"/>
      <c r="IK81" s="763"/>
      <c r="IL81" s="763"/>
      <c r="IM81" s="763"/>
      <c r="IN81" s="763"/>
    </row>
    <row r="82" spans="2:248" s="808" customFormat="1" ht="15" customHeight="1" x14ac:dyDescent="0.25">
      <c r="B82" s="856"/>
      <c r="C82" s="856"/>
      <c r="D82" s="856"/>
      <c r="E82" s="846"/>
      <c r="F82" s="846"/>
      <c r="G82" s="846"/>
      <c r="H82" s="846"/>
      <c r="I82" s="846"/>
      <c r="J82" s="846"/>
      <c r="K82" s="846"/>
      <c r="L82" s="846"/>
      <c r="M82" s="846"/>
      <c r="N82" s="846"/>
      <c r="O82" s="846"/>
      <c r="P82" s="846"/>
      <c r="Q82" s="846"/>
      <c r="R82" s="846"/>
      <c r="S82" s="846"/>
      <c r="T82" s="846"/>
      <c r="U82" s="846"/>
      <c r="V82" s="846"/>
      <c r="W82" s="80"/>
      <c r="X82" s="807"/>
      <c r="IC82" s="763"/>
      <c r="ID82" s="763"/>
      <c r="IE82" s="763"/>
      <c r="IF82" s="763"/>
      <c r="IG82" s="763"/>
      <c r="IH82" s="763"/>
      <c r="II82" s="763"/>
      <c r="IJ82" s="763"/>
      <c r="IK82" s="763"/>
      <c r="IL82" s="763"/>
      <c r="IM82" s="763"/>
      <c r="IN82" s="763"/>
    </row>
    <row r="83" spans="2:248" s="808" customFormat="1" ht="15" customHeight="1" x14ac:dyDescent="0.25">
      <c r="B83" s="856"/>
      <c r="C83" s="856"/>
      <c r="D83" s="856"/>
      <c r="E83" s="846"/>
      <c r="F83" s="846"/>
      <c r="G83" s="846"/>
      <c r="H83" s="846"/>
      <c r="I83" s="846"/>
      <c r="J83" s="846"/>
      <c r="K83" s="846"/>
      <c r="L83" s="846"/>
      <c r="M83" s="846"/>
      <c r="N83" s="846"/>
      <c r="O83" s="846"/>
      <c r="P83" s="846"/>
      <c r="Q83" s="846"/>
      <c r="R83" s="846"/>
      <c r="S83" s="846"/>
      <c r="T83" s="846"/>
      <c r="U83" s="846"/>
      <c r="V83" s="846"/>
      <c r="W83" s="80"/>
      <c r="X83" s="807"/>
      <c r="IC83" s="763"/>
      <c r="ID83" s="763"/>
      <c r="IE83" s="763"/>
      <c r="IF83" s="763"/>
      <c r="IG83" s="763"/>
      <c r="IH83" s="763"/>
      <c r="II83" s="763"/>
      <c r="IJ83" s="763"/>
      <c r="IK83" s="763"/>
      <c r="IL83" s="763"/>
      <c r="IM83" s="763"/>
      <c r="IN83" s="763"/>
    </row>
    <row r="84" spans="2:248" s="808" customFormat="1" ht="15" customHeight="1" x14ac:dyDescent="0.25">
      <c r="B84" s="873" t="str">
        <f>B47</f>
        <v>Valor Total</v>
      </c>
      <c r="C84" s="873"/>
      <c r="D84" s="873"/>
      <c r="E84" s="873"/>
      <c r="F84" s="873"/>
      <c r="G84" s="873"/>
      <c r="H84" s="873"/>
      <c r="I84" s="873"/>
      <c r="J84" s="873"/>
      <c r="K84" s="873"/>
      <c r="L84" s="873"/>
      <c r="M84" s="873"/>
      <c r="N84" s="873"/>
      <c r="O84" s="873"/>
      <c r="P84" s="873"/>
      <c r="Q84" s="873"/>
      <c r="R84" s="873"/>
      <c r="S84" s="873"/>
      <c r="T84" s="873"/>
      <c r="U84" s="873"/>
      <c r="V84" s="873"/>
      <c r="W84" s="873"/>
      <c r="X84" s="807"/>
      <c r="IC84" s="763"/>
      <c r="ID84" s="763"/>
      <c r="IE84" s="763"/>
      <c r="IF84" s="763"/>
      <c r="IG84" s="763"/>
      <c r="IH84" s="763"/>
      <c r="II84" s="763"/>
      <c r="IJ84" s="763"/>
      <c r="IK84" s="763"/>
      <c r="IL84" s="763"/>
      <c r="IM84" s="763"/>
      <c r="IN84" s="763"/>
    </row>
    <row r="85" spans="2:248" s="808" customFormat="1" ht="15" customHeight="1" thickBot="1" x14ac:dyDescent="0.3">
      <c r="B85" s="874"/>
      <c r="C85" s="874"/>
      <c r="D85" s="874"/>
      <c r="E85" s="875"/>
      <c r="F85" s="875"/>
      <c r="G85" s="875"/>
      <c r="H85" s="875"/>
      <c r="I85" s="875"/>
      <c r="J85" s="875"/>
      <c r="K85" s="875"/>
      <c r="L85" s="875"/>
      <c r="M85" s="875"/>
      <c r="N85" s="875"/>
      <c r="O85" s="875"/>
      <c r="P85" s="875"/>
      <c r="Q85" s="875"/>
      <c r="R85" s="875"/>
      <c r="S85" s="875"/>
      <c r="T85" s="875"/>
      <c r="U85" s="875"/>
      <c r="V85" s="875"/>
      <c r="W85" s="326"/>
      <c r="X85" s="807"/>
      <c r="IC85" s="763"/>
      <c r="ID85" s="763"/>
      <c r="IE85" s="763"/>
      <c r="IF85" s="763"/>
      <c r="IG85" s="763"/>
      <c r="IH85" s="763"/>
      <c r="II85" s="763"/>
      <c r="IJ85" s="763"/>
      <c r="IK85" s="763"/>
      <c r="IL85" s="763"/>
      <c r="IM85" s="763"/>
      <c r="IN85" s="763"/>
    </row>
    <row r="86" spans="2:248" ht="24.95" customHeight="1" thickTop="1" x14ac:dyDescent="0.25">
      <c r="B86" s="771"/>
      <c r="C86" s="771"/>
      <c r="D86" s="772"/>
      <c r="E86" s="773" t="s">
        <v>1143</v>
      </c>
      <c r="F86" s="774"/>
      <c r="G86" s="775"/>
      <c r="H86" s="776" t="s">
        <v>1145</v>
      </c>
      <c r="I86" s="774"/>
      <c r="J86" s="775"/>
      <c r="K86" s="776" t="s">
        <v>1144</v>
      </c>
      <c r="L86" s="774"/>
      <c r="M86" s="775"/>
      <c r="N86" s="776" t="s">
        <v>1146</v>
      </c>
      <c r="O86" s="774"/>
      <c r="P86" s="775"/>
      <c r="Q86" s="776" t="s">
        <v>1147</v>
      </c>
      <c r="R86" s="774"/>
      <c r="S86" s="775"/>
      <c r="T86" s="776" t="s">
        <v>1148</v>
      </c>
      <c r="U86" s="774"/>
      <c r="V86" s="777"/>
    </row>
    <row r="87" spans="2:248" ht="24.95" customHeight="1" thickBot="1" x14ac:dyDescent="0.3">
      <c r="B87" s="778"/>
      <c r="C87" s="778"/>
      <c r="D87" s="779"/>
      <c r="E87" s="780" t="s">
        <v>19</v>
      </c>
      <c r="F87" s="781" t="s">
        <v>889</v>
      </c>
      <c r="G87" s="782" t="s">
        <v>12</v>
      </c>
      <c r="H87" s="781" t="s">
        <v>19</v>
      </c>
      <c r="I87" s="781" t="s">
        <v>889</v>
      </c>
      <c r="J87" s="782" t="s">
        <v>12</v>
      </c>
      <c r="K87" s="781" t="s">
        <v>19</v>
      </c>
      <c r="L87" s="781" t="s">
        <v>889</v>
      </c>
      <c r="M87" s="782" t="s">
        <v>12</v>
      </c>
      <c r="N87" s="781" t="s">
        <v>19</v>
      </c>
      <c r="O87" s="781" t="s">
        <v>889</v>
      </c>
      <c r="P87" s="782" t="s">
        <v>12</v>
      </c>
      <c r="Q87" s="781" t="s">
        <v>19</v>
      </c>
      <c r="R87" s="781" t="s">
        <v>889</v>
      </c>
      <c r="S87" s="782" t="s">
        <v>12</v>
      </c>
      <c r="T87" s="781" t="s">
        <v>19</v>
      </c>
      <c r="U87" s="781" t="s">
        <v>889</v>
      </c>
      <c r="V87" s="783" t="s">
        <v>12</v>
      </c>
    </row>
    <row r="88" spans="2:248" ht="24.95" customHeight="1" thickTop="1" x14ac:dyDescent="0.25">
      <c r="B88" s="784" t="str">
        <f>'A IV.A'!$A$14</f>
        <v>1.0</v>
      </c>
      <c r="C88" s="785" t="str">
        <f>'A IV.A'!$B$14</f>
        <v>CANTEIRO DE OBRAS</v>
      </c>
      <c r="D88" s="786">
        <f>'A IV.A'!$L$14</f>
        <v>0</v>
      </c>
      <c r="E88" s="787">
        <f t="shared" ref="E88" si="14">E89+F89+G89</f>
        <v>0</v>
      </c>
      <c r="F88" s="788"/>
      <c r="G88" s="789"/>
      <c r="H88" s="787">
        <f t="shared" ref="H88" si="15">H89+I89+J89</f>
        <v>0</v>
      </c>
      <c r="I88" s="788"/>
      <c r="J88" s="789"/>
      <c r="K88" s="787">
        <f t="shared" ref="K88" si="16">K89+L89+M89</f>
        <v>0</v>
      </c>
      <c r="L88" s="788"/>
      <c r="M88" s="789"/>
      <c r="N88" s="787">
        <f t="shared" ref="N88" si="17">N89+O89+P89</f>
        <v>0</v>
      </c>
      <c r="O88" s="788"/>
      <c r="P88" s="789"/>
      <c r="Q88" s="787">
        <f t="shared" ref="Q88" si="18">Q89+R89+S89</f>
        <v>0</v>
      </c>
      <c r="R88" s="788"/>
      <c r="S88" s="789"/>
      <c r="T88" s="787">
        <f t="shared" ref="T88" si="19">T89+U89+V89</f>
        <v>0</v>
      </c>
      <c r="U88" s="788"/>
      <c r="V88" s="789"/>
      <c r="W88" s="516">
        <f>N88+Q88+T88+K88+H88+E88+W51</f>
        <v>0</v>
      </c>
    </row>
    <row r="89" spans="2:248" ht="24.95" customHeight="1" x14ac:dyDescent="0.25">
      <c r="B89" s="791"/>
      <c r="C89" s="792"/>
      <c r="D89" s="793"/>
      <c r="E89" s="794">
        <f>'A IV.A'!$F$14*0.0819/2</f>
        <v>0</v>
      </c>
      <c r="F89" s="794">
        <f>'A IV.A'!$G$14*0.0819/2</f>
        <v>0</v>
      </c>
      <c r="G89" s="794">
        <f>'A IV.A'!$H$14*0.0819/2</f>
        <v>0</v>
      </c>
      <c r="H89" s="794">
        <f>'A IV.A'!$F$14*0.0842/2</f>
        <v>0</v>
      </c>
      <c r="I89" s="794">
        <f>'A IV.A'!$G$14*0.0842/2</f>
        <v>0</v>
      </c>
      <c r="J89" s="794">
        <f>'A IV.A'!$H$14*0.0842/2</f>
        <v>0</v>
      </c>
      <c r="K89" s="794">
        <f>'A IV.A'!$F$14*0.0842/2</f>
        <v>0</v>
      </c>
      <c r="L89" s="794">
        <f>'A IV.A'!$G$14*0.0842/2</f>
        <v>0</v>
      </c>
      <c r="M89" s="794">
        <f>'A IV.A'!$H$14*0.0842/2</f>
        <v>0</v>
      </c>
      <c r="N89" s="794">
        <f>'A IV.A'!$F$14*0.0842/2</f>
        <v>0</v>
      </c>
      <c r="O89" s="794">
        <f>'A IV.A'!$G$14*0.0842/2</f>
        <v>0</v>
      </c>
      <c r="P89" s="794">
        <f>'A IV.A'!$H$14*0.0842/2</f>
        <v>0</v>
      </c>
      <c r="Q89" s="794">
        <f>'A IV.A'!$F$14*0.09/2</f>
        <v>0</v>
      </c>
      <c r="R89" s="794">
        <f>'A IV.A'!$G$14*0.09/2</f>
        <v>0</v>
      </c>
      <c r="S89" s="794">
        <f>'A IV.A'!$H$14*0.09/2</f>
        <v>0</v>
      </c>
      <c r="T89" s="794">
        <f>'A IV.A'!$F$14*0.09/2</f>
        <v>0</v>
      </c>
      <c r="U89" s="794">
        <f>'A IV.A'!$G$14*0.09/2</f>
        <v>0</v>
      </c>
      <c r="V89" s="794">
        <f>'A IV.A'!$H$14*0.09/2</f>
        <v>0</v>
      </c>
      <c r="W89" s="517"/>
    </row>
    <row r="90" spans="2:248" ht="24.95" customHeight="1" x14ac:dyDescent="0.25">
      <c r="B90" s="795"/>
      <c r="C90" s="796"/>
      <c r="D90" s="797" t="e">
        <f>'A IV.A'!$M$14</f>
        <v>#DIV/0!</v>
      </c>
      <c r="E90" s="798" t="e">
        <f>E88/$D$51</f>
        <v>#DIV/0!</v>
      </c>
      <c r="F90" s="799"/>
      <c r="G90" s="800"/>
      <c r="H90" s="798" t="e">
        <f>H88/$D$51</f>
        <v>#DIV/0!</v>
      </c>
      <c r="I90" s="799"/>
      <c r="J90" s="800"/>
      <c r="K90" s="798" t="e">
        <f>K88/$D$51</f>
        <v>#DIV/0!</v>
      </c>
      <c r="L90" s="799"/>
      <c r="M90" s="800"/>
      <c r="N90" s="798" t="e">
        <f>N88/$D$51</f>
        <v>#DIV/0!</v>
      </c>
      <c r="O90" s="799"/>
      <c r="P90" s="800"/>
      <c r="Q90" s="798" t="e">
        <f>Q88/$D$51</f>
        <v>#DIV/0!</v>
      </c>
      <c r="R90" s="799"/>
      <c r="S90" s="800"/>
      <c r="T90" s="798" t="e">
        <f>T88/$D$51</f>
        <v>#DIV/0!</v>
      </c>
      <c r="U90" s="799"/>
      <c r="V90" s="800"/>
      <c r="W90" s="76" t="e">
        <f>W88/D88</f>
        <v>#DIV/0!</v>
      </c>
    </row>
    <row r="91" spans="2:248" ht="24.95" customHeight="1" x14ac:dyDescent="0.25">
      <c r="B91" s="801" t="str">
        <f>'A IV.A'!$A$22</f>
        <v>2.0</v>
      </c>
      <c r="C91" s="802" t="str">
        <f>'A IV.A'!$B$22</f>
        <v>SERVIÇOS INICIAIS</v>
      </c>
      <c r="D91" s="803">
        <f>'A IV.A'!$L$22</f>
        <v>0</v>
      </c>
      <c r="E91" s="804">
        <f>E92+F92+G92</f>
        <v>0</v>
      </c>
      <c r="F91" s="805"/>
      <c r="G91" s="806"/>
      <c r="H91" s="804">
        <f>H92+I92+J92</f>
        <v>0</v>
      </c>
      <c r="I91" s="805"/>
      <c r="J91" s="806"/>
      <c r="K91" s="804">
        <f>K92+L92+M92</f>
        <v>0</v>
      </c>
      <c r="L91" s="805"/>
      <c r="M91" s="806"/>
      <c r="N91" s="804">
        <f>N92+O92+P92</f>
        <v>0</v>
      </c>
      <c r="O91" s="805"/>
      <c r="P91" s="806"/>
      <c r="Q91" s="804">
        <f>Q92+R92+S92</f>
        <v>0</v>
      </c>
      <c r="R91" s="805"/>
      <c r="S91" s="806"/>
      <c r="T91" s="804">
        <f>T92+U92+V92</f>
        <v>0</v>
      </c>
      <c r="U91" s="805"/>
      <c r="V91" s="806"/>
      <c r="W91" s="524">
        <f>N91+Q91+T91+K91+H91+E91+W54</f>
        <v>0</v>
      </c>
    </row>
    <row r="92" spans="2:248" ht="24.95" customHeight="1" x14ac:dyDescent="0.25">
      <c r="B92" s="809"/>
      <c r="C92" s="810"/>
      <c r="D92" s="811"/>
      <c r="E92" s="812">
        <f>'A IV.A'!$F$22*0.09/2</f>
        <v>0</v>
      </c>
      <c r="F92" s="812">
        <f>'A IV.A'!$G$22*0.09/2</f>
        <v>0</v>
      </c>
      <c r="G92" s="812">
        <f>'A IV.A'!$H$22*0.09/2</f>
        <v>0</v>
      </c>
      <c r="H92" s="812">
        <f>'A IV.A'!$F$22*0.09/2</f>
        <v>0</v>
      </c>
      <c r="I92" s="812">
        <f>'A IV.A'!$G$22*0.09/2</f>
        <v>0</v>
      </c>
      <c r="J92" s="812">
        <f>'A IV.A'!$H$22*0.09/2</f>
        <v>0</v>
      </c>
      <c r="K92" s="812">
        <f>'A IV.A'!$F$22*0.09/2</f>
        <v>0</v>
      </c>
      <c r="L92" s="812">
        <f>'A IV.A'!$G$22*0.09/2</f>
        <v>0</v>
      </c>
      <c r="M92" s="812">
        <f>'A IV.A'!$H$22*0.09/2</f>
        <v>0</v>
      </c>
      <c r="N92" s="812">
        <f>'A IV.A'!$F$22*0.09/2</f>
        <v>0</v>
      </c>
      <c r="O92" s="812">
        <f>'A IV.A'!$G$22*0.09/2</f>
        <v>0</v>
      </c>
      <c r="P92" s="812">
        <f>'A IV.A'!$H$22*0.09/2</f>
        <v>0</v>
      </c>
      <c r="Q92" s="812">
        <f>'A IV.A'!$F$22/12/2</f>
        <v>0</v>
      </c>
      <c r="R92" s="812">
        <f>'A IV.A'!$G$22/12/2</f>
        <v>0</v>
      </c>
      <c r="S92" s="812">
        <f>'A IV.A'!$H$22/12/2</f>
        <v>0</v>
      </c>
      <c r="T92" s="812">
        <f>'A IV.A'!$F$22/12/2</f>
        <v>0</v>
      </c>
      <c r="U92" s="812">
        <f>'A IV.A'!$G$22/12/2</f>
        <v>0</v>
      </c>
      <c r="V92" s="812">
        <f>'A IV.A'!$H$22/12/2</f>
        <v>0</v>
      </c>
      <c r="W92" s="525"/>
    </row>
    <row r="93" spans="2:248" ht="24.95" customHeight="1" x14ac:dyDescent="0.25">
      <c r="B93" s="813"/>
      <c r="C93" s="814"/>
      <c r="D93" s="815" t="e">
        <f>'A IV.A'!$M$22</f>
        <v>#DIV/0!</v>
      </c>
      <c r="E93" s="816" t="e">
        <f>E91/$D$54</f>
        <v>#DIV/0!</v>
      </c>
      <c r="F93" s="817"/>
      <c r="G93" s="818"/>
      <c r="H93" s="816" t="e">
        <f>H91/$D$54</f>
        <v>#DIV/0!</v>
      </c>
      <c r="I93" s="817"/>
      <c r="J93" s="818"/>
      <c r="K93" s="816" t="e">
        <f>K91/$D$54</f>
        <v>#DIV/0!</v>
      </c>
      <c r="L93" s="817"/>
      <c r="M93" s="818"/>
      <c r="N93" s="816" t="e">
        <f>N91/$D$54</f>
        <v>#DIV/0!</v>
      </c>
      <c r="O93" s="817"/>
      <c r="P93" s="818"/>
      <c r="Q93" s="816" t="e">
        <f>Q91/$D$54</f>
        <v>#DIV/0!</v>
      </c>
      <c r="R93" s="817"/>
      <c r="S93" s="818"/>
      <c r="T93" s="816" t="e">
        <f>T91/$D$54</f>
        <v>#DIV/0!</v>
      </c>
      <c r="U93" s="817"/>
      <c r="V93" s="818"/>
      <c r="W93" s="309" t="e">
        <f>W91/D91</f>
        <v>#DIV/0!</v>
      </c>
    </row>
    <row r="94" spans="2:248" ht="24.95" customHeight="1" x14ac:dyDescent="0.25">
      <c r="B94" s="819" t="str">
        <f>'A IV.A'!$A$43</f>
        <v>3.0</v>
      </c>
      <c r="C94" s="820" t="str">
        <f>'A IV.A'!$B$43</f>
        <v>FECHAMENTOS, PROTEÇÕES E ALVENARIAS EM GERAL</v>
      </c>
      <c r="D94" s="821">
        <f>'A IV.A'!$L$43</f>
        <v>0</v>
      </c>
      <c r="E94" s="822">
        <f>E95+F95+G95</f>
        <v>0</v>
      </c>
      <c r="F94" s="823"/>
      <c r="G94" s="824"/>
      <c r="H94" s="822">
        <f>H95+I95+J95</f>
        <v>0</v>
      </c>
      <c r="I94" s="823"/>
      <c r="J94" s="824"/>
      <c r="K94" s="822">
        <f>K95+L95+M95</f>
        <v>0</v>
      </c>
      <c r="L94" s="823"/>
      <c r="M94" s="824"/>
      <c r="N94" s="822">
        <f>N95+O95+P95</f>
        <v>0</v>
      </c>
      <c r="O94" s="823"/>
      <c r="P94" s="824"/>
      <c r="Q94" s="822">
        <f>Q95+R95+S95</f>
        <v>0</v>
      </c>
      <c r="R94" s="823"/>
      <c r="S94" s="824"/>
      <c r="T94" s="822">
        <f>T95+U95+V95</f>
        <v>0</v>
      </c>
      <c r="U94" s="823"/>
      <c r="V94" s="824"/>
      <c r="W94" s="521">
        <f>N94+Q94+T94+K94+H94+E94+W57</f>
        <v>0</v>
      </c>
    </row>
    <row r="95" spans="2:248" ht="24.95" customHeight="1" x14ac:dyDescent="0.25">
      <c r="B95" s="825"/>
      <c r="C95" s="792"/>
      <c r="D95" s="793"/>
      <c r="E95" s="794">
        <f>'A IV.A'!$F$43*0.09/2</f>
        <v>0</v>
      </c>
      <c r="F95" s="794">
        <f>'A IV.A'!$G$43*0.09/2</f>
        <v>0</v>
      </c>
      <c r="G95" s="794">
        <f>'A IV.A'!$H$43*0.09/2</f>
        <v>0</v>
      </c>
      <c r="H95" s="794">
        <f>'A IV.A'!$F$43*0.1/2</f>
        <v>0</v>
      </c>
      <c r="I95" s="794">
        <f>'A IV.A'!$G$43*0.1/2</f>
        <v>0</v>
      </c>
      <c r="J95" s="794">
        <f>'A IV.A'!$H$43*0.1/2</f>
        <v>0</v>
      </c>
      <c r="K95" s="794">
        <f>'A IV.A'!$F$43*0.11/2</f>
        <v>0</v>
      </c>
      <c r="L95" s="794">
        <f>'A IV.A'!$G$43*0.11/2</f>
        <v>0</v>
      </c>
      <c r="M95" s="794">
        <f>'A IV.A'!$H$43*0.11/2</f>
        <v>0</v>
      </c>
      <c r="N95" s="794">
        <f>'A IV.A'!$F$43*0.11/2</f>
        <v>0</v>
      </c>
      <c r="O95" s="794">
        <f>'A IV.A'!$G$43*0.11/2</f>
        <v>0</v>
      </c>
      <c r="P95" s="794">
        <f>'A IV.A'!$H$43*0.11/2</f>
        <v>0</v>
      </c>
      <c r="Q95" s="794">
        <f>'A IV.A'!$F$43*0.1/2</f>
        <v>0</v>
      </c>
      <c r="R95" s="794">
        <f>'A IV.A'!$G$43*0.1/2</f>
        <v>0</v>
      </c>
      <c r="S95" s="794">
        <f>'A IV.A'!$H$43*0.1/2</f>
        <v>0</v>
      </c>
      <c r="T95" s="794">
        <f>'A IV.A'!$F$43*0.09/2</f>
        <v>0</v>
      </c>
      <c r="U95" s="794">
        <f>'A IV.A'!$G$43*0.09/2</f>
        <v>0</v>
      </c>
      <c r="V95" s="794">
        <f>'A IV.A'!$H$43*0.09/2</f>
        <v>0</v>
      </c>
      <c r="W95" s="517"/>
    </row>
    <row r="96" spans="2:248" ht="24.95" customHeight="1" x14ac:dyDescent="0.25">
      <c r="B96" s="826"/>
      <c r="C96" s="796"/>
      <c r="D96" s="797" t="e">
        <f>'A IV.A'!$M$43</f>
        <v>#DIV/0!</v>
      </c>
      <c r="E96" s="798" t="e">
        <f>E94/$D$57</f>
        <v>#DIV/0!</v>
      </c>
      <c r="F96" s="799"/>
      <c r="G96" s="800"/>
      <c r="H96" s="798" t="e">
        <f>H94/$D$57</f>
        <v>#DIV/0!</v>
      </c>
      <c r="I96" s="799"/>
      <c r="J96" s="800"/>
      <c r="K96" s="798" t="e">
        <f>K94/$D$57</f>
        <v>#DIV/0!</v>
      </c>
      <c r="L96" s="799"/>
      <c r="M96" s="800"/>
      <c r="N96" s="798" t="e">
        <f>N94/$D$57</f>
        <v>#DIV/0!</v>
      </c>
      <c r="O96" s="799"/>
      <c r="P96" s="800"/>
      <c r="Q96" s="798" t="e">
        <f>Q94/$D$57</f>
        <v>#DIV/0!</v>
      </c>
      <c r="R96" s="799"/>
      <c r="S96" s="800"/>
      <c r="T96" s="798" t="e">
        <f>T94/$D$57</f>
        <v>#DIV/0!</v>
      </c>
      <c r="U96" s="799"/>
      <c r="V96" s="800"/>
      <c r="W96" s="76" t="e">
        <f>W94/D94</f>
        <v>#DIV/0!</v>
      </c>
    </row>
    <row r="97" spans="2:24" ht="24.95" customHeight="1" x14ac:dyDescent="0.25">
      <c r="B97" s="801" t="str">
        <f>'A IV.A'!$A$112</f>
        <v>4.0</v>
      </c>
      <c r="C97" s="802" t="str">
        <f>'A IV.A'!$B$112</f>
        <v>FORNECIMENTO E INSTALAÇÕES HIDRAULICAS - ITEM 9.0 DO TERMO DE REFERÊNCIA</v>
      </c>
      <c r="D97" s="803">
        <f>'A IV.A'!$L$112</f>
        <v>0</v>
      </c>
      <c r="E97" s="804">
        <f>E98+F98+G98</f>
        <v>0</v>
      </c>
      <c r="F97" s="805"/>
      <c r="G97" s="806"/>
      <c r="H97" s="804">
        <f>H98+I98+J98</f>
        <v>0</v>
      </c>
      <c r="I97" s="805"/>
      <c r="J97" s="806"/>
      <c r="K97" s="804">
        <f>K98+L98+M98</f>
        <v>0</v>
      </c>
      <c r="L97" s="805"/>
      <c r="M97" s="806"/>
      <c r="N97" s="804">
        <f>N98+O98+P98</f>
        <v>0</v>
      </c>
      <c r="O97" s="805"/>
      <c r="P97" s="806"/>
      <c r="Q97" s="804">
        <f>Q98+R98+S98</f>
        <v>0</v>
      </c>
      <c r="R97" s="805"/>
      <c r="S97" s="806"/>
      <c r="T97" s="804">
        <f>T98+U98+V98</f>
        <v>0</v>
      </c>
      <c r="U97" s="805"/>
      <c r="V97" s="806"/>
      <c r="W97" s="524">
        <f>N97+Q97+T97+K97+H97+E97+W60</f>
        <v>0</v>
      </c>
    </row>
    <row r="98" spans="2:24" ht="24.95" customHeight="1" x14ac:dyDescent="0.25">
      <c r="B98" s="809"/>
      <c r="C98" s="810"/>
      <c r="D98" s="811"/>
      <c r="E98" s="812">
        <f>'A IV.A'!$F$112/12/2</f>
        <v>0</v>
      </c>
      <c r="F98" s="812">
        <f>'A IV.A'!$G$112/12/2</f>
        <v>0</v>
      </c>
      <c r="G98" s="812">
        <f>'A IV.A'!$H$112/12/2</f>
        <v>0</v>
      </c>
      <c r="H98" s="812">
        <f>'A IV.A'!$F$112/12/2</f>
        <v>0</v>
      </c>
      <c r="I98" s="812">
        <f>'A IV.A'!$G$112/12/2</f>
        <v>0</v>
      </c>
      <c r="J98" s="812">
        <f>'A IV.A'!$H$112/12/2</f>
        <v>0</v>
      </c>
      <c r="K98" s="812">
        <f>'A IV.A'!$F$112/12/2</f>
        <v>0</v>
      </c>
      <c r="L98" s="812">
        <f>'A IV.A'!$G$112/12/2</f>
        <v>0</v>
      </c>
      <c r="M98" s="812">
        <f>'A IV.A'!$H$112/12/2</f>
        <v>0</v>
      </c>
      <c r="N98" s="812">
        <f>'A IV.A'!$F$112/12/2</f>
        <v>0</v>
      </c>
      <c r="O98" s="812">
        <f>'A IV.A'!$G$112/12/2</f>
        <v>0</v>
      </c>
      <c r="P98" s="812">
        <f>'A IV.A'!$H$112/12/2</f>
        <v>0</v>
      </c>
      <c r="Q98" s="812">
        <f>'A IV.A'!$F$112/12/2</f>
        <v>0</v>
      </c>
      <c r="R98" s="812">
        <f>'A IV.A'!$G$112/12/2</f>
        <v>0</v>
      </c>
      <c r="S98" s="812">
        <f>'A IV.A'!$H$112/12/2</f>
        <v>0</v>
      </c>
      <c r="T98" s="812">
        <f>'A IV.A'!$F$112/12/2</f>
        <v>0</v>
      </c>
      <c r="U98" s="812">
        <f>'A IV.A'!$G$112/12/2</f>
        <v>0</v>
      </c>
      <c r="V98" s="812">
        <f>'A IV.A'!$H$112/12/2</f>
        <v>0</v>
      </c>
      <c r="W98" s="525"/>
    </row>
    <row r="99" spans="2:24" ht="24.95" customHeight="1" x14ac:dyDescent="0.25">
      <c r="B99" s="813"/>
      <c r="C99" s="814"/>
      <c r="D99" s="815" t="e">
        <f>'A IV.A'!$M$112</f>
        <v>#DIV/0!</v>
      </c>
      <c r="E99" s="816" t="e">
        <f>E97/$D$60</f>
        <v>#DIV/0!</v>
      </c>
      <c r="F99" s="817"/>
      <c r="G99" s="818"/>
      <c r="H99" s="816" t="e">
        <f>H97/$D$60</f>
        <v>#DIV/0!</v>
      </c>
      <c r="I99" s="817"/>
      <c r="J99" s="818"/>
      <c r="K99" s="816" t="e">
        <f>K97/$D$60</f>
        <v>#DIV/0!</v>
      </c>
      <c r="L99" s="817"/>
      <c r="M99" s="818"/>
      <c r="N99" s="816" t="e">
        <f>N97/$D$60</f>
        <v>#DIV/0!</v>
      </c>
      <c r="O99" s="817"/>
      <c r="P99" s="818"/>
      <c r="Q99" s="816" t="e">
        <f>Q97/$D$60</f>
        <v>#DIV/0!</v>
      </c>
      <c r="R99" s="817"/>
      <c r="S99" s="818"/>
      <c r="T99" s="816" t="e">
        <f>T97/$D$60</f>
        <v>#DIV/0!</v>
      </c>
      <c r="U99" s="817"/>
      <c r="V99" s="818"/>
      <c r="W99" s="309" t="e">
        <f>W97/D97</f>
        <v>#DIV/0!</v>
      </c>
    </row>
    <row r="100" spans="2:24" ht="24.95" customHeight="1" x14ac:dyDescent="0.25">
      <c r="B100" s="827" t="str">
        <f>'A IV.A'!$A$126</f>
        <v>5.0</v>
      </c>
      <c r="C100" s="828" t="str">
        <f>'A IV.A'!$B$126</f>
        <v>RECUPERAÇÃO E TRATAMENTO DE SUPERFÍCIES EM CONCRETO ARMADO - ITEM 10.0 DO TERMO DE REFERÊNCIA</v>
      </c>
      <c r="D100" s="821">
        <f>'A IV.A'!$L$126</f>
        <v>0</v>
      </c>
      <c r="E100" s="822">
        <f>E101+F101+G101</f>
        <v>0</v>
      </c>
      <c r="F100" s="823"/>
      <c r="G100" s="824"/>
      <c r="H100" s="822">
        <f>H101+I101+J101</f>
        <v>0</v>
      </c>
      <c r="I100" s="823"/>
      <c r="J100" s="824"/>
      <c r="K100" s="822">
        <f>K101+L101+M101</f>
        <v>0</v>
      </c>
      <c r="L100" s="823"/>
      <c r="M100" s="824"/>
      <c r="N100" s="822">
        <f>N101+O101+P101</f>
        <v>0</v>
      </c>
      <c r="O100" s="823"/>
      <c r="P100" s="824"/>
      <c r="Q100" s="822">
        <f>Q101+R101+S101</f>
        <v>0</v>
      </c>
      <c r="R100" s="823"/>
      <c r="S100" s="824"/>
      <c r="T100" s="822">
        <f>T101+U101+V101</f>
        <v>0</v>
      </c>
      <c r="U100" s="823"/>
      <c r="V100" s="824"/>
      <c r="W100" s="521">
        <f>N100+Q100+T100+K100+H100+E100+W63</f>
        <v>0</v>
      </c>
    </row>
    <row r="101" spans="2:24" ht="24.95" customHeight="1" x14ac:dyDescent="0.25">
      <c r="B101" s="829"/>
      <c r="C101" s="830"/>
      <c r="D101" s="793"/>
      <c r="E101" s="794">
        <f>'A IV.A'!$F$126/12/2</f>
        <v>0</v>
      </c>
      <c r="F101" s="794">
        <f>'A IV.A'!$G$126/12/2</f>
        <v>0</v>
      </c>
      <c r="G101" s="794">
        <f>'A IV.A'!$H$126/12/2</f>
        <v>0</v>
      </c>
      <c r="H101" s="794">
        <f>'A IV.A'!$F$126/12/2</f>
        <v>0</v>
      </c>
      <c r="I101" s="794">
        <f>'A IV.A'!$G$126/12/2</f>
        <v>0</v>
      </c>
      <c r="J101" s="794">
        <f>'A IV.A'!$H$126/12/2</f>
        <v>0</v>
      </c>
      <c r="K101" s="794">
        <f>'A IV.A'!$F$126/12/2</f>
        <v>0</v>
      </c>
      <c r="L101" s="794">
        <f>'A IV.A'!$G$126/12/2</f>
        <v>0</v>
      </c>
      <c r="M101" s="794">
        <f>'A IV.A'!$H$126/12/2</f>
        <v>0</v>
      </c>
      <c r="N101" s="794">
        <f>'A IV.A'!$F$126/12/2</f>
        <v>0</v>
      </c>
      <c r="O101" s="794">
        <f>'A IV.A'!$G$126/12/2</f>
        <v>0</v>
      </c>
      <c r="P101" s="794">
        <f>'A IV.A'!$H$126/12/2</f>
        <v>0</v>
      </c>
      <c r="Q101" s="794">
        <f>'A IV.A'!$F$126/12/2</f>
        <v>0</v>
      </c>
      <c r="R101" s="794">
        <f>'A IV.A'!$G$126/12/2</f>
        <v>0</v>
      </c>
      <c r="S101" s="794">
        <f>'A IV.A'!$H$126/12/2</f>
        <v>0</v>
      </c>
      <c r="T101" s="794">
        <f>'A IV.A'!$F$126/12/2</f>
        <v>0</v>
      </c>
      <c r="U101" s="794">
        <f>'A IV.A'!$G$126/12/2</f>
        <v>0</v>
      </c>
      <c r="V101" s="794">
        <f>'A IV.A'!$H$126/12/2</f>
        <v>0</v>
      </c>
      <c r="W101" s="517"/>
    </row>
    <row r="102" spans="2:24" ht="24.95" customHeight="1" x14ac:dyDescent="0.25">
      <c r="B102" s="831"/>
      <c r="C102" s="832"/>
      <c r="D102" s="797" t="e">
        <f>'A IV.A'!$M$126</f>
        <v>#DIV/0!</v>
      </c>
      <c r="E102" s="798" t="e">
        <f>E100/$D$63</f>
        <v>#DIV/0!</v>
      </c>
      <c r="F102" s="799"/>
      <c r="G102" s="800"/>
      <c r="H102" s="798" t="e">
        <f>H100/$D$63</f>
        <v>#DIV/0!</v>
      </c>
      <c r="I102" s="799"/>
      <c r="J102" s="800"/>
      <c r="K102" s="798" t="e">
        <f>K100/$D$63</f>
        <v>#DIV/0!</v>
      </c>
      <c r="L102" s="799"/>
      <c r="M102" s="800"/>
      <c r="N102" s="798" t="e">
        <f>N100/$D$63</f>
        <v>#DIV/0!</v>
      </c>
      <c r="O102" s="799"/>
      <c r="P102" s="800"/>
      <c r="Q102" s="798" t="e">
        <f>Q100/$D$63</f>
        <v>#DIV/0!</v>
      </c>
      <c r="R102" s="799"/>
      <c r="S102" s="800"/>
      <c r="T102" s="798" t="e">
        <f>T100/$D$63</f>
        <v>#DIV/0!</v>
      </c>
      <c r="U102" s="799"/>
      <c r="V102" s="800"/>
      <c r="W102" s="76" t="e">
        <f>W100/D100</f>
        <v>#DIV/0!</v>
      </c>
    </row>
    <row r="103" spans="2:24" ht="24.95" customHeight="1" x14ac:dyDescent="0.25">
      <c r="B103" s="833" t="str">
        <f>'A IV.A'!$A$134</f>
        <v>6.0</v>
      </c>
      <c r="C103" s="834" t="str">
        <f>'A IV.A'!$B$134</f>
        <v>PINTURAS - ITEM 11.0 DO TERMO DE REFERÊNCIA</v>
      </c>
      <c r="D103" s="803">
        <f>'A IV.A'!$L$134</f>
        <v>0</v>
      </c>
      <c r="E103" s="804">
        <f>E104+F104+G104</f>
        <v>0</v>
      </c>
      <c r="F103" s="805"/>
      <c r="G103" s="806"/>
      <c r="H103" s="804">
        <f>H104+I104+J104</f>
        <v>0</v>
      </c>
      <c r="I103" s="805"/>
      <c r="J103" s="806"/>
      <c r="K103" s="804">
        <f>K104+L104+M104</f>
        <v>0</v>
      </c>
      <c r="L103" s="805"/>
      <c r="M103" s="806"/>
      <c r="N103" s="804">
        <f>N104+O104+P104</f>
        <v>0</v>
      </c>
      <c r="O103" s="805"/>
      <c r="P103" s="806"/>
      <c r="Q103" s="804">
        <f>Q104+R104+S104</f>
        <v>0</v>
      </c>
      <c r="R103" s="805"/>
      <c r="S103" s="806"/>
      <c r="T103" s="804">
        <f>T104+U104+V104</f>
        <v>0</v>
      </c>
      <c r="U103" s="805"/>
      <c r="V103" s="806"/>
      <c r="W103" s="524">
        <f>N103+Q103+T103+K103+H103+E103+W66</f>
        <v>0</v>
      </c>
    </row>
    <row r="104" spans="2:24" ht="24.95" customHeight="1" x14ac:dyDescent="0.25">
      <c r="B104" s="835"/>
      <c r="C104" s="836"/>
      <c r="D104" s="811"/>
      <c r="E104" s="812">
        <f>'A IV.A'!$F$134*0.085/2</f>
        <v>0</v>
      </c>
      <c r="F104" s="812">
        <f>'A IV.A'!$G$134*0.085/2</f>
        <v>0</v>
      </c>
      <c r="G104" s="812">
        <f>'A IV.A'!$H$134*0.085/2</f>
        <v>0</v>
      </c>
      <c r="H104" s="812">
        <f>'A IV.A'!$F$134*0.085/2</f>
        <v>0</v>
      </c>
      <c r="I104" s="812">
        <f>'A IV.A'!$G$134*0.085/2</f>
        <v>0</v>
      </c>
      <c r="J104" s="812">
        <f>'A IV.A'!$H$134*0.085/2</f>
        <v>0</v>
      </c>
      <c r="K104" s="812">
        <f>'A IV.A'!$F$134*0.085/2</f>
        <v>0</v>
      </c>
      <c r="L104" s="812">
        <f>'A IV.A'!$G$134*0.085/2</f>
        <v>0</v>
      </c>
      <c r="M104" s="812">
        <f>'A IV.A'!$H$134*0.085/2</f>
        <v>0</v>
      </c>
      <c r="N104" s="812">
        <f>'A IV.A'!$F$134*0.085/2</f>
        <v>0</v>
      </c>
      <c r="O104" s="812">
        <f>'A IV.A'!$G$134*0.085/2</f>
        <v>0</v>
      </c>
      <c r="P104" s="812">
        <f>'A IV.A'!$H$134*0.085/2</f>
        <v>0</v>
      </c>
      <c r="Q104" s="812">
        <f>'A IV.A'!$F$134*0.08/2</f>
        <v>0</v>
      </c>
      <c r="R104" s="812">
        <f>'A IV.A'!$G$134*0.08/2</f>
        <v>0</v>
      </c>
      <c r="S104" s="812">
        <f>'A IV.A'!$H$134*0.08/2</f>
        <v>0</v>
      </c>
      <c r="T104" s="812">
        <f>'A IV.A'!$F$134*0.08/2</f>
        <v>0</v>
      </c>
      <c r="U104" s="812">
        <f>'A IV.A'!$G$134*0.08/2</f>
        <v>0</v>
      </c>
      <c r="V104" s="812">
        <f>'A IV.A'!$H$134*0.08/2</f>
        <v>0</v>
      </c>
      <c r="W104" s="525"/>
    </row>
    <row r="105" spans="2:24" ht="24.95" customHeight="1" x14ac:dyDescent="0.25">
      <c r="B105" s="837"/>
      <c r="C105" s="838"/>
      <c r="D105" s="815" t="e">
        <f>'A IV.A'!$M$134</f>
        <v>#DIV/0!</v>
      </c>
      <c r="E105" s="816" t="e">
        <f>E103/$D$66</f>
        <v>#DIV/0!</v>
      </c>
      <c r="F105" s="817"/>
      <c r="G105" s="818"/>
      <c r="H105" s="816" t="e">
        <f>H103/$D$66</f>
        <v>#DIV/0!</v>
      </c>
      <c r="I105" s="817"/>
      <c r="J105" s="818"/>
      <c r="K105" s="816" t="e">
        <f>K103/$D$66</f>
        <v>#DIV/0!</v>
      </c>
      <c r="L105" s="817"/>
      <c r="M105" s="818"/>
      <c r="N105" s="816" t="e">
        <f>N103/$D$66</f>
        <v>#DIV/0!</v>
      </c>
      <c r="O105" s="817"/>
      <c r="P105" s="818"/>
      <c r="Q105" s="816" t="e">
        <f>Q103/$D$66</f>
        <v>#DIV/0!</v>
      </c>
      <c r="R105" s="817"/>
      <c r="S105" s="818"/>
      <c r="T105" s="816" t="e">
        <f>T103/$D$66</f>
        <v>#DIV/0!</v>
      </c>
      <c r="U105" s="817"/>
      <c r="V105" s="818"/>
      <c r="W105" s="309" t="e">
        <f>W103/D103</f>
        <v>#DIV/0!</v>
      </c>
    </row>
    <row r="106" spans="2:24" ht="24.95" customHeight="1" x14ac:dyDescent="0.25">
      <c r="B106" s="819" t="str">
        <f>'A IV.A'!$A$155</f>
        <v>7.0</v>
      </c>
      <c r="C106" s="820" t="str">
        <f>'A IV.A'!$B$155</f>
        <v>SERVIÇOS COMPLEMENTARES - ITEM 12.0 DO TERMO DE REFERÊNCIA</v>
      </c>
      <c r="D106" s="821">
        <f>'A IV.A'!$L$155</f>
        <v>0</v>
      </c>
      <c r="E106" s="822">
        <f>E107+F107+G107</f>
        <v>0</v>
      </c>
      <c r="F106" s="823"/>
      <c r="G106" s="824"/>
      <c r="H106" s="822">
        <f>H107+I107+J107</f>
        <v>0</v>
      </c>
      <c r="I106" s="823"/>
      <c r="J106" s="824"/>
      <c r="K106" s="822">
        <f>K107+L107+M107</f>
        <v>0</v>
      </c>
      <c r="L106" s="823"/>
      <c r="M106" s="824"/>
      <c r="N106" s="822">
        <f>N107+O107+P107</f>
        <v>0</v>
      </c>
      <c r="O106" s="823"/>
      <c r="P106" s="824"/>
      <c r="Q106" s="822">
        <f>Q107+R107+S107</f>
        <v>0</v>
      </c>
      <c r="R106" s="823"/>
      <c r="S106" s="824"/>
      <c r="T106" s="822">
        <f>T107+U107+V107</f>
        <v>0</v>
      </c>
      <c r="U106" s="823"/>
      <c r="V106" s="824"/>
      <c r="W106" s="521">
        <f>N106+Q106+T106+K106+H106+E106+W69</f>
        <v>0</v>
      </c>
    </row>
    <row r="107" spans="2:24" ht="24.95" customHeight="1" x14ac:dyDescent="0.25">
      <c r="B107" s="825"/>
      <c r="C107" s="792"/>
      <c r="D107" s="793"/>
      <c r="E107" s="794">
        <f>'A IV.A'!$F$155*0.08/2</f>
        <v>0</v>
      </c>
      <c r="F107" s="794">
        <f>'A IV.A'!$G$155*0.08/2</f>
        <v>0</v>
      </c>
      <c r="G107" s="794">
        <f>'A IV.A'!$H$155*0.08</f>
        <v>0</v>
      </c>
      <c r="H107" s="794">
        <f>'A IV.A'!$F$155/12/2</f>
        <v>0</v>
      </c>
      <c r="I107" s="794">
        <f>'A IV.A'!$G$155/12/2</f>
        <v>0</v>
      </c>
      <c r="J107" s="794">
        <f>'A IV.A'!$H$155/12</f>
        <v>0</v>
      </c>
      <c r="K107" s="794">
        <f>'A IV.A'!$F$155/12/2</f>
        <v>0</v>
      </c>
      <c r="L107" s="794">
        <f>'A IV.A'!$G$155/12/2</f>
        <v>0</v>
      </c>
      <c r="M107" s="794">
        <f>'A IV.A'!$H$155/12/2</f>
        <v>0</v>
      </c>
      <c r="N107" s="794">
        <f>'A IV.A'!$F$155/12/2</f>
        <v>0</v>
      </c>
      <c r="O107" s="794">
        <f>'A IV.A'!$G$155/12/2</f>
        <v>0</v>
      </c>
      <c r="P107" s="794">
        <f>'A IV.A'!$H$155/12/2</f>
        <v>0</v>
      </c>
      <c r="Q107" s="794">
        <f>'A IV.A'!$F$155*0.12/2</f>
        <v>0</v>
      </c>
      <c r="R107" s="794">
        <f>'A IV.A'!$G$155*0.12/2</f>
        <v>0</v>
      </c>
      <c r="S107" s="794">
        <f>'A IV.A'!$H$155*0.12/2</f>
        <v>0</v>
      </c>
      <c r="T107" s="794">
        <f>'A IV.A'!$F$155*0.12/2</f>
        <v>0</v>
      </c>
      <c r="U107" s="794">
        <f>'A IV.A'!$G$155*0.12/2</f>
        <v>0</v>
      </c>
      <c r="V107" s="794">
        <f>'A IV.A'!$H$155*0.12/2</f>
        <v>0</v>
      </c>
      <c r="W107" s="517"/>
    </row>
    <row r="108" spans="2:24" ht="24.95" customHeight="1" thickBot="1" x14ac:dyDescent="0.3">
      <c r="B108" s="839"/>
      <c r="C108" s="840"/>
      <c r="D108" s="841" t="e">
        <f>'A IV.A'!$M$155</f>
        <v>#DIV/0!</v>
      </c>
      <c r="E108" s="518" t="e">
        <f>E106/$D$69</f>
        <v>#DIV/0!</v>
      </c>
      <c r="F108" s="519"/>
      <c r="G108" s="520"/>
      <c r="H108" s="518" t="e">
        <f>H106/$D$69</f>
        <v>#DIV/0!</v>
      </c>
      <c r="I108" s="519"/>
      <c r="J108" s="520"/>
      <c r="K108" s="518" t="e">
        <f>K106/$D$69</f>
        <v>#DIV/0!</v>
      </c>
      <c r="L108" s="519"/>
      <c r="M108" s="520"/>
      <c r="N108" s="518" t="e">
        <f>N106/$D$69</f>
        <v>#DIV/0!</v>
      </c>
      <c r="O108" s="519"/>
      <c r="P108" s="520"/>
      <c r="Q108" s="518" t="e">
        <f>Q106/$D$69</f>
        <v>#DIV/0!</v>
      </c>
      <c r="R108" s="519"/>
      <c r="S108" s="520"/>
      <c r="T108" s="518" t="e">
        <f>T106/$D$69</f>
        <v>#DIV/0!</v>
      </c>
      <c r="U108" s="519"/>
      <c r="V108" s="520"/>
      <c r="W108" s="77" t="e">
        <f>W106/D106</f>
        <v>#DIV/0!</v>
      </c>
    </row>
    <row r="109" spans="2:24" ht="24.95" customHeight="1" thickTop="1" thickBot="1" x14ac:dyDescent="0.3">
      <c r="B109" s="845"/>
      <c r="C109" s="845"/>
      <c r="D109" s="845"/>
      <c r="E109" s="846"/>
      <c r="F109" s="847"/>
      <c r="G109" s="846"/>
      <c r="H109" s="846"/>
      <c r="I109" s="847"/>
      <c r="J109" s="846"/>
      <c r="K109" s="846"/>
      <c r="L109" s="847"/>
      <c r="M109" s="846"/>
      <c r="N109" s="846"/>
      <c r="O109" s="847"/>
      <c r="P109" s="846"/>
      <c r="Q109" s="846"/>
      <c r="R109" s="847"/>
      <c r="S109" s="846"/>
      <c r="T109" s="846"/>
      <c r="U109" s="847"/>
      <c r="V109" s="846"/>
      <c r="W109" s="80"/>
    </row>
    <row r="110" spans="2:24" ht="24.95" customHeight="1" thickTop="1" x14ac:dyDescent="0.25">
      <c r="B110" s="848" t="s">
        <v>890</v>
      </c>
      <c r="C110" s="849"/>
      <c r="D110" s="522">
        <f>D88+D91+D94+D97+D100+D103+D106</f>
        <v>0</v>
      </c>
      <c r="E110" s="850">
        <f>E111+F111+G111</f>
        <v>0</v>
      </c>
      <c r="F110" s="851"/>
      <c r="G110" s="852"/>
      <c r="H110" s="850">
        <f>H111+I111+J111</f>
        <v>0</v>
      </c>
      <c r="I110" s="851"/>
      <c r="J110" s="852"/>
      <c r="K110" s="853">
        <f>K111+L111+M111</f>
        <v>0</v>
      </c>
      <c r="L110" s="854"/>
      <c r="M110" s="855"/>
      <c r="N110" s="853">
        <f>N111+O111+P111</f>
        <v>0</v>
      </c>
      <c r="O110" s="854"/>
      <c r="P110" s="855"/>
      <c r="Q110" s="853">
        <f>Q111+R111+S111</f>
        <v>0</v>
      </c>
      <c r="R110" s="854"/>
      <c r="S110" s="855"/>
      <c r="T110" s="853">
        <f>T111+U111+V111</f>
        <v>0</v>
      </c>
      <c r="U110" s="854"/>
      <c r="V110" s="855"/>
      <c r="W110" s="516">
        <f>W88+W91+W94+W97+W100+W103+W106</f>
        <v>0</v>
      </c>
    </row>
    <row r="111" spans="2:24" ht="24.95" customHeight="1" x14ac:dyDescent="0.25">
      <c r="B111" s="848"/>
      <c r="C111" s="849"/>
      <c r="D111" s="523"/>
      <c r="E111" s="78">
        <f>E101+E98+E95+E92+E89+E104+E107</f>
        <v>0</v>
      </c>
      <c r="F111" s="78">
        <f>F101+F98+F95+F92+F89+F104+F107</f>
        <v>0</v>
      </c>
      <c r="G111" s="78">
        <f t="shared" ref="G111:V111" si="20">G101+G98+G95+G92+G89+G104+G107</f>
        <v>0</v>
      </c>
      <c r="H111" s="78">
        <f t="shared" si="20"/>
        <v>0</v>
      </c>
      <c r="I111" s="78">
        <f t="shared" si="20"/>
        <v>0</v>
      </c>
      <c r="J111" s="78">
        <f t="shared" si="20"/>
        <v>0</v>
      </c>
      <c r="K111" s="78">
        <f t="shared" si="20"/>
        <v>0</v>
      </c>
      <c r="L111" s="78">
        <f t="shared" si="20"/>
        <v>0</v>
      </c>
      <c r="M111" s="78">
        <f t="shared" si="20"/>
        <v>0</v>
      </c>
      <c r="N111" s="78">
        <f t="shared" si="20"/>
        <v>0</v>
      </c>
      <c r="O111" s="78">
        <f t="shared" si="20"/>
        <v>0</v>
      </c>
      <c r="P111" s="78">
        <f t="shared" si="20"/>
        <v>0</v>
      </c>
      <c r="Q111" s="78">
        <f t="shared" si="20"/>
        <v>0</v>
      </c>
      <c r="R111" s="78">
        <f t="shared" si="20"/>
        <v>0</v>
      </c>
      <c r="S111" s="78">
        <f t="shared" si="20"/>
        <v>0</v>
      </c>
      <c r="T111" s="78">
        <f t="shared" si="20"/>
        <v>0</v>
      </c>
      <c r="U111" s="78">
        <f t="shared" si="20"/>
        <v>0</v>
      </c>
      <c r="V111" s="78">
        <f t="shared" si="20"/>
        <v>0</v>
      </c>
      <c r="W111" s="517"/>
      <c r="X111" s="876"/>
    </row>
    <row r="112" spans="2:24" ht="24.95" customHeight="1" thickBot="1" x14ac:dyDescent="0.3">
      <c r="B112" s="848"/>
      <c r="C112" s="849"/>
      <c r="D112" s="79" t="e">
        <f>D90+D93+D96+D99+D102+D105+D108</f>
        <v>#DIV/0!</v>
      </c>
      <c r="E112" s="518" t="e">
        <f>ROUND(E110/$D$36,6)</f>
        <v>#DIV/0!</v>
      </c>
      <c r="F112" s="519"/>
      <c r="G112" s="520"/>
      <c r="H112" s="518" t="e">
        <f>ROUND(H110/$D$36,6)</f>
        <v>#DIV/0!</v>
      </c>
      <c r="I112" s="519"/>
      <c r="J112" s="520"/>
      <c r="K112" s="518" t="e">
        <f>ROUND(K110/$D$36,6)</f>
        <v>#DIV/0!</v>
      </c>
      <c r="L112" s="519"/>
      <c r="M112" s="520"/>
      <c r="N112" s="518" t="e">
        <f>ROUND(N110/$D$36,6)</f>
        <v>#DIV/0!</v>
      </c>
      <c r="O112" s="519"/>
      <c r="P112" s="520"/>
      <c r="Q112" s="518" t="e">
        <f>ROUND(Q110/$D$36,6)</f>
        <v>#DIV/0!</v>
      </c>
      <c r="R112" s="519"/>
      <c r="S112" s="520"/>
      <c r="T112" s="518" t="e">
        <f>ROUND(T110/$D$36,6)</f>
        <v>#DIV/0!</v>
      </c>
      <c r="U112" s="519"/>
      <c r="V112" s="520"/>
      <c r="W112" s="325" t="e">
        <f>ROUND(N112+Q112+T112+K112+H112+E112,6)+W75</f>
        <v>#DIV/0!</v>
      </c>
    </row>
    <row r="113" spans="2:248" ht="24.95" customHeight="1" thickTop="1" thickBot="1" x14ac:dyDescent="0.3">
      <c r="B113" s="856"/>
      <c r="C113" s="856"/>
      <c r="D113" s="856"/>
      <c r="E113" s="846"/>
      <c r="F113" s="846"/>
      <c r="G113" s="846"/>
      <c r="H113" s="846"/>
      <c r="I113" s="846"/>
      <c r="J113" s="846"/>
      <c r="K113" s="846"/>
      <c r="L113" s="846"/>
      <c r="M113" s="846"/>
      <c r="N113" s="846"/>
      <c r="O113" s="846"/>
      <c r="P113" s="846"/>
      <c r="Q113" s="846"/>
      <c r="R113" s="846"/>
      <c r="S113" s="846"/>
      <c r="T113" s="846"/>
      <c r="U113" s="846"/>
      <c r="V113" s="846"/>
      <c r="W113" s="80"/>
    </row>
    <row r="114" spans="2:248" ht="24.95" customHeight="1" thickTop="1" x14ac:dyDescent="0.25">
      <c r="B114" s="857" t="s">
        <v>891</v>
      </c>
      <c r="C114" s="858"/>
      <c r="D114" s="859" t="s">
        <v>2</v>
      </c>
      <c r="E114" s="850">
        <f>E110+T77</f>
        <v>0</v>
      </c>
      <c r="F114" s="851"/>
      <c r="G114" s="852"/>
      <c r="H114" s="850">
        <f>H110+E114</f>
        <v>0</v>
      </c>
      <c r="I114" s="851"/>
      <c r="J114" s="852"/>
      <c r="K114" s="850">
        <f>K110+H114</f>
        <v>0</v>
      </c>
      <c r="L114" s="851"/>
      <c r="M114" s="852"/>
      <c r="N114" s="850">
        <f>N110+K114</f>
        <v>0</v>
      </c>
      <c r="O114" s="851"/>
      <c r="P114" s="852"/>
      <c r="Q114" s="850">
        <f>Q110+N114</f>
        <v>0</v>
      </c>
      <c r="R114" s="851"/>
      <c r="S114" s="852"/>
      <c r="T114" s="850">
        <f>T110+Q114</f>
        <v>0</v>
      </c>
      <c r="U114" s="851"/>
      <c r="V114" s="860"/>
      <c r="W114" s="80"/>
    </row>
    <row r="115" spans="2:248" ht="24.95" customHeight="1" x14ac:dyDescent="0.25">
      <c r="B115" s="857" t="s">
        <v>891</v>
      </c>
      <c r="C115" s="858"/>
      <c r="D115" s="861" t="s">
        <v>2</v>
      </c>
      <c r="E115" s="862">
        <f>E111+T78</f>
        <v>0</v>
      </c>
      <c r="F115" s="862">
        <f>F111+U78</f>
        <v>0</v>
      </c>
      <c r="G115" s="862">
        <f>G111+V78</f>
        <v>0</v>
      </c>
      <c r="H115" s="862">
        <f>H111+E115</f>
        <v>0</v>
      </c>
      <c r="I115" s="862">
        <f>I111+F115</f>
        <v>0</v>
      </c>
      <c r="J115" s="862">
        <f>J111+G115</f>
        <v>0</v>
      </c>
      <c r="K115" s="862">
        <f>K111+H115</f>
        <v>0</v>
      </c>
      <c r="L115" s="862">
        <f>L111+I115</f>
        <v>0</v>
      </c>
      <c r="M115" s="863">
        <f>M111+J115</f>
        <v>0</v>
      </c>
      <c r="N115" s="862">
        <f>N111+K115</f>
        <v>0</v>
      </c>
      <c r="O115" s="862">
        <f>O111+L115</f>
        <v>0</v>
      </c>
      <c r="P115" s="862">
        <f>P111+M115</f>
        <v>0</v>
      </c>
      <c r="Q115" s="864">
        <f>Q111+N115</f>
        <v>0</v>
      </c>
      <c r="R115" s="862">
        <f>R111+O115</f>
        <v>0</v>
      </c>
      <c r="S115" s="863">
        <f>S111+P115</f>
        <v>0</v>
      </c>
      <c r="T115" s="862">
        <f>T111+Q115</f>
        <v>0</v>
      </c>
      <c r="U115" s="862">
        <f>U111+R115</f>
        <v>0</v>
      </c>
      <c r="V115" s="865">
        <f>V111+S115</f>
        <v>0</v>
      </c>
      <c r="W115" s="80"/>
    </row>
    <row r="116" spans="2:248" ht="24.95" customHeight="1" x14ac:dyDescent="0.25">
      <c r="B116" s="857" t="s">
        <v>892</v>
      </c>
      <c r="C116" s="858"/>
      <c r="D116" s="861" t="s">
        <v>2</v>
      </c>
      <c r="E116" s="866">
        <f>$D$36-E114</f>
        <v>0</v>
      </c>
      <c r="F116" s="867"/>
      <c r="G116" s="868"/>
      <c r="H116" s="866">
        <f>$D$36-H114</f>
        <v>0</v>
      </c>
      <c r="I116" s="867"/>
      <c r="J116" s="868"/>
      <c r="K116" s="866">
        <f>$D$36-K114</f>
        <v>0</v>
      </c>
      <c r="L116" s="867"/>
      <c r="M116" s="868"/>
      <c r="N116" s="866">
        <f>$D$36-N114</f>
        <v>0</v>
      </c>
      <c r="O116" s="867"/>
      <c r="P116" s="868"/>
      <c r="Q116" s="866">
        <f>$D$36-Q114</f>
        <v>0</v>
      </c>
      <c r="R116" s="867"/>
      <c r="S116" s="868"/>
      <c r="T116" s="866">
        <f>$D$36-T114</f>
        <v>0</v>
      </c>
      <c r="U116" s="867"/>
      <c r="V116" s="869"/>
      <c r="W116" s="80"/>
    </row>
    <row r="117" spans="2:248" ht="24.95" customHeight="1" thickBot="1" x14ac:dyDescent="0.3">
      <c r="B117" s="857" t="s">
        <v>892</v>
      </c>
      <c r="C117" s="858"/>
      <c r="D117" s="870" t="s">
        <v>2</v>
      </c>
      <c r="E117" s="871">
        <f>'A IV.A'!$L$175-E115</f>
        <v>0</v>
      </c>
      <c r="F117" s="871">
        <f>'A IV.A'!$L$176-F115</f>
        <v>0</v>
      </c>
      <c r="G117" s="871">
        <f>'A IV.A'!$L$177-G115</f>
        <v>0</v>
      </c>
      <c r="H117" s="871">
        <f>'A IV.A'!$L$175-H115</f>
        <v>0</v>
      </c>
      <c r="I117" s="871">
        <f>'A IV.A'!$L$176-I115</f>
        <v>0</v>
      </c>
      <c r="J117" s="871">
        <f>'A IV.A'!$L$177-J115</f>
        <v>0</v>
      </c>
      <c r="K117" s="871">
        <f>'A IV.A'!$L$175-K115</f>
        <v>0</v>
      </c>
      <c r="L117" s="871">
        <f>'A IV.A'!$L$176-L115</f>
        <v>0</v>
      </c>
      <c r="M117" s="871">
        <f>'A IV.A'!$L$177-M115</f>
        <v>0</v>
      </c>
      <c r="N117" s="871">
        <f>'A IV.A'!$L$175-N115</f>
        <v>0</v>
      </c>
      <c r="O117" s="871">
        <f>'A IV.A'!$L$176-O115</f>
        <v>0</v>
      </c>
      <c r="P117" s="871">
        <f>'A IV.A'!$L$177-P115</f>
        <v>0</v>
      </c>
      <c r="Q117" s="871">
        <f>'A IV.A'!$L$175-Q115</f>
        <v>0</v>
      </c>
      <c r="R117" s="871">
        <f>'A IV.A'!$L$176-R115</f>
        <v>0</v>
      </c>
      <c r="S117" s="871">
        <f>'A IV.A'!$L$177-S115</f>
        <v>0</v>
      </c>
      <c r="T117" s="871">
        <f>'A IV.A'!$L$175-T115</f>
        <v>0</v>
      </c>
      <c r="U117" s="871">
        <f>'A IV.A'!$L$176-U115</f>
        <v>0</v>
      </c>
      <c r="V117" s="872">
        <f>'A IV.A'!$L$177-V115</f>
        <v>0</v>
      </c>
      <c r="W117" s="80"/>
    </row>
    <row r="118" spans="2:248" s="808" customFormat="1" ht="15" customHeight="1" thickTop="1" x14ac:dyDescent="0.25">
      <c r="B118" s="856"/>
      <c r="C118" s="856"/>
      <c r="D118" s="856"/>
      <c r="E118" s="846"/>
      <c r="F118" s="846"/>
      <c r="G118" s="846"/>
      <c r="H118" s="846"/>
      <c r="I118" s="846"/>
      <c r="J118" s="846"/>
      <c r="K118" s="846"/>
      <c r="L118" s="846"/>
      <c r="M118" s="846"/>
      <c r="N118" s="846"/>
      <c r="O118" s="846"/>
      <c r="P118" s="846"/>
      <c r="Q118" s="846"/>
      <c r="R118" s="846"/>
      <c r="S118" s="846"/>
      <c r="T118" s="846"/>
      <c r="U118" s="846"/>
      <c r="V118" s="846"/>
      <c r="W118" s="80"/>
      <c r="X118" s="807"/>
      <c r="IC118" s="763"/>
      <c r="ID118" s="763"/>
      <c r="IE118" s="763"/>
      <c r="IF118" s="763"/>
      <c r="IG118" s="763"/>
      <c r="IH118" s="763"/>
      <c r="II118" s="763"/>
      <c r="IJ118" s="763"/>
      <c r="IK118" s="763"/>
      <c r="IL118" s="763"/>
      <c r="IM118" s="763"/>
      <c r="IN118" s="763"/>
    </row>
    <row r="119" spans="2:248" s="808" customFormat="1" ht="15" customHeight="1" x14ac:dyDescent="0.25">
      <c r="B119" s="856"/>
      <c r="C119" s="856"/>
      <c r="D119" s="856"/>
      <c r="E119" s="846"/>
      <c r="F119" s="846"/>
      <c r="G119" s="846"/>
      <c r="H119" s="846"/>
      <c r="I119" s="846"/>
      <c r="J119" s="846"/>
      <c r="K119" s="846"/>
      <c r="L119" s="846"/>
      <c r="M119" s="846"/>
      <c r="N119" s="846"/>
      <c r="O119" s="846"/>
      <c r="P119" s="846"/>
      <c r="Q119" s="846"/>
      <c r="R119" s="846"/>
      <c r="S119" s="846"/>
      <c r="T119" s="846"/>
      <c r="U119" s="846"/>
      <c r="V119" s="846"/>
      <c r="W119" s="80"/>
      <c r="X119" s="807"/>
      <c r="IC119" s="763"/>
      <c r="ID119" s="763"/>
      <c r="IE119" s="763"/>
      <c r="IF119" s="763"/>
      <c r="IG119" s="763"/>
      <c r="IH119" s="763"/>
      <c r="II119" s="763"/>
      <c r="IJ119" s="763"/>
      <c r="IK119" s="763"/>
      <c r="IL119" s="763"/>
      <c r="IM119" s="763"/>
      <c r="IN119" s="763"/>
    </row>
    <row r="120" spans="2:248" s="808" customFormat="1" ht="15" customHeight="1" x14ac:dyDescent="0.25">
      <c r="B120" s="856"/>
      <c r="C120" s="856"/>
      <c r="D120" s="856"/>
      <c r="E120" s="846"/>
      <c r="F120" s="846"/>
      <c r="G120" s="846"/>
      <c r="H120" s="846"/>
      <c r="I120" s="846"/>
      <c r="J120" s="846"/>
      <c r="K120" s="846"/>
      <c r="L120" s="846"/>
      <c r="M120" s="846"/>
      <c r="N120" s="846"/>
      <c r="O120" s="846"/>
      <c r="P120" s="846"/>
      <c r="Q120" s="846"/>
      <c r="R120" s="846"/>
      <c r="S120" s="846"/>
      <c r="T120" s="846"/>
      <c r="U120" s="846"/>
      <c r="V120" s="846"/>
      <c r="W120" s="80"/>
      <c r="X120" s="807"/>
      <c r="IC120" s="763"/>
      <c r="ID120" s="763"/>
      <c r="IE120" s="763"/>
      <c r="IF120" s="763"/>
      <c r="IG120" s="763"/>
      <c r="IH120" s="763"/>
      <c r="II120" s="763"/>
      <c r="IJ120" s="763"/>
      <c r="IK120" s="763"/>
      <c r="IL120" s="763"/>
      <c r="IM120" s="763"/>
      <c r="IN120" s="763"/>
    </row>
    <row r="121" spans="2:248" s="808" customFormat="1" ht="15" customHeight="1" x14ac:dyDescent="0.25">
      <c r="B121" s="873" t="str">
        <f>B84</f>
        <v>Valor Total</v>
      </c>
      <c r="C121" s="873"/>
      <c r="D121" s="873"/>
      <c r="E121" s="873"/>
      <c r="F121" s="873"/>
      <c r="G121" s="873"/>
      <c r="H121" s="873"/>
      <c r="I121" s="873"/>
      <c r="J121" s="873"/>
      <c r="K121" s="873"/>
      <c r="L121" s="873"/>
      <c r="M121" s="873"/>
      <c r="N121" s="873"/>
      <c r="O121" s="873"/>
      <c r="P121" s="873"/>
      <c r="Q121" s="873"/>
      <c r="R121" s="873"/>
      <c r="S121" s="873"/>
      <c r="T121" s="873"/>
      <c r="U121" s="873"/>
      <c r="V121" s="873"/>
      <c r="W121" s="873"/>
      <c r="X121" s="807"/>
      <c r="IC121" s="763"/>
      <c r="ID121" s="763"/>
      <c r="IE121" s="763"/>
      <c r="IF121" s="763"/>
      <c r="IG121" s="763"/>
      <c r="IH121" s="763"/>
      <c r="II121" s="763"/>
      <c r="IJ121" s="763"/>
      <c r="IK121" s="763"/>
      <c r="IL121" s="763"/>
      <c r="IM121" s="763"/>
      <c r="IN121" s="763"/>
    </row>
    <row r="122" spans="2:248" s="808" customFormat="1" ht="15" customHeight="1" thickBot="1" x14ac:dyDescent="0.3">
      <c r="B122" s="874"/>
      <c r="C122" s="874"/>
      <c r="D122" s="874"/>
      <c r="E122" s="875"/>
      <c r="F122" s="875"/>
      <c r="G122" s="875"/>
      <c r="H122" s="875"/>
      <c r="I122" s="875"/>
      <c r="J122" s="875"/>
      <c r="K122" s="875"/>
      <c r="L122" s="875"/>
      <c r="M122" s="875"/>
      <c r="N122" s="875"/>
      <c r="O122" s="875"/>
      <c r="P122" s="875"/>
      <c r="Q122" s="875"/>
      <c r="R122" s="875"/>
      <c r="S122" s="875"/>
      <c r="T122" s="875"/>
      <c r="U122" s="875"/>
      <c r="V122" s="875"/>
      <c r="W122" s="326"/>
      <c r="X122" s="807"/>
      <c r="IC122" s="763"/>
      <c r="ID122" s="763"/>
      <c r="IE122" s="763"/>
      <c r="IF122" s="763"/>
      <c r="IG122" s="763"/>
      <c r="IH122" s="763"/>
      <c r="II122" s="763"/>
      <c r="IJ122" s="763"/>
      <c r="IK122" s="763"/>
      <c r="IL122" s="763"/>
      <c r="IM122" s="763"/>
      <c r="IN122" s="763"/>
    </row>
    <row r="123" spans="2:248" ht="24.95" customHeight="1" thickTop="1" x14ac:dyDescent="0.25">
      <c r="B123" s="771"/>
      <c r="C123" s="771"/>
      <c r="D123" s="772"/>
      <c r="E123" s="878" t="s">
        <v>1149</v>
      </c>
      <c r="F123" s="879"/>
      <c r="G123" s="879"/>
      <c r="H123" s="879" t="s">
        <v>1150</v>
      </c>
      <c r="I123" s="879"/>
      <c r="J123" s="879"/>
      <c r="K123" s="879" t="s">
        <v>1151</v>
      </c>
      <c r="L123" s="879"/>
      <c r="M123" s="879"/>
      <c r="N123" s="879" t="s">
        <v>1152</v>
      </c>
      <c r="O123" s="879"/>
      <c r="P123" s="879"/>
      <c r="Q123" s="879" t="s">
        <v>1153</v>
      </c>
      <c r="R123" s="879"/>
      <c r="S123" s="879"/>
      <c r="T123" s="879" t="s">
        <v>1154</v>
      </c>
      <c r="U123" s="879"/>
      <c r="V123" s="880"/>
    </row>
    <row r="124" spans="2:248" ht="24.95" customHeight="1" thickBot="1" x14ac:dyDescent="0.3">
      <c r="B124" s="778"/>
      <c r="C124" s="778"/>
      <c r="D124" s="779"/>
      <c r="E124" s="780" t="s">
        <v>19</v>
      </c>
      <c r="F124" s="781" t="s">
        <v>889</v>
      </c>
      <c r="G124" s="782" t="s">
        <v>12</v>
      </c>
      <c r="H124" s="781" t="s">
        <v>19</v>
      </c>
      <c r="I124" s="781" t="s">
        <v>889</v>
      </c>
      <c r="J124" s="782" t="s">
        <v>12</v>
      </c>
      <c r="K124" s="781" t="s">
        <v>19</v>
      </c>
      <c r="L124" s="781" t="s">
        <v>889</v>
      </c>
      <c r="M124" s="782" t="s">
        <v>12</v>
      </c>
      <c r="N124" s="781" t="s">
        <v>19</v>
      </c>
      <c r="O124" s="781" t="s">
        <v>889</v>
      </c>
      <c r="P124" s="782" t="s">
        <v>12</v>
      </c>
      <c r="Q124" s="781" t="s">
        <v>19</v>
      </c>
      <c r="R124" s="781" t="s">
        <v>889</v>
      </c>
      <c r="S124" s="782" t="s">
        <v>12</v>
      </c>
      <c r="T124" s="781" t="s">
        <v>19</v>
      </c>
      <c r="U124" s="781" t="s">
        <v>889</v>
      </c>
      <c r="V124" s="783" t="s">
        <v>12</v>
      </c>
    </row>
    <row r="125" spans="2:248" ht="24.95" customHeight="1" thickTop="1" x14ac:dyDescent="0.25">
      <c r="B125" s="784" t="str">
        <f>'A IV.A'!$A$14</f>
        <v>1.0</v>
      </c>
      <c r="C125" s="785" t="str">
        <f>'A IV.A'!$B$14</f>
        <v>CANTEIRO DE OBRAS</v>
      </c>
      <c r="D125" s="786">
        <f>'A IV.A'!$L$14</f>
        <v>0</v>
      </c>
      <c r="E125" s="787">
        <f t="shared" ref="E125" si="21">E126+F126+G126</f>
        <v>0</v>
      </c>
      <c r="F125" s="788"/>
      <c r="G125" s="789"/>
      <c r="H125" s="787">
        <f t="shared" ref="H125" si="22">H126+I126+J126</f>
        <v>0</v>
      </c>
      <c r="I125" s="788"/>
      <c r="J125" s="789"/>
      <c r="K125" s="787">
        <f t="shared" ref="K125" si="23">K126+L126+M126</f>
        <v>0</v>
      </c>
      <c r="L125" s="788"/>
      <c r="M125" s="789"/>
      <c r="N125" s="787">
        <f t="shared" ref="N125" si="24">N126+O126+P126</f>
        <v>0</v>
      </c>
      <c r="O125" s="788"/>
      <c r="P125" s="789"/>
      <c r="Q125" s="787">
        <f t="shared" ref="Q125" si="25">Q126+R126+S126</f>
        <v>0</v>
      </c>
      <c r="R125" s="788"/>
      <c r="S125" s="789"/>
      <c r="T125" s="787">
        <f t="shared" ref="T125" si="26">T126+U126+V126</f>
        <v>0</v>
      </c>
      <c r="U125" s="788"/>
      <c r="V125" s="789"/>
      <c r="W125" s="516">
        <f>N125+Q125+T125+K125+H125+E125+W88</f>
        <v>0</v>
      </c>
    </row>
    <row r="126" spans="2:248" ht="24.95" customHeight="1" x14ac:dyDescent="0.25">
      <c r="B126" s="791"/>
      <c r="C126" s="792"/>
      <c r="D126" s="793"/>
      <c r="E126" s="794">
        <f>'A IV.A'!$F$14*0.09/2</f>
        <v>0</v>
      </c>
      <c r="F126" s="794">
        <f>'A IV.A'!$G$14*0.09/2</f>
        <v>0</v>
      </c>
      <c r="G126" s="794">
        <f>'A IV.A'!$H$14*0.09/2</f>
        <v>0</v>
      </c>
      <c r="H126" s="794">
        <f>'A IV.A'!$F$14*0.0811/2</f>
        <v>0</v>
      </c>
      <c r="I126" s="794">
        <f>'A IV.A'!$G$14*0.0811/2</f>
        <v>0</v>
      </c>
      <c r="J126" s="794">
        <f>'A IV.A'!$H$14*0.0811/2</f>
        <v>0</v>
      </c>
      <c r="K126" s="794">
        <f>'A IV.A'!$F$14*0.0811/2</f>
        <v>0</v>
      </c>
      <c r="L126" s="794">
        <f>'A IV.A'!$G$14*0.0811/2</f>
        <v>0</v>
      </c>
      <c r="M126" s="794">
        <f>'A IV.A'!$H$14*0.0811/2</f>
        <v>0</v>
      </c>
      <c r="N126" s="794">
        <f>'A IV.A'!$F$14*0.0811/2</f>
        <v>0</v>
      </c>
      <c r="O126" s="794">
        <f>'A IV.A'!$G$14*0.0811/2</f>
        <v>0</v>
      </c>
      <c r="P126" s="794">
        <f>'A IV.A'!$H$14*0.0811/2</f>
        <v>0</v>
      </c>
      <c r="Q126" s="794">
        <f>'A IV.A'!$F$14*0.0811/2</f>
        <v>0</v>
      </c>
      <c r="R126" s="794">
        <f>'A IV.A'!$G$14*0.0811/2</f>
        <v>0</v>
      </c>
      <c r="S126" s="794">
        <f>'A IV.A'!$H$14*0.0811/2</f>
        <v>0</v>
      </c>
      <c r="T126" s="794">
        <f>'A IV.A'!$F$14*0.0711/2</f>
        <v>0</v>
      </c>
      <c r="U126" s="794">
        <f>'A IV.A'!$G$14*0.0711/2</f>
        <v>0</v>
      </c>
      <c r="V126" s="794">
        <f>'A IV.A'!$H$14*0.0711/2</f>
        <v>0</v>
      </c>
      <c r="W126" s="517"/>
    </row>
    <row r="127" spans="2:248" ht="24.95" customHeight="1" x14ac:dyDescent="0.25">
      <c r="B127" s="795"/>
      <c r="C127" s="796"/>
      <c r="D127" s="797" t="e">
        <f>'A IV.A'!$M$14</f>
        <v>#DIV/0!</v>
      </c>
      <c r="E127" s="798" t="e">
        <f>E125/$D$51</f>
        <v>#DIV/0!</v>
      </c>
      <c r="F127" s="799"/>
      <c r="G127" s="800"/>
      <c r="H127" s="798" t="e">
        <f>H125/$D$51</f>
        <v>#DIV/0!</v>
      </c>
      <c r="I127" s="799"/>
      <c r="J127" s="800"/>
      <c r="K127" s="798" t="e">
        <f>K125/$D$51</f>
        <v>#DIV/0!</v>
      </c>
      <c r="L127" s="799"/>
      <c r="M127" s="800"/>
      <c r="N127" s="798" t="e">
        <f>N125/$D$51</f>
        <v>#DIV/0!</v>
      </c>
      <c r="O127" s="799"/>
      <c r="P127" s="800"/>
      <c r="Q127" s="798" t="e">
        <f>Q125/$D$51</f>
        <v>#DIV/0!</v>
      </c>
      <c r="R127" s="799"/>
      <c r="S127" s="800"/>
      <c r="T127" s="798" t="e">
        <f>T125/$D$51</f>
        <v>#DIV/0!</v>
      </c>
      <c r="U127" s="799"/>
      <c r="V127" s="800"/>
      <c r="W127" s="76" t="e">
        <f>W125/D125</f>
        <v>#DIV/0!</v>
      </c>
    </row>
    <row r="128" spans="2:248" ht="24.95" customHeight="1" x14ac:dyDescent="0.25">
      <c r="B128" s="801" t="str">
        <f>'A IV.A'!$A$22</f>
        <v>2.0</v>
      </c>
      <c r="C128" s="802" t="str">
        <f>'A IV.A'!$B$22</f>
        <v>SERVIÇOS INICIAIS</v>
      </c>
      <c r="D128" s="803">
        <f>'A IV.A'!$L$22</f>
        <v>0</v>
      </c>
      <c r="E128" s="804">
        <f>E129+F129+G129</f>
        <v>0</v>
      </c>
      <c r="F128" s="805"/>
      <c r="G128" s="806"/>
      <c r="H128" s="804">
        <f>H129+I129+J129</f>
        <v>0</v>
      </c>
      <c r="I128" s="805"/>
      <c r="J128" s="806"/>
      <c r="K128" s="804">
        <f>K129+L129+M129</f>
        <v>0</v>
      </c>
      <c r="L128" s="805"/>
      <c r="M128" s="806"/>
      <c r="N128" s="804">
        <f>N129+O129+P129</f>
        <v>0</v>
      </c>
      <c r="O128" s="805"/>
      <c r="P128" s="806"/>
      <c r="Q128" s="804">
        <f>Q129+R129+S129</f>
        <v>0</v>
      </c>
      <c r="R128" s="805"/>
      <c r="S128" s="806"/>
      <c r="T128" s="804">
        <f>T129+U129+V129</f>
        <v>0</v>
      </c>
      <c r="U128" s="805"/>
      <c r="V128" s="806"/>
      <c r="W128" s="524">
        <f>N128+Q128+T128+K128+H128+E128+W91</f>
        <v>0</v>
      </c>
    </row>
    <row r="129" spans="2:23" ht="24.95" customHeight="1" x14ac:dyDescent="0.25">
      <c r="B129" s="809"/>
      <c r="C129" s="810"/>
      <c r="D129" s="811"/>
      <c r="E129" s="812">
        <f>'A IV.A'!$F$22/12/2</f>
        <v>0</v>
      </c>
      <c r="F129" s="812">
        <f>'A IV.A'!$G$22/12/2</f>
        <v>0</v>
      </c>
      <c r="G129" s="812">
        <f>'A IV.A'!$H$22/12/2</f>
        <v>0</v>
      </c>
      <c r="H129" s="812">
        <f>'A IV.A'!$F$22/12/2</f>
        <v>0</v>
      </c>
      <c r="I129" s="812">
        <f>'A IV.A'!$G$22/12/2</f>
        <v>0</v>
      </c>
      <c r="J129" s="812">
        <f>'A IV.A'!$H$22/12/2</f>
        <v>0</v>
      </c>
      <c r="K129" s="812">
        <f>'A IV.A'!$F$22/12/2</f>
        <v>0</v>
      </c>
      <c r="L129" s="812">
        <f>'A IV.A'!$G$22/12/2</f>
        <v>0</v>
      </c>
      <c r="M129" s="812">
        <f>'A IV.A'!$H$22/12/2</f>
        <v>0</v>
      </c>
      <c r="N129" s="812">
        <f>'A IV.A'!$F$22/12/2</f>
        <v>0</v>
      </c>
      <c r="O129" s="812">
        <f>'A IV.A'!$G$22/12/2</f>
        <v>0</v>
      </c>
      <c r="P129" s="812">
        <f>'A IV.A'!$H$22/12/2</f>
        <v>0</v>
      </c>
      <c r="Q129" s="812">
        <f>'A IV.A'!$F$22/12/2</f>
        <v>0</v>
      </c>
      <c r="R129" s="812">
        <f>'A IV.A'!$G$22/12/2</f>
        <v>0</v>
      </c>
      <c r="S129" s="812">
        <f>'A IV.A'!$H$22/12/2</f>
        <v>0</v>
      </c>
      <c r="T129" s="812">
        <f>'A IV.A'!$F$22-Q129-N129-K129-H129-E129-T92-Q92-N92-K92-H92-E92-E55-H55-K55-N55-Q55-T55-E18-H18-K18-N18-Q18-T18</f>
        <v>0</v>
      </c>
      <c r="U129" s="812">
        <f>'A IV.A'!$G$22-R129-O129-L129-I129-F129-U92-R92-O92-L92-I92-F92-F55-I55-L55-O55-R55-U55-F18-I18-L18-O18-R18-U18</f>
        <v>0</v>
      </c>
      <c r="V129" s="812">
        <f>'A IV.A'!$H$22-S129-P129-M129-J129-G129-V92-S92-P92-M92-J92-G92-G55-J55-M55-P55-S55-V55-G18-J18-M18-P18-S18-V18</f>
        <v>0</v>
      </c>
      <c r="W129" s="525"/>
    </row>
    <row r="130" spans="2:23" ht="24.95" customHeight="1" x14ac:dyDescent="0.25">
      <c r="B130" s="813"/>
      <c r="C130" s="814"/>
      <c r="D130" s="815" t="e">
        <f>'A IV.A'!$M$22</f>
        <v>#DIV/0!</v>
      </c>
      <c r="E130" s="816" t="e">
        <f>E128/$D$54</f>
        <v>#DIV/0!</v>
      </c>
      <c r="F130" s="817"/>
      <c r="G130" s="818"/>
      <c r="H130" s="816" t="e">
        <f>H128/$D$54</f>
        <v>#DIV/0!</v>
      </c>
      <c r="I130" s="817"/>
      <c r="J130" s="818"/>
      <c r="K130" s="816" t="e">
        <f>K128/$D$54</f>
        <v>#DIV/0!</v>
      </c>
      <c r="L130" s="817"/>
      <c r="M130" s="818"/>
      <c r="N130" s="816" t="e">
        <f>N128/$D$54</f>
        <v>#DIV/0!</v>
      </c>
      <c r="O130" s="817"/>
      <c r="P130" s="818"/>
      <c r="Q130" s="816" t="e">
        <f>Q128/$D$54</f>
        <v>#DIV/0!</v>
      </c>
      <c r="R130" s="817"/>
      <c r="S130" s="818"/>
      <c r="T130" s="816" t="e">
        <f>T128/$D$54</f>
        <v>#DIV/0!</v>
      </c>
      <c r="U130" s="817"/>
      <c r="V130" s="818"/>
      <c r="W130" s="309" t="e">
        <f>W128/D128</f>
        <v>#DIV/0!</v>
      </c>
    </row>
    <row r="131" spans="2:23" ht="24.95" customHeight="1" x14ac:dyDescent="0.25">
      <c r="B131" s="819" t="str">
        <f>'A IV.A'!$A$43</f>
        <v>3.0</v>
      </c>
      <c r="C131" s="820" t="str">
        <f>'A IV.A'!$B$43</f>
        <v>FECHAMENTOS, PROTEÇÕES E ALVENARIAS EM GERAL</v>
      </c>
      <c r="D131" s="821">
        <f>'A IV.A'!$L$43</f>
        <v>0</v>
      </c>
      <c r="E131" s="822">
        <f>E132+F132+G132</f>
        <v>0</v>
      </c>
      <c r="F131" s="823"/>
      <c r="G131" s="824"/>
      <c r="H131" s="822">
        <f>H132+I132+J132</f>
        <v>0</v>
      </c>
      <c r="I131" s="823"/>
      <c r="J131" s="824"/>
      <c r="K131" s="822">
        <f>K132+L132+M132</f>
        <v>0</v>
      </c>
      <c r="L131" s="823"/>
      <c r="M131" s="824"/>
      <c r="N131" s="822">
        <f>N132+O132+P132</f>
        <v>0</v>
      </c>
      <c r="O131" s="823"/>
      <c r="P131" s="824"/>
      <c r="Q131" s="822">
        <f>Q132+R132+S132</f>
        <v>0</v>
      </c>
      <c r="R131" s="823"/>
      <c r="S131" s="824"/>
      <c r="T131" s="822">
        <f>T132+U132+V132</f>
        <v>0</v>
      </c>
      <c r="U131" s="823"/>
      <c r="V131" s="824"/>
      <c r="W131" s="521">
        <f>N131+Q131+T131+K131+H131+E131+W94</f>
        <v>0</v>
      </c>
    </row>
    <row r="132" spans="2:23" ht="24.95" customHeight="1" x14ac:dyDescent="0.25">
      <c r="B132" s="825"/>
      <c r="C132" s="792"/>
      <c r="D132" s="793"/>
      <c r="E132" s="794">
        <f>'A IV.A'!$F$43/12/4</f>
        <v>0</v>
      </c>
      <c r="F132" s="794">
        <f>'A IV.A'!$G$43/12/4</f>
        <v>0</v>
      </c>
      <c r="G132" s="794">
        <f>'A IV.A'!$H$43/12/4</f>
        <v>0</v>
      </c>
      <c r="H132" s="794">
        <f>'A IV.A'!$F$43/12/4</f>
        <v>0</v>
      </c>
      <c r="I132" s="794">
        <f>'A IV.A'!$G$43/12/4</f>
        <v>0</v>
      </c>
      <c r="J132" s="794">
        <f>'A IV.A'!$H$43/12/4</f>
        <v>0</v>
      </c>
      <c r="K132" s="794">
        <f>'A IV.A'!$F$43/12/4</f>
        <v>0</v>
      </c>
      <c r="L132" s="794">
        <f>'A IV.A'!$G$43/12/4</f>
        <v>0</v>
      </c>
      <c r="M132" s="794">
        <f>'A IV.A'!$H$43/12/4</f>
        <v>0</v>
      </c>
      <c r="N132" s="794">
        <f>'A IV.A'!$F$43/12/4</f>
        <v>0</v>
      </c>
      <c r="O132" s="794">
        <f>'A IV.A'!$G$43/12/4</f>
        <v>0</v>
      </c>
      <c r="P132" s="794">
        <f>'A IV.A'!$H$43/12/4</f>
        <v>0</v>
      </c>
      <c r="Q132" s="794">
        <f>'A IV.A'!$F$43/12/4</f>
        <v>0</v>
      </c>
      <c r="R132" s="794">
        <f>'A IV.A'!$G$43/12/4</f>
        <v>0</v>
      </c>
      <c r="S132" s="794">
        <f>'A IV.A'!$H$43/12/4</f>
        <v>0</v>
      </c>
      <c r="T132" s="794">
        <f>'A IV.A'!$F$43-Q132-N132-K132-H132-E132-T95-Q95-N95-K95-H95-E95-E58-H58-K58-N58-Q58-T58-E21-H21-K21-N21-Q21-T21</f>
        <v>0</v>
      </c>
      <c r="U132" s="794">
        <f>'A IV.A'!$G$43-R132-O132-L132-I132-F132-U95-R95-O95-L95-I95-F95-F58-I58-L58-O58-R58-U58-F21-I21-L21-O21-R21-U21</f>
        <v>0</v>
      </c>
      <c r="V132" s="794">
        <f>'A IV.A'!$H$43-S132-P132-M132-J132-G132-V95-S95-P95-M95-J95-G95-G58-J58-M58-P58-S58-V58-G21-J21-M21-P21-S21-V21</f>
        <v>0</v>
      </c>
      <c r="W132" s="517"/>
    </row>
    <row r="133" spans="2:23" ht="24.95" customHeight="1" x14ac:dyDescent="0.25">
      <c r="B133" s="826"/>
      <c r="C133" s="796"/>
      <c r="D133" s="797" t="e">
        <f>'A IV.A'!$M$43</f>
        <v>#DIV/0!</v>
      </c>
      <c r="E133" s="798" t="e">
        <f>E131/$D$57</f>
        <v>#DIV/0!</v>
      </c>
      <c r="F133" s="799"/>
      <c r="G133" s="800"/>
      <c r="H133" s="798" t="e">
        <f>H131/$D$57</f>
        <v>#DIV/0!</v>
      </c>
      <c r="I133" s="799"/>
      <c r="J133" s="800"/>
      <c r="K133" s="798" t="e">
        <f>K131/$D$57</f>
        <v>#DIV/0!</v>
      </c>
      <c r="L133" s="799"/>
      <c r="M133" s="800"/>
      <c r="N133" s="798" t="e">
        <f>N131/$D$57</f>
        <v>#DIV/0!</v>
      </c>
      <c r="O133" s="799"/>
      <c r="P133" s="800"/>
      <c r="Q133" s="798" t="e">
        <f>Q131/$D$57</f>
        <v>#DIV/0!</v>
      </c>
      <c r="R133" s="799"/>
      <c r="S133" s="800"/>
      <c r="T133" s="798" t="e">
        <f>T131/$D$57</f>
        <v>#DIV/0!</v>
      </c>
      <c r="U133" s="799"/>
      <c r="V133" s="800"/>
      <c r="W133" s="76" t="e">
        <f>W131/D131</f>
        <v>#DIV/0!</v>
      </c>
    </row>
    <row r="134" spans="2:23" ht="24.95" customHeight="1" x14ac:dyDescent="0.25">
      <c r="B134" s="801" t="str">
        <f>'A IV.A'!$A$112</f>
        <v>4.0</v>
      </c>
      <c r="C134" s="802" t="str">
        <f>'A IV.A'!$B$112</f>
        <v>FORNECIMENTO E INSTALAÇÕES HIDRAULICAS - ITEM 9.0 DO TERMO DE REFERÊNCIA</v>
      </c>
      <c r="D134" s="803">
        <f>'A IV.A'!$L$112</f>
        <v>0</v>
      </c>
      <c r="E134" s="804">
        <f>E135+F135+G135</f>
        <v>0</v>
      </c>
      <c r="F134" s="805"/>
      <c r="G134" s="806"/>
      <c r="H134" s="804">
        <f>H135+I135+J135</f>
        <v>0</v>
      </c>
      <c r="I134" s="805"/>
      <c r="J134" s="806"/>
      <c r="K134" s="804">
        <f>K135+L135+M135</f>
        <v>0</v>
      </c>
      <c r="L134" s="805"/>
      <c r="M134" s="806"/>
      <c r="N134" s="804">
        <f>N135+O135+P135</f>
        <v>0</v>
      </c>
      <c r="O134" s="805"/>
      <c r="P134" s="806"/>
      <c r="Q134" s="804">
        <f>Q135+R135+S135</f>
        <v>0</v>
      </c>
      <c r="R134" s="805"/>
      <c r="S134" s="806"/>
      <c r="T134" s="804">
        <f>T135+U135+V135</f>
        <v>0</v>
      </c>
      <c r="U134" s="805"/>
      <c r="V134" s="806"/>
      <c r="W134" s="524">
        <f>N134+Q134+T134+K134+H134+E134+W97</f>
        <v>0</v>
      </c>
    </row>
    <row r="135" spans="2:23" ht="24.95" customHeight="1" x14ac:dyDescent="0.25">
      <c r="B135" s="809"/>
      <c r="C135" s="810"/>
      <c r="D135" s="811"/>
      <c r="E135" s="812">
        <f>'A IV.A'!$F$112/12/2</f>
        <v>0</v>
      </c>
      <c r="F135" s="812">
        <f>'A IV.A'!$G$112/12/2</f>
        <v>0</v>
      </c>
      <c r="G135" s="812">
        <f>'A IV.A'!$H$112/12/2</f>
        <v>0</v>
      </c>
      <c r="H135" s="812">
        <f>'A IV.A'!$F$112/12/2</f>
        <v>0</v>
      </c>
      <c r="I135" s="812">
        <f>'A IV.A'!$G$112/12/2</f>
        <v>0</v>
      </c>
      <c r="J135" s="812">
        <f>'A IV.A'!$H$112/12/2</f>
        <v>0</v>
      </c>
      <c r="K135" s="812">
        <f>'A IV.A'!$F$112/12/2</f>
        <v>0</v>
      </c>
      <c r="L135" s="812">
        <f>'A IV.A'!$G$112/12/2</f>
        <v>0</v>
      </c>
      <c r="M135" s="812">
        <f>'A IV.A'!$H$112/12/2</f>
        <v>0</v>
      </c>
      <c r="N135" s="812">
        <f>'A IV.A'!$F$112/12/2</f>
        <v>0</v>
      </c>
      <c r="O135" s="812">
        <f>'A IV.A'!$G$112/12/2</f>
        <v>0</v>
      </c>
      <c r="P135" s="812">
        <f>'A IV.A'!$H$112/12/2</f>
        <v>0</v>
      </c>
      <c r="Q135" s="812">
        <f>'A IV.A'!$F$112/12/2</f>
        <v>0</v>
      </c>
      <c r="R135" s="812">
        <f>'A IV.A'!$G$112/12/2</f>
        <v>0</v>
      </c>
      <c r="S135" s="812">
        <f>'A IV.A'!$H$112/12/2</f>
        <v>0</v>
      </c>
      <c r="T135" s="812">
        <f>'A IV.A'!$F$112-Q135-N135-K135-H135-E135-T98-Q98-N98-K98-H98-E98-E61-H61-K61-N61-Q61-T61-E24-H24-K24-N24-Q24-T24</f>
        <v>0</v>
      </c>
      <c r="U135" s="812">
        <f>'A IV.A'!$G$112-R135-O135-L135-I135-F135-U98-R98-O98-L98-I98-F98-F61-I61-L61-O61-R61-U61-F24-I24-L24-O24-R24-U24</f>
        <v>0</v>
      </c>
      <c r="V135" s="812">
        <f>'A IV.A'!$H$112-S135-P135-M135-J135-G135-V98-S98-P98-M98-J98-G98-G61-J61-M61-P61-S61-V61-G24-J24-M24-P24-S24-V24</f>
        <v>0</v>
      </c>
      <c r="W135" s="525"/>
    </row>
    <row r="136" spans="2:23" ht="24.95" customHeight="1" x14ac:dyDescent="0.25">
      <c r="B136" s="813"/>
      <c r="C136" s="814"/>
      <c r="D136" s="815" t="e">
        <f>'A IV.A'!$M$112</f>
        <v>#DIV/0!</v>
      </c>
      <c r="E136" s="816" t="e">
        <f>E134/$D$60</f>
        <v>#DIV/0!</v>
      </c>
      <c r="F136" s="817"/>
      <c r="G136" s="818"/>
      <c r="H136" s="816" t="e">
        <f>H134/$D$60</f>
        <v>#DIV/0!</v>
      </c>
      <c r="I136" s="817"/>
      <c r="J136" s="818"/>
      <c r="K136" s="816" t="e">
        <f>K134/$D$60</f>
        <v>#DIV/0!</v>
      </c>
      <c r="L136" s="817"/>
      <c r="M136" s="818"/>
      <c r="N136" s="816" t="e">
        <f>N134/$D$60</f>
        <v>#DIV/0!</v>
      </c>
      <c r="O136" s="817"/>
      <c r="P136" s="818"/>
      <c r="Q136" s="816" t="e">
        <f>Q134/$D$60</f>
        <v>#DIV/0!</v>
      </c>
      <c r="R136" s="817"/>
      <c r="S136" s="818"/>
      <c r="T136" s="816" t="e">
        <f>T134/$D$60</f>
        <v>#DIV/0!</v>
      </c>
      <c r="U136" s="817"/>
      <c r="V136" s="818"/>
      <c r="W136" s="309" t="e">
        <f>W134/D134</f>
        <v>#DIV/0!</v>
      </c>
    </row>
    <row r="137" spans="2:23" ht="24.95" customHeight="1" x14ac:dyDescent="0.25">
      <c r="B137" s="827" t="str">
        <f>'A IV.A'!$A$126</f>
        <v>5.0</v>
      </c>
      <c r="C137" s="828" t="str">
        <f>'A IV.A'!$B$126</f>
        <v>RECUPERAÇÃO E TRATAMENTO DE SUPERFÍCIES EM CONCRETO ARMADO - ITEM 10.0 DO TERMO DE REFERÊNCIA</v>
      </c>
      <c r="D137" s="821">
        <f>'A IV.A'!$L$126</f>
        <v>0</v>
      </c>
      <c r="E137" s="822">
        <f>E138+F138+G138</f>
        <v>0</v>
      </c>
      <c r="F137" s="823"/>
      <c r="G137" s="824"/>
      <c r="H137" s="822">
        <f>H138+I138+J138</f>
        <v>0</v>
      </c>
      <c r="I137" s="823"/>
      <c r="J137" s="824"/>
      <c r="K137" s="822">
        <f>K138+L138+M138</f>
        <v>0</v>
      </c>
      <c r="L137" s="823"/>
      <c r="M137" s="824"/>
      <c r="N137" s="822">
        <f>N138+O138+P138</f>
        <v>0</v>
      </c>
      <c r="O137" s="823"/>
      <c r="P137" s="824"/>
      <c r="Q137" s="822">
        <f>Q138+R138+S138</f>
        <v>0</v>
      </c>
      <c r="R137" s="823"/>
      <c r="S137" s="824"/>
      <c r="T137" s="822">
        <f>T138+U138+V138</f>
        <v>0</v>
      </c>
      <c r="U137" s="823"/>
      <c r="V137" s="824"/>
      <c r="W137" s="521">
        <f>N137+Q137+T137+K137+H137+E137+W100</f>
        <v>0</v>
      </c>
    </row>
    <row r="138" spans="2:23" ht="24.95" customHeight="1" x14ac:dyDescent="0.25">
      <c r="B138" s="829"/>
      <c r="C138" s="830"/>
      <c r="D138" s="793"/>
      <c r="E138" s="794">
        <f>'A IV.A'!$F$126/12/2</f>
        <v>0</v>
      </c>
      <c r="F138" s="794">
        <f>'A IV.A'!$G$126/12/2</f>
        <v>0</v>
      </c>
      <c r="G138" s="794">
        <f>'A IV.A'!$H$126/12/2</f>
        <v>0</v>
      </c>
      <c r="H138" s="794">
        <f>'A IV.A'!$F$126/12/2</f>
        <v>0</v>
      </c>
      <c r="I138" s="794">
        <f>'A IV.A'!$G$126/12/2</f>
        <v>0</v>
      </c>
      <c r="J138" s="794">
        <f>'A IV.A'!$H$126/12/2</f>
        <v>0</v>
      </c>
      <c r="K138" s="794">
        <f>'A IV.A'!$F$126/12/2</f>
        <v>0</v>
      </c>
      <c r="L138" s="794">
        <f>'A IV.A'!$G$126/12/2</f>
        <v>0</v>
      </c>
      <c r="M138" s="794">
        <f>'A IV.A'!$H$126/12/2</f>
        <v>0</v>
      </c>
      <c r="N138" s="794">
        <f>'A IV.A'!$F$126/12/2</f>
        <v>0</v>
      </c>
      <c r="O138" s="794">
        <f>'A IV.A'!$G$126/12/2</f>
        <v>0</v>
      </c>
      <c r="P138" s="794">
        <f>'A IV.A'!$H$126/12/2</f>
        <v>0</v>
      </c>
      <c r="Q138" s="794">
        <f>'A IV.A'!$F$126/12/2</f>
        <v>0</v>
      </c>
      <c r="R138" s="794">
        <f>'A IV.A'!$G$126/12/2</f>
        <v>0</v>
      </c>
      <c r="S138" s="794">
        <f>'A IV.A'!$H$126/12/2</f>
        <v>0</v>
      </c>
      <c r="T138" s="794">
        <f>'A IV.A'!$F$126-Q138-N138-K138-H138-E138-T101-Q101-N101-K101-H101-E101-E64-H64-K64-N64-Q64-T64-E27-H27-K27-N27-Q27-T27</f>
        <v>0</v>
      </c>
      <c r="U138" s="794">
        <f>'A IV.A'!$G$126-R138-O138-L138-I138-F138-U101-R101-O101-L101-I101-F101-F64-I64-L64-O64-R64-U64-F27-I27-L27-O27-R27-U27</f>
        <v>0</v>
      </c>
      <c r="V138" s="794">
        <f>'A IV.A'!$H$126-S138-P138-M138-J138-G138-V101-S101-P101-M101-J101-G101-G64-J64-M64-P64-S64-V64-G27-J27-M27-P27-S27-V27</f>
        <v>0</v>
      </c>
      <c r="W138" s="517"/>
    </row>
    <row r="139" spans="2:23" ht="24.95" customHeight="1" x14ac:dyDescent="0.25">
      <c r="B139" s="831"/>
      <c r="C139" s="832"/>
      <c r="D139" s="797" t="e">
        <f>'A IV.A'!$M$126</f>
        <v>#DIV/0!</v>
      </c>
      <c r="E139" s="798" t="e">
        <f>E137/$D$63</f>
        <v>#DIV/0!</v>
      </c>
      <c r="F139" s="799"/>
      <c r="G139" s="800"/>
      <c r="H139" s="798" t="e">
        <f>H137/$D$63</f>
        <v>#DIV/0!</v>
      </c>
      <c r="I139" s="799"/>
      <c r="J139" s="800"/>
      <c r="K139" s="798" t="e">
        <f>K137/$D$63</f>
        <v>#DIV/0!</v>
      </c>
      <c r="L139" s="799"/>
      <c r="M139" s="800"/>
      <c r="N139" s="798" t="e">
        <f>N137/$D$63</f>
        <v>#DIV/0!</v>
      </c>
      <c r="O139" s="799"/>
      <c r="P139" s="800"/>
      <c r="Q139" s="798" t="e">
        <f>Q137/$D$63</f>
        <v>#DIV/0!</v>
      </c>
      <c r="R139" s="799"/>
      <c r="S139" s="800"/>
      <c r="T139" s="798" t="e">
        <f>T137/$D$63</f>
        <v>#DIV/0!</v>
      </c>
      <c r="U139" s="799"/>
      <c r="V139" s="800"/>
      <c r="W139" s="76" t="e">
        <f>W137/D137</f>
        <v>#DIV/0!</v>
      </c>
    </row>
    <row r="140" spans="2:23" ht="24.95" customHeight="1" x14ac:dyDescent="0.25">
      <c r="B140" s="833" t="str">
        <f>'A IV.A'!$A$134</f>
        <v>6.0</v>
      </c>
      <c r="C140" s="834" t="str">
        <f>'A IV.A'!$B$134</f>
        <v>PINTURAS - ITEM 11.0 DO TERMO DE REFERÊNCIA</v>
      </c>
      <c r="D140" s="803">
        <f>'A IV.A'!$L$134</f>
        <v>0</v>
      </c>
      <c r="E140" s="804">
        <f>E141+F141+G141</f>
        <v>0</v>
      </c>
      <c r="F140" s="805"/>
      <c r="G140" s="806"/>
      <c r="H140" s="804">
        <f>H141+I141+J141</f>
        <v>0</v>
      </c>
      <c r="I140" s="805"/>
      <c r="J140" s="806"/>
      <c r="K140" s="804">
        <f>K141+L141+M141</f>
        <v>0</v>
      </c>
      <c r="L140" s="805"/>
      <c r="M140" s="806"/>
      <c r="N140" s="804">
        <f>N141+O141+P141</f>
        <v>0</v>
      </c>
      <c r="O140" s="805"/>
      <c r="P140" s="806"/>
      <c r="Q140" s="804">
        <f>Q141+R141+S141</f>
        <v>0</v>
      </c>
      <c r="R140" s="805"/>
      <c r="S140" s="806"/>
      <c r="T140" s="804">
        <f>T141+U141+V141</f>
        <v>0</v>
      </c>
      <c r="U140" s="805"/>
      <c r="V140" s="806"/>
      <c r="W140" s="524">
        <f>N140+Q140+T140+K140+H140+E140+W103</f>
        <v>0</v>
      </c>
    </row>
    <row r="141" spans="2:23" ht="24.95" customHeight="1" x14ac:dyDescent="0.25">
      <c r="B141" s="835"/>
      <c r="C141" s="836"/>
      <c r="D141" s="811"/>
      <c r="E141" s="812">
        <f>'A IV.A'!$F$134*0.08/2</f>
        <v>0</v>
      </c>
      <c r="F141" s="812">
        <f>'A IV.A'!$G$134*0.08/2</f>
        <v>0</v>
      </c>
      <c r="G141" s="812">
        <f>'A IV.A'!$H$134*0.08/2</f>
        <v>0</v>
      </c>
      <c r="H141" s="812">
        <f>'A IV.A'!$F$134/12/2</f>
        <v>0</v>
      </c>
      <c r="I141" s="812">
        <f>'A IV.A'!$G$134/12/2</f>
        <v>0</v>
      </c>
      <c r="J141" s="812">
        <f>'A IV.A'!$H$134/12/2</f>
        <v>0</v>
      </c>
      <c r="K141" s="812">
        <f>'A IV.A'!$F$134/12/2</f>
        <v>0</v>
      </c>
      <c r="L141" s="812">
        <f>'A IV.A'!$G$134/12/2</f>
        <v>0</v>
      </c>
      <c r="M141" s="812">
        <f>'A IV.A'!$H$134/12/2</f>
        <v>0</v>
      </c>
      <c r="N141" s="812">
        <f>'A IV.A'!$F$134/12/2</f>
        <v>0</v>
      </c>
      <c r="O141" s="812">
        <f>'A IV.A'!$G$134/12/2</f>
        <v>0</v>
      </c>
      <c r="P141" s="812">
        <f>'A IV.A'!$H$134/12/2</f>
        <v>0</v>
      </c>
      <c r="Q141" s="812">
        <f>'A IV.A'!$F$134/12/2</f>
        <v>0</v>
      </c>
      <c r="R141" s="812">
        <f>'A IV.A'!$G$134/12/2</f>
        <v>0</v>
      </c>
      <c r="S141" s="812">
        <f>'A IV.A'!$H$134/12/2</f>
        <v>0</v>
      </c>
      <c r="T141" s="812">
        <f>'A IV.A'!$F$134-Q141-N141-K141-H141-E141-T104-Q104-N104-K104-H104-E104-E67-H67-K67-N67-Q67-T67-E30-H30-K30-N30-Q30-T30</f>
        <v>0</v>
      </c>
      <c r="U141" s="812">
        <f>'A IV.A'!$G$134-R141-O141-L141-I141-F141-U104-R104-O104-L104-I104-F104-F67-I67-L67-O67-R67-U67-F30-I30-L30-O30-R30-U30</f>
        <v>0</v>
      </c>
      <c r="V141" s="812">
        <f>'A IV.A'!$H$134-S141-P141-M141-J141-G141-V104-S104-P104-M104-J104-G104-G67-J67-M67-P67-S67-V67-G30-J30-M30-P30-S30-V30</f>
        <v>0</v>
      </c>
      <c r="W141" s="525"/>
    </row>
    <row r="142" spans="2:23" ht="24.95" customHeight="1" x14ac:dyDescent="0.25">
      <c r="B142" s="837"/>
      <c r="C142" s="838"/>
      <c r="D142" s="815" t="e">
        <f>'A IV.A'!$M$134</f>
        <v>#DIV/0!</v>
      </c>
      <c r="E142" s="816" t="e">
        <f>E140/$D$66</f>
        <v>#DIV/0!</v>
      </c>
      <c r="F142" s="817"/>
      <c r="G142" s="818"/>
      <c r="H142" s="816" t="e">
        <f>H140/$D$66</f>
        <v>#DIV/0!</v>
      </c>
      <c r="I142" s="817"/>
      <c r="J142" s="818"/>
      <c r="K142" s="816" t="e">
        <f>K140/$D$66</f>
        <v>#DIV/0!</v>
      </c>
      <c r="L142" s="817"/>
      <c r="M142" s="818"/>
      <c r="N142" s="816" t="e">
        <f>N140/$D$66</f>
        <v>#DIV/0!</v>
      </c>
      <c r="O142" s="817"/>
      <c r="P142" s="818"/>
      <c r="Q142" s="816" t="e">
        <f>Q140/$D$66</f>
        <v>#DIV/0!</v>
      </c>
      <c r="R142" s="817"/>
      <c r="S142" s="818"/>
      <c r="T142" s="816" t="e">
        <f>T140/$D$66</f>
        <v>#DIV/0!</v>
      </c>
      <c r="U142" s="817"/>
      <c r="V142" s="818"/>
      <c r="W142" s="309" t="e">
        <f>W140/D140</f>
        <v>#DIV/0!</v>
      </c>
    </row>
    <row r="143" spans="2:23" ht="24.95" customHeight="1" x14ac:dyDescent="0.25">
      <c r="B143" s="819" t="str">
        <f>'A IV.A'!$A$155</f>
        <v>7.0</v>
      </c>
      <c r="C143" s="820" t="str">
        <f>'A IV.A'!$B$155</f>
        <v>SERVIÇOS COMPLEMENTARES - ITEM 12.0 DO TERMO DE REFERÊNCIA</v>
      </c>
      <c r="D143" s="821">
        <f>'A IV.A'!$L$155</f>
        <v>0</v>
      </c>
      <c r="E143" s="822">
        <f>E144+F144+G144</f>
        <v>0</v>
      </c>
      <c r="F143" s="823"/>
      <c r="G143" s="824"/>
      <c r="H143" s="822">
        <f>H144+I144+J144</f>
        <v>0</v>
      </c>
      <c r="I143" s="823"/>
      <c r="J143" s="824"/>
      <c r="K143" s="822">
        <f>K144+L144+M144</f>
        <v>0</v>
      </c>
      <c r="L143" s="823"/>
      <c r="M143" s="824"/>
      <c r="N143" s="822">
        <f>N144+O144+P144</f>
        <v>0</v>
      </c>
      <c r="O143" s="823"/>
      <c r="P143" s="824"/>
      <c r="Q143" s="822">
        <f>Q144+R144+S144</f>
        <v>0</v>
      </c>
      <c r="R143" s="823"/>
      <c r="S143" s="824"/>
      <c r="T143" s="822">
        <f>T144+U144+V144</f>
        <v>0</v>
      </c>
      <c r="U143" s="823"/>
      <c r="V143" s="824"/>
      <c r="W143" s="521">
        <f>N143+Q143+T143+K143+H143+E143+W106</f>
        <v>0</v>
      </c>
    </row>
    <row r="144" spans="2:23" ht="24.95" customHeight="1" x14ac:dyDescent="0.25">
      <c r="B144" s="825"/>
      <c r="C144" s="792"/>
      <c r="D144" s="793"/>
      <c r="E144" s="794">
        <f>'A IV.A'!$F$155*0.12/2</f>
        <v>0</v>
      </c>
      <c r="F144" s="794">
        <f>'A IV.A'!$G$155*0.12/2/2</f>
        <v>0</v>
      </c>
      <c r="G144" s="794">
        <f>'A IV.A'!$H$155*0.12/2/2</f>
        <v>0</v>
      </c>
      <c r="H144" s="794">
        <f>'A IV.A'!$F$155*0.07/2</f>
        <v>0</v>
      </c>
      <c r="I144" s="794">
        <f>'A IV.A'!$G$155*0.07/2</f>
        <v>0</v>
      </c>
      <c r="J144" s="794">
        <f>'A IV.A'!$H$155*0.07/2/2</f>
        <v>0</v>
      </c>
      <c r="K144" s="794">
        <f>'A IV.A'!$F$155*0.07/2</f>
        <v>0</v>
      </c>
      <c r="L144" s="794">
        <f>'A IV.A'!$G$155*0.07/2</f>
        <v>0</v>
      </c>
      <c r="M144" s="794">
        <f>'A IV.A'!$H$155*0.07/2/2</f>
        <v>0</v>
      </c>
      <c r="N144" s="794">
        <f>'A IV.A'!$F$155*0.07/2</f>
        <v>0</v>
      </c>
      <c r="O144" s="794">
        <f>'A IV.A'!$G$155*0.07/2</f>
        <v>0</v>
      </c>
      <c r="P144" s="794">
        <f>'A IV.A'!$H$155*0.07/2/2</f>
        <v>0</v>
      </c>
      <c r="Q144" s="794">
        <f>'A IV.A'!$F$155*0.07/2/2</f>
        <v>0</v>
      </c>
      <c r="R144" s="794">
        <f>'A IV.A'!$G$155*0.07/2</f>
        <v>0</v>
      </c>
      <c r="S144" s="794">
        <f>'A IV.A'!$H$155*0.07/2/2</f>
        <v>0</v>
      </c>
      <c r="T144" s="794">
        <f>'A IV.A'!$F$155-Q144-N144-K144-H144-E144-T107-Q107-N107-K107-H107-E107-E70-H70-K70-N70-Q70-T70-E33-H33-K33-N33-Q33-T33</f>
        <v>0</v>
      </c>
      <c r="U144" s="794">
        <f>'A IV.A'!$G$155-R144-O144-L144-I144-F144-U107-R107-O107-L107-I107-F107-F70-I70-L70-O70-R70-U70-F33-I33-L33-O33-R33-U33</f>
        <v>0</v>
      </c>
      <c r="V144" s="794">
        <f>'A IV.A'!$H$155-S144-P144-M144-J144-G144-V107-S107-P107-M107-J107-G107-G70-J70-M70-P70-S70-V70-G33-J33-M33-P33-S33-V33</f>
        <v>0</v>
      </c>
      <c r="W144" s="517"/>
    </row>
    <row r="145" spans="2:248" ht="24.95" customHeight="1" thickBot="1" x14ac:dyDescent="0.3">
      <c r="B145" s="839"/>
      <c r="C145" s="840"/>
      <c r="D145" s="841" t="e">
        <f>'A IV.A'!$M$155</f>
        <v>#DIV/0!</v>
      </c>
      <c r="E145" s="842" t="e">
        <f>E143/$D$69</f>
        <v>#DIV/0!</v>
      </c>
      <c r="F145" s="843"/>
      <c r="G145" s="844"/>
      <c r="H145" s="842" t="e">
        <f>H143/$D$69</f>
        <v>#DIV/0!</v>
      </c>
      <c r="I145" s="843"/>
      <c r="J145" s="844"/>
      <c r="K145" s="842" t="e">
        <f>K143/$D$69</f>
        <v>#DIV/0!</v>
      </c>
      <c r="L145" s="843"/>
      <c r="M145" s="844"/>
      <c r="N145" s="842" t="e">
        <f>N143/$D$69</f>
        <v>#DIV/0!</v>
      </c>
      <c r="O145" s="843"/>
      <c r="P145" s="844"/>
      <c r="Q145" s="842" t="e">
        <f>Q143/$D$69</f>
        <v>#DIV/0!</v>
      </c>
      <c r="R145" s="843"/>
      <c r="S145" s="844"/>
      <c r="T145" s="842" t="e">
        <f>T143/$D$69</f>
        <v>#DIV/0!</v>
      </c>
      <c r="U145" s="843"/>
      <c r="V145" s="844"/>
      <c r="W145" s="77" t="e">
        <f>W143/D143</f>
        <v>#DIV/0!</v>
      </c>
    </row>
    <row r="146" spans="2:248" ht="24.95" customHeight="1" thickTop="1" thickBot="1" x14ac:dyDescent="0.3">
      <c r="B146" s="845"/>
      <c r="C146" s="845"/>
      <c r="D146" s="845"/>
      <c r="E146" s="846"/>
      <c r="F146" s="847"/>
      <c r="G146" s="846"/>
      <c r="H146" s="846"/>
      <c r="I146" s="847"/>
      <c r="J146" s="846"/>
      <c r="K146" s="846"/>
      <c r="L146" s="847"/>
      <c r="M146" s="846"/>
      <c r="N146" s="846"/>
      <c r="O146" s="847"/>
      <c r="P146" s="846"/>
      <c r="Q146" s="846"/>
      <c r="R146" s="847"/>
      <c r="S146" s="846"/>
      <c r="T146" s="846"/>
      <c r="U146" s="847"/>
      <c r="V146" s="846"/>
      <c r="W146" s="80"/>
    </row>
    <row r="147" spans="2:248" ht="24.95" customHeight="1" thickTop="1" x14ac:dyDescent="0.25">
      <c r="B147" s="848" t="s">
        <v>890</v>
      </c>
      <c r="C147" s="849"/>
      <c r="D147" s="522">
        <f>D125+D128+D131+D134+D137+D140+D143</f>
        <v>0</v>
      </c>
      <c r="E147" s="850">
        <f>E148+F148+G148</f>
        <v>0</v>
      </c>
      <c r="F147" s="851"/>
      <c r="G147" s="852"/>
      <c r="H147" s="850">
        <f>H148+I148+J148</f>
        <v>0</v>
      </c>
      <c r="I147" s="851"/>
      <c r="J147" s="852"/>
      <c r="K147" s="853">
        <f>K148+L148+M148</f>
        <v>0</v>
      </c>
      <c r="L147" s="854"/>
      <c r="M147" s="855"/>
      <c r="N147" s="853">
        <f>N148+O148+P148</f>
        <v>0</v>
      </c>
      <c r="O147" s="854"/>
      <c r="P147" s="855"/>
      <c r="Q147" s="853">
        <f>Q148+R148+S148</f>
        <v>0</v>
      </c>
      <c r="R147" s="854"/>
      <c r="S147" s="855"/>
      <c r="T147" s="853">
        <f>T148+U148+V148</f>
        <v>0</v>
      </c>
      <c r="U147" s="854"/>
      <c r="V147" s="855"/>
      <c r="W147" s="516">
        <f>W125+W128+W131+W134+W137+W140+W143</f>
        <v>0</v>
      </c>
    </row>
    <row r="148" spans="2:248" ht="24.95" customHeight="1" x14ac:dyDescent="0.25">
      <c r="B148" s="848"/>
      <c r="C148" s="849"/>
      <c r="D148" s="523"/>
      <c r="E148" s="78">
        <f>E138+E135+E132+E129+E126+E141+E144</f>
        <v>0</v>
      </c>
      <c r="F148" s="78">
        <f t="shared" ref="F148:V148" si="27">F138+F135+F132+F129+F126+F141+F144</f>
        <v>0</v>
      </c>
      <c r="G148" s="78">
        <f t="shared" si="27"/>
        <v>0</v>
      </c>
      <c r="H148" s="78">
        <f t="shared" si="27"/>
        <v>0</v>
      </c>
      <c r="I148" s="78">
        <f t="shared" si="27"/>
        <v>0</v>
      </c>
      <c r="J148" s="78">
        <f t="shared" si="27"/>
        <v>0</v>
      </c>
      <c r="K148" s="78">
        <f t="shared" si="27"/>
        <v>0</v>
      </c>
      <c r="L148" s="78">
        <f t="shared" si="27"/>
        <v>0</v>
      </c>
      <c r="M148" s="78">
        <f t="shared" si="27"/>
        <v>0</v>
      </c>
      <c r="N148" s="78">
        <f t="shared" si="27"/>
        <v>0</v>
      </c>
      <c r="O148" s="78">
        <f t="shared" si="27"/>
        <v>0</v>
      </c>
      <c r="P148" s="78">
        <f t="shared" si="27"/>
        <v>0</v>
      </c>
      <c r="Q148" s="78">
        <f t="shared" si="27"/>
        <v>0</v>
      </c>
      <c r="R148" s="78">
        <f t="shared" si="27"/>
        <v>0</v>
      </c>
      <c r="S148" s="78">
        <f t="shared" si="27"/>
        <v>0</v>
      </c>
      <c r="T148" s="78">
        <f t="shared" si="27"/>
        <v>0</v>
      </c>
      <c r="U148" s="78">
        <f t="shared" si="27"/>
        <v>0</v>
      </c>
      <c r="V148" s="78">
        <f t="shared" si="27"/>
        <v>0</v>
      </c>
      <c r="W148" s="517"/>
      <c r="X148" s="876"/>
    </row>
    <row r="149" spans="2:248" ht="24.95" customHeight="1" thickBot="1" x14ac:dyDescent="0.3">
      <c r="B149" s="848"/>
      <c r="C149" s="849"/>
      <c r="D149" s="79" t="e">
        <f>D127+D130+D133+D136+D139+D142+D145</f>
        <v>#DIV/0!</v>
      </c>
      <c r="E149" s="518" t="e">
        <f>ROUND(E147/$D$36,6)</f>
        <v>#DIV/0!</v>
      </c>
      <c r="F149" s="519"/>
      <c r="G149" s="520"/>
      <c r="H149" s="518" t="e">
        <f>ROUND(H147/$D$36,6)</f>
        <v>#DIV/0!</v>
      </c>
      <c r="I149" s="519"/>
      <c r="J149" s="520"/>
      <c r="K149" s="518" t="e">
        <f>ROUND(K147/$D$36,6)</f>
        <v>#DIV/0!</v>
      </c>
      <c r="L149" s="519"/>
      <c r="M149" s="520"/>
      <c r="N149" s="518" t="e">
        <f>ROUND(N147/$D$36,6)</f>
        <v>#DIV/0!</v>
      </c>
      <c r="O149" s="519"/>
      <c r="P149" s="520"/>
      <c r="Q149" s="518" t="e">
        <f>ROUND(Q147/$D$36,6)</f>
        <v>#DIV/0!</v>
      </c>
      <c r="R149" s="519"/>
      <c r="S149" s="520"/>
      <c r="T149" s="518" t="e">
        <f>ROUND(T147/$D$36,6)</f>
        <v>#DIV/0!</v>
      </c>
      <c r="U149" s="519"/>
      <c r="V149" s="520"/>
      <c r="W149" s="325" t="e">
        <f>ROUND(N149+Q149+T149+K149+H149+E149+W112,6)</f>
        <v>#DIV/0!</v>
      </c>
    </row>
    <row r="150" spans="2:248" ht="24.95" customHeight="1" thickTop="1" thickBot="1" x14ac:dyDescent="0.3">
      <c r="B150" s="856"/>
      <c r="C150" s="856"/>
      <c r="D150" s="856"/>
      <c r="E150" s="846"/>
      <c r="F150" s="846"/>
      <c r="G150" s="846"/>
      <c r="H150" s="846"/>
      <c r="I150" s="846"/>
      <c r="J150" s="846"/>
      <c r="K150" s="846"/>
      <c r="L150" s="846"/>
      <c r="M150" s="846"/>
      <c r="N150" s="846"/>
      <c r="O150" s="846"/>
      <c r="P150" s="846"/>
      <c r="Q150" s="846"/>
      <c r="R150" s="846"/>
      <c r="S150" s="846"/>
      <c r="T150" s="846"/>
      <c r="U150" s="846"/>
      <c r="V150" s="846"/>
      <c r="W150" s="80"/>
    </row>
    <row r="151" spans="2:248" ht="24.95" customHeight="1" thickTop="1" x14ac:dyDescent="0.25">
      <c r="B151" s="857" t="s">
        <v>891</v>
      </c>
      <c r="C151" s="858"/>
      <c r="D151" s="859" t="s">
        <v>2</v>
      </c>
      <c r="E151" s="850">
        <f>E147+T114</f>
        <v>0</v>
      </c>
      <c r="F151" s="851"/>
      <c r="G151" s="852"/>
      <c r="H151" s="850">
        <f>H147+E151</f>
        <v>0</v>
      </c>
      <c r="I151" s="851"/>
      <c r="J151" s="852"/>
      <c r="K151" s="850">
        <f>K147+H151</f>
        <v>0</v>
      </c>
      <c r="L151" s="851"/>
      <c r="M151" s="852"/>
      <c r="N151" s="850">
        <f>N147+K151</f>
        <v>0</v>
      </c>
      <c r="O151" s="851"/>
      <c r="P151" s="852"/>
      <c r="Q151" s="850">
        <f>Q147+N151</f>
        <v>0</v>
      </c>
      <c r="R151" s="851"/>
      <c r="S151" s="852"/>
      <c r="T151" s="850">
        <f>T147+Q151</f>
        <v>0</v>
      </c>
      <c r="U151" s="851"/>
      <c r="V151" s="860"/>
      <c r="W151" s="80"/>
    </row>
    <row r="152" spans="2:248" ht="24.95" customHeight="1" x14ac:dyDescent="0.25">
      <c r="B152" s="857" t="s">
        <v>891</v>
      </c>
      <c r="C152" s="858"/>
      <c r="D152" s="861" t="s">
        <v>2</v>
      </c>
      <c r="E152" s="862">
        <f>E148+T115</f>
        <v>0</v>
      </c>
      <c r="F152" s="862">
        <f>F148+U115</f>
        <v>0</v>
      </c>
      <c r="G152" s="862">
        <f>G148+V115</f>
        <v>0</v>
      </c>
      <c r="H152" s="862">
        <f>H148+E152</f>
        <v>0</v>
      </c>
      <c r="I152" s="862">
        <f>I148+F152</f>
        <v>0</v>
      </c>
      <c r="J152" s="862">
        <f>J148+G152</f>
        <v>0</v>
      </c>
      <c r="K152" s="862">
        <f>K148+H152</f>
        <v>0</v>
      </c>
      <c r="L152" s="862">
        <f>L148+I152</f>
        <v>0</v>
      </c>
      <c r="M152" s="863">
        <f>M148+J152</f>
        <v>0</v>
      </c>
      <c r="N152" s="862">
        <f>N148+K152</f>
        <v>0</v>
      </c>
      <c r="O152" s="862">
        <f>O148+L152</f>
        <v>0</v>
      </c>
      <c r="P152" s="862">
        <f>P148+M152</f>
        <v>0</v>
      </c>
      <c r="Q152" s="864">
        <f>Q148+N152</f>
        <v>0</v>
      </c>
      <c r="R152" s="862">
        <f>R148+O152</f>
        <v>0</v>
      </c>
      <c r="S152" s="863">
        <f>S148+P152</f>
        <v>0</v>
      </c>
      <c r="T152" s="862">
        <f>T148+Q152</f>
        <v>0</v>
      </c>
      <c r="U152" s="862">
        <f>U148+R152</f>
        <v>0</v>
      </c>
      <c r="V152" s="865">
        <f>V148+S152</f>
        <v>0</v>
      </c>
      <c r="W152" s="80"/>
    </row>
    <row r="153" spans="2:248" ht="24.95" customHeight="1" x14ac:dyDescent="0.25">
      <c r="B153" s="857" t="s">
        <v>892</v>
      </c>
      <c r="C153" s="858"/>
      <c r="D153" s="861" t="s">
        <v>2</v>
      </c>
      <c r="E153" s="866">
        <f>$D$36-E151</f>
        <v>0</v>
      </c>
      <c r="F153" s="867"/>
      <c r="G153" s="868"/>
      <c r="H153" s="866">
        <f>$D$36-H151</f>
        <v>0</v>
      </c>
      <c r="I153" s="867"/>
      <c r="J153" s="868"/>
      <c r="K153" s="866">
        <f>$D$36-K151</f>
        <v>0</v>
      </c>
      <c r="L153" s="867"/>
      <c r="M153" s="868"/>
      <c r="N153" s="866">
        <f>$D$36-N151</f>
        <v>0</v>
      </c>
      <c r="O153" s="867"/>
      <c r="P153" s="868"/>
      <c r="Q153" s="866">
        <f>$D$36-Q151</f>
        <v>0</v>
      </c>
      <c r="R153" s="867"/>
      <c r="S153" s="868"/>
      <c r="T153" s="866">
        <f>$D$36-T151</f>
        <v>0</v>
      </c>
      <c r="U153" s="867"/>
      <c r="V153" s="869"/>
      <c r="W153" s="80"/>
    </row>
    <row r="154" spans="2:248" ht="24.95" customHeight="1" thickBot="1" x14ac:dyDescent="0.3">
      <c r="B154" s="857" t="s">
        <v>892</v>
      </c>
      <c r="C154" s="858"/>
      <c r="D154" s="870" t="s">
        <v>2</v>
      </c>
      <c r="E154" s="871">
        <f>'A IV.A'!$L$175-E152</f>
        <v>0</v>
      </c>
      <c r="F154" s="871">
        <f>'A IV.A'!$L$176-F152</f>
        <v>0</v>
      </c>
      <c r="G154" s="871">
        <f>'A IV.A'!$L$177-G152</f>
        <v>0</v>
      </c>
      <c r="H154" s="871">
        <f>'A IV.A'!$L$175-H152</f>
        <v>0</v>
      </c>
      <c r="I154" s="871">
        <f>'A IV.A'!$L$176-I152</f>
        <v>0</v>
      </c>
      <c r="J154" s="871">
        <f>'A IV.A'!$L$177-J152</f>
        <v>0</v>
      </c>
      <c r="K154" s="871">
        <f>'A IV.A'!$L$175-K152</f>
        <v>0</v>
      </c>
      <c r="L154" s="871">
        <f>'A IV.A'!$L$176-L152</f>
        <v>0</v>
      </c>
      <c r="M154" s="871">
        <f>'A IV.A'!$L$177-M152</f>
        <v>0</v>
      </c>
      <c r="N154" s="871">
        <f>'A IV.A'!$L$175-N152</f>
        <v>0</v>
      </c>
      <c r="O154" s="871">
        <f>'A IV.A'!$L$176-O152</f>
        <v>0</v>
      </c>
      <c r="P154" s="871">
        <f>'A IV.A'!$L$177-P152</f>
        <v>0</v>
      </c>
      <c r="Q154" s="871">
        <f>'A IV.A'!$L$175-Q152</f>
        <v>0</v>
      </c>
      <c r="R154" s="871">
        <f>'A IV.A'!$L$176-R152</f>
        <v>0</v>
      </c>
      <c r="S154" s="871">
        <f>'A IV.A'!$L$177-S152</f>
        <v>0</v>
      </c>
      <c r="T154" s="871">
        <f>'A IV.A'!$L$175-T152</f>
        <v>0</v>
      </c>
      <c r="U154" s="871">
        <f>'A IV.A'!$L$176-U152</f>
        <v>0</v>
      </c>
      <c r="V154" s="872">
        <f>'A IV.A'!$L$177-V152</f>
        <v>0</v>
      </c>
      <c r="W154" s="80"/>
    </row>
    <row r="155" spans="2:248" s="808" customFormat="1" ht="15" customHeight="1" thickTop="1" x14ac:dyDescent="0.25">
      <c r="B155" s="856"/>
      <c r="C155" s="856"/>
      <c r="D155" s="856"/>
      <c r="E155" s="846"/>
      <c r="F155" s="846"/>
      <c r="G155" s="846"/>
      <c r="H155" s="846"/>
      <c r="I155" s="846"/>
      <c r="J155" s="846"/>
      <c r="K155" s="846"/>
      <c r="L155" s="846"/>
      <c r="M155" s="846"/>
      <c r="N155" s="846"/>
      <c r="O155" s="846"/>
      <c r="P155" s="846"/>
      <c r="Q155" s="846"/>
      <c r="R155" s="846"/>
      <c r="S155" s="846"/>
      <c r="T155" s="846"/>
      <c r="U155" s="846"/>
      <c r="V155" s="846"/>
      <c r="W155" s="80"/>
      <c r="X155" s="807"/>
      <c r="IC155" s="763"/>
      <c r="ID155" s="763"/>
      <c r="IE155" s="763"/>
      <c r="IF155" s="763"/>
      <c r="IG155" s="763"/>
      <c r="IH155" s="763"/>
      <c r="II155" s="763"/>
      <c r="IJ155" s="763"/>
      <c r="IK155" s="763"/>
      <c r="IL155" s="763"/>
      <c r="IM155" s="763"/>
      <c r="IN155" s="763"/>
    </row>
    <row r="156" spans="2:248" s="808" customFormat="1" ht="15" customHeight="1" x14ac:dyDescent="0.25">
      <c r="B156" s="856"/>
      <c r="C156" s="856"/>
      <c r="D156" s="856"/>
      <c r="E156" s="846"/>
      <c r="F156" s="846"/>
      <c r="G156" s="846"/>
      <c r="H156" s="846"/>
      <c r="I156" s="846"/>
      <c r="J156" s="846"/>
      <c r="K156" s="846"/>
      <c r="L156" s="846"/>
      <c r="M156" s="846"/>
      <c r="N156" s="846"/>
      <c r="O156" s="846"/>
      <c r="P156" s="846"/>
      <c r="Q156" s="846"/>
      <c r="R156" s="846"/>
      <c r="S156" s="846"/>
      <c r="T156" s="846"/>
      <c r="U156" s="846"/>
      <c r="V156" s="846"/>
      <c r="W156" s="80"/>
      <c r="X156" s="807"/>
      <c r="IC156" s="763"/>
      <c r="ID156" s="763"/>
      <c r="IE156" s="763"/>
      <c r="IF156" s="763"/>
      <c r="IG156" s="763"/>
      <c r="IH156" s="763"/>
      <c r="II156" s="763"/>
      <c r="IJ156" s="763"/>
      <c r="IK156" s="763"/>
      <c r="IL156" s="763"/>
      <c r="IM156" s="763"/>
      <c r="IN156" s="763"/>
    </row>
    <row r="157" spans="2:248" s="808" customFormat="1" ht="15" customHeight="1" x14ac:dyDescent="0.25">
      <c r="B157" s="856"/>
      <c r="C157" s="856"/>
      <c r="D157" s="856"/>
      <c r="E157" s="846"/>
      <c r="F157" s="846"/>
      <c r="G157" s="846"/>
      <c r="H157" s="846"/>
      <c r="I157" s="846"/>
      <c r="J157" s="846"/>
      <c r="K157" s="846"/>
      <c r="L157" s="846"/>
      <c r="M157" s="846"/>
      <c r="N157" s="846"/>
      <c r="O157" s="846"/>
      <c r="P157" s="846"/>
      <c r="Q157" s="846"/>
      <c r="R157" s="846"/>
      <c r="S157" s="846"/>
      <c r="T157" s="846"/>
      <c r="U157" s="846"/>
      <c r="V157" s="846"/>
      <c r="W157" s="80"/>
      <c r="X157" s="807"/>
      <c r="IC157" s="763"/>
      <c r="ID157" s="763"/>
      <c r="IE157" s="763"/>
      <c r="IF157" s="763"/>
      <c r="IG157" s="763"/>
      <c r="IH157" s="763"/>
      <c r="II157" s="763"/>
      <c r="IJ157" s="763"/>
      <c r="IK157" s="763"/>
      <c r="IL157" s="763"/>
      <c r="IM157" s="763"/>
      <c r="IN157" s="763"/>
    </row>
    <row r="158" spans="2:248" s="808" customFormat="1" ht="15" customHeight="1" x14ac:dyDescent="0.25">
      <c r="B158" s="873" t="str">
        <f>'A IV.A'!A203</f>
        <v>Valor Total</v>
      </c>
      <c r="C158" s="873"/>
      <c r="D158" s="873"/>
      <c r="E158" s="873"/>
      <c r="F158" s="873"/>
      <c r="G158" s="873"/>
      <c r="H158" s="873"/>
      <c r="I158" s="873"/>
      <c r="J158" s="873"/>
      <c r="K158" s="873"/>
      <c r="L158" s="873"/>
      <c r="M158" s="873"/>
      <c r="N158" s="873"/>
      <c r="O158" s="873"/>
      <c r="P158" s="873"/>
      <c r="Q158" s="873"/>
      <c r="R158" s="873"/>
      <c r="S158" s="873"/>
      <c r="T158" s="873"/>
      <c r="U158" s="873"/>
      <c r="V158" s="873"/>
      <c r="W158" s="873"/>
      <c r="X158" s="807"/>
      <c r="IC158" s="763"/>
      <c r="ID158" s="763"/>
      <c r="IE158" s="763"/>
      <c r="IF158" s="763"/>
      <c r="IG158" s="763"/>
      <c r="IH158" s="763"/>
      <c r="II158" s="763"/>
      <c r="IJ158" s="763"/>
      <c r="IK158" s="763"/>
      <c r="IL158" s="763"/>
      <c r="IM158" s="763"/>
      <c r="IN158" s="763"/>
    </row>
    <row r="159" spans="2:248" s="808" customFormat="1" ht="15" customHeight="1" x14ac:dyDescent="0.25">
      <c r="B159" s="874"/>
      <c r="C159" s="874"/>
      <c r="D159" s="874"/>
      <c r="E159" s="875"/>
      <c r="F159" s="875"/>
      <c r="G159" s="875"/>
      <c r="H159" s="875"/>
      <c r="I159" s="875"/>
      <c r="J159" s="875"/>
      <c r="K159" s="875"/>
      <c r="L159" s="875"/>
      <c r="M159" s="875"/>
      <c r="N159" s="875"/>
      <c r="O159" s="875"/>
      <c r="P159" s="875"/>
      <c r="Q159" s="875"/>
      <c r="R159" s="875"/>
      <c r="S159" s="875"/>
      <c r="T159" s="875"/>
      <c r="U159" s="875"/>
      <c r="V159" s="875"/>
      <c r="W159" s="326"/>
      <c r="X159" s="807"/>
      <c r="IC159" s="763"/>
      <c r="ID159" s="763"/>
      <c r="IE159" s="763"/>
      <c r="IF159" s="763"/>
      <c r="IG159" s="763"/>
      <c r="IH159" s="763"/>
      <c r="II159" s="763"/>
      <c r="IJ159" s="763"/>
      <c r="IK159" s="763"/>
      <c r="IL159" s="763"/>
      <c r="IM159" s="763"/>
      <c r="IN159" s="763"/>
    </row>
    <row r="160" spans="2:248" ht="15" customHeight="1" x14ac:dyDescent="0.25">
      <c r="B160" s="881" t="str">
        <f>'A IV.A'!A205</f>
        <v>Data</v>
      </c>
      <c r="C160" s="881"/>
      <c r="D160" s="881"/>
      <c r="E160" s="881"/>
      <c r="F160" s="881"/>
      <c r="G160" s="881"/>
      <c r="H160" s="881"/>
      <c r="I160" s="881"/>
      <c r="J160" s="881"/>
      <c r="K160" s="881"/>
      <c r="L160" s="881"/>
      <c r="M160" s="881"/>
      <c r="N160" s="881"/>
      <c r="O160" s="881"/>
      <c r="P160" s="881"/>
      <c r="Q160" s="881"/>
      <c r="R160" s="881"/>
      <c r="S160" s="881"/>
      <c r="T160" s="881"/>
      <c r="U160" s="881"/>
      <c r="V160" s="881"/>
      <c r="W160" s="881"/>
    </row>
  </sheetData>
  <sheetProtection algorithmName="SHA-512" hashValue="4gA0kwDVyLGV37rddBMWo56SZV2ni9I+wM525RQPdQIt1AglrrJXU06TTomIdFxsMByATds+AJExsejk2WBFmA==" saltValue="pz9KZqROuScxOMkt8d6Eww==" spinCount="100000" sheet="1" objects="1" scenarios="1" selectLockedCells="1"/>
  <mergeCells count="613">
    <mergeCell ref="B1:W3"/>
    <mergeCell ref="B4:W4"/>
    <mergeCell ref="B84:W84"/>
    <mergeCell ref="W73:W74"/>
    <mergeCell ref="T71:V71"/>
    <mergeCell ref="E79:G79"/>
    <mergeCell ref="H79:J79"/>
    <mergeCell ref="N77:P77"/>
    <mergeCell ref="Q77:S77"/>
    <mergeCell ref="E77:G77"/>
    <mergeCell ref="H77:J77"/>
    <mergeCell ref="K77:M77"/>
    <mergeCell ref="Q71:S71"/>
    <mergeCell ref="K36:M36"/>
    <mergeCell ref="E26:G26"/>
    <mergeCell ref="B32:B34"/>
    <mergeCell ref="N36:P36"/>
    <mergeCell ref="N38:P38"/>
    <mergeCell ref="Q36:S36"/>
    <mergeCell ref="E38:G38"/>
    <mergeCell ref="E34:G34"/>
    <mergeCell ref="H34:J34"/>
    <mergeCell ref="K34:M34"/>
    <mergeCell ref="N32:P32"/>
    <mergeCell ref="Q34:S34"/>
    <mergeCell ref="H36:J36"/>
    <mergeCell ref="N34:P34"/>
    <mergeCell ref="E36:G36"/>
    <mergeCell ref="H38:J38"/>
    <mergeCell ref="K38:M38"/>
    <mergeCell ref="H32:J32"/>
    <mergeCell ref="K32:M32"/>
    <mergeCell ref="C32:C34"/>
    <mergeCell ref="N25:P25"/>
    <mergeCell ref="T26:V26"/>
    <mergeCell ref="T22:V22"/>
    <mergeCell ref="K28:M28"/>
    <mergeCell ref="K26:M26"/>
    <mergeCell ref="N26:P26"/>
    <mergeCell ref="E29:G29"/>
    <mergeCell ref="E31:G31"/>
    <mergeCell ref="C20:C22"/>
    <mergeCell ref="D20:D21"/>
    <mergeCell ref="E20:G20"/>
    <mergeCell ref="Q31:S31"/>
    <mergeCell ref="C26:C28"/>
    <mergeCell ref="D26:D27"/>
    <mergeCell ref="E23:G23"/>
    <mergeCell ref="W14:W15"/>
    <mergeCell ref="W17:W18"/>
    <mergeCell ref="T17:V17"/>
    <mergeCell ref="N14:P14"/>
    <mergeCell ref="Q14:S14"/>
    <mergeCell ref="N16:P16"/>
    <mergeCell ref="T28:V28"/>
    <mergeCell ref="K17:M17"/>
    <mergeCell ref="K16:M16"/>
    <mergeCell ref="W20:W21"/>
    <mergeCell ref="W23:W24"/>
    <mergeCell ref="W26:W27"/>
    <mergeCell ref="K20:M20"/>
    <mergeCell ref="Q26:S26"/>
    <mergeCell ref="Q25:S25"/>
    <mergeCell ref="N22:P22"/>
    <mergeCell ref="Q20:S20"/>
    <mergeCell ref="N19:P19"/>
    <mergeCell ref="K25:M25"/>
    <mergeCell ref="T25:V25"/>
    <mergeCell ref="N23:P23"/>
    <mergeCell ref="Q23:S23"/>
    <mergeCell ref="T23:V23"/>
    <mergeCell ref="K23:M23"/>
    <mergeCell ref="E12:G12"/>
    <mergeCell ref="E14:G14"/>
    <mergeCell ref="H14:J14"/>
    <mergeCell ref="K14:M14"/>
    <mergeCell ref="K12:M12"/>
    <mergeCell ref="N12:P12"/>
    <mergeCell ref="Q12:S12"/>
    <mergeCell ref="T16:V16"/>
    <mergeCell ref="H12:J12"/>
    <mergeCell ref="Q16:S16"/>
    <mergeCell ref="H17:J17"/>
    <mergeCell ref="K19:M19"/>
    <mergeCell ref="K22:M22"/>
    <mergeCell ref="H23:J23"/>
    <mergeCell ref="Q17:S17"/>
    <mergeCell ref="Q22:S22"/>
    <mergeCell ref="N20:P20"/>
    <mergeCell ref="C29:C31"/>
    <mergeCell ref="B5:V5"/>
    <mergeCell ref="B6:V6"/>
    <mergeCell ref="B12:D13"/>
    <mergeCell ref="B14:B16"/>
    <mergeCell ref="C14:C16"/>
    <mergeCell ref="D14:D15"/>
    <mergeCell ref="E16:G16"/>
    <mergeCell ref="H16:J16"/>
    <mergeCell ref="B8:V8"/>
    <mergeCell ref="T12:V12"/>
    <mergeCell ref="T14:V14"/>
    <mergeCell ref="B10:V10"/>
    <mergeCell ref="B17:B19"/>
    <mergeCell ref="T32:V32"/>
    <mergeCell ref="D32:D33"/>
    <mergeCell ref="E32:G32"/>
    <mergeCell ref="B23:B25"/>
    <mergeCell ref="C23:C25"/>
    <mergeCell ref="E25:G25"/>
    <mergeCell ref="H25:J25"/>
    <mergeCell ref="N29:P29"/>
    <mergeCell ref="N31:P31"/>
    <mergeCell ref="B29:B31"/>
    <mergeCell ref="H20:J20"/>
    <mergeCell ref="B20:B22"/>
    <mergeCell ref="Q19:S19"/>
    <mergeCell ref="T19:V19"/>
    <mergeCell ref="N17:P17"/>
    <mergeCell ref="T20:V20"/>
    <mergeCell ref="H22:J22"/>
    <mergeCell ref="C17:C19"/>
    <mergeCell ref="D17:D18"/>
    <mergeCell ref="D23:D24"/>
    <mergeCell ref="E17:G17"/>
    <mergeCell ref="E19:G19"/>
    <mergeCell ref="E22:G22"/>
    <mergeCell ref="B49:D50"/>
    <mergeCell ref="T40:V40"/>
    <mergeCell ref="T42:V42"/>
    <mergeCell ref="E28:G28"/>
    <mergeCell ref="W29:W30"/>
    <mergeCell ref="W32:W33"/>
    <mergeCell ref="T29:V29"/>
    <mergeCell ref="H29:J29"/>
    <mergeCell ref="H31:J31"/>
    <mergeCell ref="K29:M29"/>
    <mergeCell ref="K31:M31"/>
    <mergeCell ref="Q32:S32"/>
    <mergeCell ref="T31:V31"/>
    <mergeCell ref="N42:P42"/>
    <mergeCell ref="E40:G40"/>
    <mergeCell ref="Q29:S29"/>
    <mergeCell ref="D29:D30"/>
    <mergeCell ref="H40:J40"/>
    <mergeCell ref="K40:M40"/>
    <mergeCell ref="W36:W37"/>
    <mergeCell ref="Q38:S38"/>
    <mergeCell ref="T36:V36"/>
    <mergeCell ref="T38:V38"/>
    <mergeCell ref="D36:D37"/>
    <mergeCell ref="D69:D70"/>
    <mergeCell ref="E71:G71"/>
    <mergeCell ref="B69:B71"/>
    <mergeCell ref="C69:C71"/>
    <mergeCell ref="D73:D74"/>
    <mergeCell ref="E73:G73"/>
    <mergeCell ref="H73:J73"/>
    <mergeCell ref="E75:G75"/>
    <mergeCell ref="H75:J75"/>
    <mergeCell ref="H66:J66"/>
    <mergeCell ref="H62:J62"/>
    <mergeCell ref="K62:M62"/>
    <mergeCell ref="H60:J60"/>
    <mergeCell ref="K71:M71"/>
    <mergeCell ref="N71:P71"/>
    <mergeCell ref="K73:M73"/>
    <mergeCell ref="K79:M79"/>
    <mergeCell ref="T73:V73"/>
    <mergeCell ref="N73:P73"/>
    <mergeCell ref="Q73:S73"/>
    <mergeCell ref="H71:J71"/>
    <mergeCell ref="Q69:S69"/>
    <mergeCell ref="T69:V69"/>
    <mergeCell ref="N75:P75"/>
    <mergeCell ref="Q68:S68"/>
    <mergeCell ref="B60:B62"/>
    <mergeCell ref="C60:C62"/>
    <mergeCell ref="N60:P60"/>
    <mergeCell ref="Q60:S60"/>
    <mergeCell ref="D60:D61"/>
    <mergeCell ref="E60:G60"/>
    <mergeCell ref="N69:P69"/>
    <mergeCell ref="B66:B68"/>
    <mergeCell ref="E63:G63"/>
    <mergeCell ref="D66:D67"/>
    <mergeCell ref="E68:G68"/>
    <mergeCell ref="C66:C68"/>
    <mergeCell ref="B63:B65"/>
    <mergeCell ref="C63:C65"/>
    <mergeCell ref="D63:D64"/>
    <mergeCell ref="E65:G65"/>
    <mergeCell ref="E66:G66"/>
    <mergeCell ref="N62:P62"/>
    <mergeCell ref="E69:G69"/>
    <mergeCell ref="H69:J69"/>
    <mergeCell ref="K63:M63"/>
    <mergeCell ref="H65:J65"/>
    <mergeCell ref="H68:J68"/>
    <mergeCell ref="E62:G62"/>
    <mergeCell ref="D51:D52"/>
    <mergeCell ref="E51:G51"/>
    <mergeCell ref="E53:G53"/>
    <mergeCell ref="H53:J53"/>
    <mergeCell ref="K53:M53"/>
    <mergeCell ref="T54:V54"/>
    <mergeCell ref="H42:J42"/>
    <mergeCell ref="K59:M59"/>
    <mergeCell ref="H26:J26"/>
    <mergeCell ref="K57:M57"/>
    <mergeCell ref="K49:M49"/>
    <mergeCell ref="H28:J28"/>
    <mergeCell ref="N28:P28"/>
    <mergeCell ref="H57:J57"/>
    <mergeCell ref="N57:P57"/>
    <mergeCell ref="Q28:S28"/>
    <mergeCell ref="N49:P49"/>
    <mergeCell ref="N56:P56"/>
    <mergeCell ref="N51:P51"/>
    <mergeCell ref="N40:P40"/>
    <mergeCell ref="Q49:S49"/>
    <mergeCell ref="Q40:S40"/>
    <mergeCell ref="Q42:S42"/>
    <mergeCell ref="B47:W47"/>
    <mergeCell ref="H49:J49"/>
    <mergeCell ref="N68:P68"/>
    <mergeCell ref="Q65:S65"/>
    <mergeCell ref="N63:P63"/>
    <mergeCell ref="Q63:S63"/>
    <mergeCell ref="E42:G42"/>
    <mergeCell ref="H19:J19"/>
    <mergeCell ref="B54:B56"/>
    <mergeCell ref="T34:V34"/>
    <mergeCell ref="B26:B28"/>
    <mergeCell ref="Q53:S53"/>
    <mergeCell ref="T53:V53"/>
    <mergeCell ref="C54:C56"/>
    <mergeCell ref="D54:D55"/>
    <mergeCell ref="B57:B59"/>
    <mergeCell ref="C57:C59"/>
    <mergeCell ref="D57:D58"/>
    <mergeCell ref="E54:G54"/>
    <mergeCell ref="E56:G56"/>
    <mergeCell ref="E57:G57"/>
    <mergeCell ref="H51:J51"/>
    <mergeCell ref="E49:G49"/>
    <mergeCell ref="B51:B53"/>
    <mergeCell ref="C51:C53"/>
    <mergeCell ref="H54:J54"/>
    <mergeCell ref="K54:M54"/>
    <mergeCell ref="E59:G59"/>
    <mergeCell ref="H59:J59"/>
    <mergeCell ref="H56:J56"/>
    <mergeCell ref="K56:M56"/>
    <mergeCell ref="K51:M51"/>
    <mergeCell ref="T62:V62"/>
    <mergeCell ref="N65:P65"/>
    <mergeCell ref="Q62:S62"/>
    <mergeCell ref="K60:M60"/>
    <mergeCell ref="H63:J63"/>
    <mergeCell ref="K65:M65"/>
    <mergeCell ref="T63:V63"/>
    <mergeCell ref="K42:M42"/>
    <mergeCell ref="W51:W52"/>
    <mergeCell ref="W54:W55"/>
    <mergeCell ref="W57:W58"/>
    <mergeCell ref="Q56:S56"/>
    <mergeCell ref="N53:P53"/>
    <mergeCell ref="Q54:S54"/>
    <mergeCell ref="T51:V51"/>
    <mergeCell ref="W60:W61"/>
    <mergeCell ref="T60:V60"/>
    <mergeCell ref="Q59:S59"/>
    <mergeCell ref="T59:V59"/>
    <mergeCell ref="Q51:S51"/>
    <mergeCell ref="T57:V57"/>
    <mergeCell ref="T56:V56"/>
    <mergeCell ref="Q57:S57"/>
    <mergeCell ref="W63:W64"/>
    <mergeCell ref="N59:P59"/>
    <mergeCell ref="N54:P54"/>
    <mergeCell ref="Q66:S66"/>
    <mergeCell ref="K68:M68"/>
    <mergeCell ref="T49:V49"/>
    <mergeCell ref="T75:V75"/>
    <mergeCell ref="Q75:S75"/>
    <mergeCell ref="N79:P79"/>
    <mergeCell ref="Q79:S79"/>
    <mergeCell ref="K69:M69"/>
    <mergeCell ref="K75:M75"/>
    <mergeCell ref="W66:W67"/>
    <mergeCell ref="T66:V66"/>
    <mergeCell ref="T65:V65"/>
    <mergeCell ref="K66:M66"/>
    <mergeCell ref="W88:W89"/>
    <mergeCell ref="E90:G90"/>
    <mergeCell ref="H90:J90"/>
    <mergeCell ref="K90:M90"/>
    <mergeCell ref="N90:P90"/>
    <mergeCell ref="Q90:S90"/>
    <mergeCell ref="T90:V90"/>
    <mergeCell ref="B7:W7"/>
    <mergeCell ref="B9:W9"/>
    <mergeCell ref="B73:C75"/>
    <mergeCell ref="B77:C77"/>
    <mergeCell ref="B78:C78"/>
    <mergeCell ref="B79:C79"/>
    <mergeCell ref="B80:C80"/>
    <mergeCell ref="B36:C38"/>
    <mergeCell ref="B40:C40"/>
    <mergeCell ref="B41:C41"/>
    <mergeCell ref="B42:C42"/>
    <mergeCell ref="B43:C43"/>
    <mergeCell ref="W69:W70"/>
    <mergeCell ref="T79:V79"/>
    <mergeCell ref="T68:V68"/>
    <mergeCell ref="N66:P66"/>
    <mergeCell ref="T77:V77"/>
    <mergeCell ref="B91:B93"/>
    <mergeCell ref="B86:D87"/>
    <mergeCell ref="E86:G86"/>
    <mergeCell ref="H86:J86"/>
    <mergeCell ref="K86:M86"/>
    <mergeCell ref="N86:P86"/>
    <mergeCell ref="Q86:S86"/>
    <mergeCell ref="T86:V86"/>
    <mergeCell ref="B88:B90"/>
    <mergeCell ref="C88:C90"/>
    <mergeCell ref="D88:D89"/>
    <mergeCell ref="E88:G88"/>
    <mergeCell ref="H88:J88"/>
    <mergeCell ref="K88:M88"/>
    <mergeCell ref="N88:P88"/>
    <mergeCell ref="Q88:S88"/>
    <mergeCell ref="T88:V88"/>
    <mergeCell ref="W97:W98"/>
    <mergeCell ref="W91:W92"/>
    <mergeCell ref="E93:G93"/>
    <mergeCell ref="H93:J93"/>
    <mergeCell ref="K93:M93"/>
    <mergeCell ref="N93:P93"/>
    <mergeCell ref="Q93:S93"/>
    <mergeCell ref="T93:V93"/>
    <mergeCell ref="B94:B96"/>
    <mergeCell ref="C94:C96"/>
    <mergeCell ref="D94:D95"/>
    <mergeCell ref="E94:G94"/>
    <mergeCell ref="H94:J94"/>
    <mergeCell ref="K94:M94"/>
    <mergeCell ref="N94:P94"/>
    <mergeCell ref="Q94:S94"/>
    <mergeCell ref="T94:V94"/>
    <mergeCell ref="W94:W95"/>
    <mergeCell ref="E96:G96"/>
    <mergeCell ref="H96:J96"/>
    <mergeCell ref="K96:M96"/>
    <mergeCell ref="N96:P96"/>
    <mergeCell ref="Q96:S96"/>
    <mergeCell ref="T96:V96"/>
    <mergeCell ref="C100:C102"/>
    <mergeCell ref="D100:D101"/>
    <mergeCell ref="E100:G100"/>
    <mergeCell ref="H100:J100"/>
    <mergeCell ref="K100:M100"/>
    <mergeCell ref="N100:P100"/>
    <mergeCell ref="Q100:S100"/>
    <mergeCell ref="T100:V100"/>
    <mergeCell ref="C91:C93"/>
    <mergeCell ref="D91:D92"/>
    <mergeCell ref="E91:G91"/>
    <mergeCell ref="H91:J91"/>
    <mergeCell ref="K91:M91"/>
    <mergeCell ref="N91:P91"/>
    <mergeCell ref="Q91:S91"/>
    <mergeCell ref="T91:V91"/>
    <mergeCell ref="B103:B105"/>
    <mergeCell ref="W100:W101"/>
    <mergeCell ref="E102:G102"/>
    <mergeCell ref="H102:J102"/>
    <mergeCell ref="K102:M102"/>
    <mergeCell ref="N102:P102"/>
    <mergeCell ref="Q102:S102"/>
    <mergeCell ref="T102:V102"/>
    <mergeCell ref="B97:B99"/>
    <mergeCell ref="C97:C99"/>
    <mergeCell ref="D97:D98"/>
    <mergeCell ref="E97:G97"/>
    <mergeCell ref="H97:J97"/>
    <mergeCell ref="K97:M97"/>
    <mergeCell ref="N97:P97"/>
    <mergeCell ref="Q97:S97"/>
    <mergeCell ref="T97:V97"/>
    <mergeCell ref="E99:G99"/>
    <mergeCell ref="H99:J99"/>
    <mergeCell ref="K99:M99"/>
    <mergeCell ref="N99:P99"/>
    <mergeCell ref="Q99:S99"/>
    <mergeCell ref="T99:V99"/>
    <mergeCell ref="B100:B102"/>
    <mergeCell ref="B106:B108"/>
    <mergeCell ref="C106:C108"/>
    <mergeCell ref="D106:D107"/>
    <mergeCell ref="E106:G106"/>
    <mergeCell ref="H106:J106"/>
    <mergeCell ref="K106:M106"/>
    <mergeCell ref="N106:P106"/>
    <mergeCell ref="Q106:S106"/>
    <mergeCell ref="T106:V106"/>
    <mergeCell ref="E108:G108"/>
    <mergeCell ref="H108:J108"/>
    <mergeCell ref="K108:M108"/>
    <mergeCell ref="N108:P108"/>
    <mergeCell ref="Q108:S108"/>
    <mergeCell ref="T108:V108"/>
    <mergeCell ref="C103:C105"/>
    <mergeCell ref="D103:D104"/>
    <mergeCell ref="E103:G103"/>
    <mergeCell ref="H103:J103"/>
    <mergeCell ref="K103:M103"/>
    <mergeCell ref="N103:P103"/>
    <mergeCell ref="Q103:S103"/>
    <mergeCell ref="T103:V103"/>
    <mergeCell ref="W110:W111"/>
    <mergeCell ref="W103:W104"/>
    <mergeCell ref="E105:G105"/>
    <mergeCell ref="H105:J105"/>
    <mergeCell ref="K105:M105"/>
    <mergeCell ref="N105:P105"/>
    <mergeCell ref="Q105:S105"/>
    <mergeCell ref="T105:V105"/>
    <mergeCell ref="W106:W107"/>
    <mergeCell ref="B117:C117"/>
    <mergeCell ref="E112:G112"/>
    <mergeCell ref="H112:J112"/>
    <mergeCell ref="K112:M112"/>
    <mergeCell ref="N112:P112"/>
    <mergeCell ref="Q112:S112"/>
    <mergeCell ref="T112:V112"/>
    <mergeCell ref="B114:C114"/>
    <mergeCell ref="E114:G114"/>
    <mergeCell ref="H114:J114"/>
    <mergeCell ref="K114:M114"/>
    <mergeCell ref="N114:P114"/>
    <mergeCell ref="Q114:S114"/>
    <mergeCell ref="T114:V114"/>
    <mergeCell ref="B125:B127"/>
    <mergeCell ref="B123:D124"/>
    <mergeCell ref="E123:G123"/>
    <mergeCell ref="H123:J123"/>
    <mergeCell ref="K123:M123"/>
    <mergeCell ref="N123:P123"/>
    <mergeCell ref="Q123:S123"/>
    <mergeCell ref="T123:V123"/>
    <mergeCell ref="B110:C112"/>
    <mergeCell ref="D110:D111"/>
    <mergeCell ref="E110:G110"/>
    <mergeCell ref="H110:J110"/>
    <mergeCell ref="K110:M110"/>
    <mergeCell ref="N110:P110"/>
    <mergeCell ref="Q110:S110"/>
    <mergeCell ref="T110:V110"/>
    <mergeCell ref="B115:C115"/>
    <mergeCell ref="B116:C116"/>
    <mergeCell ref="E116:G116"/>
    <mergeCell ref="H116:J116"/>
    <mergeCell ref="K116:M116"/>
    <mergeCell ref="N116:P116"/>
    <mergeCell ref="Q116:S116"/>
    <mergeCell ref="T116:V116"/>
    <mergeCell ref="W131:W132"/>
    <mergeCell ref="W125:W126"/>
    <mergeCell ref="E127:G127"/>
    <mergeCell ref="H127:J127"/>
    <mergeCell ref="K127:M127"/>
    <mergeCell ref="N127:P127"/>
    <mergeCell ref="Q127:S127"/>
    <mergeCell ref="T127:V127"/>
    <mergeCell ref="B128:B130"/>
    <mergeCell ref="C128:C130"/>
    <mergeCell ref="D128:D129"/>
    <mergeCell ref="E128:G128"/>
    <mergeCell ref="H128:J128"/>
    <mergeCell ref="K128:M128"/>
    <mergeCell ref="N128:P128"/>
    <mergeCell ref="Q128:S128"/>
    <mergeCell ref="T128:V128"/>
    <mergeCell ref="W128:W129"/>
    <mergeCell ref="E130:G130"/>
    <mergeCell ref="H130:J130"/>
    <mergeCell ref="K130:M130"/>
    <mergeCell ref="N130:P130"/>
    <mergeCell ref="Q130:S130"/>
    <mergeCell ref="T130:V130"/>
    <mergeCell ref="D134:D135"/>
    <mergeCell ref="E134:G134"/>
    <mergeCell ref="H134:J134"/>
    <mergeCell ref="K134:M134"/>
    <mergeCell ref="N134:P134"/>
    <mergeCell ref="Q134:S134"/>
    <mergeCell ref="T134:V134"/>
    <mergeCell ref="C125:C127"/>
    <mergeCell ref="D125:D126"/>
    <mergeCell ref="E125:G125"/>
    <mergeCell ref="H125:J125"/>
    <mergeCell ref="K125:M125"/>
    <mergeCell ref="N125:P125"/>
    <mergeCell ref="Q125:S125"/>
    <mergeCell ref="T125:V125"/>
    <mergeCell ref="W134:W135"/>
    <mergeCell ref="E136:G136"/>
    <mergeCell ref="H136:J136"/>
    <mergeCell ref="K136:M136"/>
    <mergeCell ref="N136:P136"/>
    <mergeCell ref="Q136:S136"/>
    <mergeCell ref="T136:V136"/>
    <mergeCell ref="B131:B133"/>
    <mergeCell ref="C131:C133"/>
    <mergeCell ref="D131:D132"/>
    <mergeCell ref="E131:G131"/>
    <mergeCell ref="H131:J131"/>
    <mergeCell ref="K131:M131"/>
    <mergeCell ref="N131:P131"/>
    <mergeCell ref="Q131:S131"/>
    <mergeCell ref="T131:V131"/>
    <mergeCell ref="E133:G133"/>
    <mergeCell ref="H133:J133"/>
    <mergeCell ref="K133:M133"/>
    <mergeCell ref="N133:P133"/>
    <mergeCell ref="Q133:S133"/>
    <mergeCell ref="T133:V133"/>
    <mergeCell ref="B134:B136"/>
    <mergeCell ref="C134:C136"/>
    <mergeCell ref="W137:W138"/>
    <mergeCell ref="E139:G139"/>
    <mergeCell ref="H139:J139"/>
    <mergeCell ref="K139:M139"/>
    <mergeCell ref="N139:P139"/>
    <mergeCell ref="Q139:S139"/>
    <mergeCell ref="T139:V139"/>
    <mergeCell ref="B140:B142"/>
    <mergeCell ref="C140:C142"/>
    <mergeCell ref="D140:D141"/>
    <mergeCell ref="E140:G140"/>
    <mergeCell ref="H140:J140"/>
    <mergeCell ref="K140:M140"/>
    <mergeCell ref="N140:P140"/>
    <mergeCell ref="Q140:S140"/>
    <mergeCell ref="T140:V140"/>
    <mergeCell ref="W140:W141"/>
    <mergeCell ref="E142:G142"/>
    <mergeCell ref="H142:J142"/>
    <mergeCell ref="K142:M142"/>
    <mergeCell ref="N142:P142"/>
    <mergeCell ref="Q142:S142"/>
    <mergeCell ref="T142:V142"/>
    <mergeCell ref="B137:B139"/>
    <mergeCell ref="C137:C139"/>
    <mergeCell ref="D137:D138"/>
    <mergeCell ref="E137:G137"/>
    <mergeCell ref="H137:J137"/>
    <mergeCell ref="K137:M137"/>
    <mergeCell ref="N137:P137"/>
    <mergeCell ref="Q137:S137"/>
    <mergeCell ref="T137:V137"/>
    <mergeCell ref="B147:C149"/>
    <mergeCell ref="D147:D148"/>
    <mergeCell ref="E147:G147"/>
    <mergeCell ref="H147:J147"/>
    <mergeCell ref="K147:M147"/>
    <mergeCell ref="N147:P147"/>
    <mergeCell ref="Q147:S147"/>
    <mergeCell ref="T147:V147"/>
    <mergeCell ref="W147:W148"/>
    <mergeCell ref="E149:G149"/>
    <mergeCell ref="H149:J149"/>
    <mergeCell ref="K149:M149"/>
    <mergeCell ref="N149:P149"/>
    <mergeCell ref="Q149:S149"/>
    <mergeCell ref="T149:V149"/>
    <mergeCell ref="K143:M143"/>
    <mergeCell ref="N143:P143"/>
    <mergeCell ref="Q143:S143"/>
    <mergeCell ref="T143:V143"/>
    <mergeCell ref="W143:W144"/>
    <mergeCell ref="E145:G145"/>
    <mergeCell ref="H145:J145"/>
    <mergeCell ref="K145:M145"/>
    <mergeCell ref="N145:P145"/>
    <mergeCell ref="Q145:S145"/>
    <mergeCell ref="T145:V145"/>
    <mergeCell ref="B121:W121"/>
    <mergeCell ref="B160:W160"/>
    <mergeCell ref="B158:W158"/>
    <mergeCell ref="B151:C151"/>
    <mergeCell ref="E151:G151"/>
    <mergeCell ref="H151:J151"/>
    <mergeCell ref="K151:M151"/>
    <mergeCell ref="N151:P151"/>
    <mergeCell ref="Q151:S151"/>
    <mergeCell ref="T151:V151"/>
    <mergeCell ref="B152:C152"/>
    <mergeCell ref="B153:C153"/>
    <mergeCell ref="E153:G153"/>
    <mergeCell ref="H153:J153"/>
    <mergeCell ref="K153:M153"/>
    <mergeCell ref="N153:P153"/>
    <mergeCell ref="Q153:S153"/>
    <mergeCell ref="T153:V153"/>
    <mergeCell ref="B154:C154"/>
    <mergeCell ref="B143:B145"/>
    <mergeCell ref="C143:C145"/>
    <mergeCell ref="D143:D144"/>
    <mergeCell ref="E143:G143"/>
    <mergeCell ref="H143:J143"/>
  </mergeCells>
  <phoneticPr fontId="26" type="noConversion"/>
  <printOptions horizontalCentered="1"/>
  <pageMargins left="0.51181102362204722" right="0.51181102362204722" top="0.78740157480314965" bottom="0.78740157480314965" header="0.31496062992125984" footer="0.31496062992125984"/>
  <pageSetup paperSize="9" scale="44" firstPageNumber="0" orientation="landscape" r:id="rId1"/>
  <headerFooter>
    <oddFooter>&amp;L&amp;G&amp;CPágina &amp;P de &amp;N&amp;R&amp;G</oddFooter>
  </headerFooter>
  <rowBreaks count="3" manualBreakCount="3">
    <brk id="48" min="1" max="22" man="1"/>
    <brk id="85" min="1" max="22" man="1"/>
    <brk id="122" min="1" max="22"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6021"/>
  <sheetViews>
    <sheetView view="pageBreakPreview" zoomScale="70" zoomScaleNormal="90" zoomScaleSheetLayoutView="70" workbookViewId="0">
      <selection activeCell="C13" sqref="C13"/>
    </sheetView>
  </sheetViews>
  <sheetFormatPr defaultColWidth="11.7109375" defaultRowHeight="12.75" customHeight="1" x14ac:dyDescent="0.2"/>
  <cols>
    <col min="1" max="1" width="12.28515625" style="107" customWidth="1"/>
    <col min="2" max="2" width="149.140625" style="74" customWidth="1"/>
    <col min="3" max="3" width="11.42578125" style="108" customWidth="1"/>
    <col min="4" max="4" width="10.140625" style="54" bestFit="1" customWidth="1"/>
    <col min="5" max="5" width="16.5703125" style="109" bestFit="1" customWidth="1"/>
    <col min="6" max="6" width="15" style="74" bestFit="1" customWidth="1"/>
    <col min="7" max="16384" width="11.7109375" style="56"/>
  </cols>
  <sheetData>
    <row r="1" spans="1:6" customFormat="1" x14ac:dyDescent="0.2">
      <c r="A1" s="528" t="str">
        <f>'A IV.A'!A1</f>
        <v>(TIMBRE DA LICITANTE)</v>
      </c>
      <c r="B1" s="529"/>
      <c r="C1" s="529"/>
      <c r="D1" s="529"/>
      <c r="E1" s="529"/>
      <c r="F1" s="530"/>
    </row>
    <row r="2" spans="1:6" customFormat="1" x14ac:dyDescent="0.2">
      <c r="A2" s="531"/>
      <c r="B2" s="532"/>
      <c r="C2" s="532"/>
      <c r="D2" s="532"/>
      <c r="E2" s="532"/>
      <c r="F2" s="533"/>
    </row>
    <row r="3" spans="1:6" customFormat="1" ht="15" x14ac:dyDescent="0.2">
      <c r="A3" s="543" t="str">
        <f>'A IV.A'!A3</f>
        <v xml:space="preserve">  </v>
      </c>
      <c r="B3" s="544"/>
      <c r="C3" s="544"/>
      <c r="D3" s="544"/>
      <c r="E3" s="544"/>
      <c r="F3" s="545"/>
    </row>
    <row r="4" spans="1:6" customFormat="1" x14ac:dyDescent="0.2">
      <c r="A4" s="534"/>
      <c r="B4" s="535"/>
      <c r="C4" s="535"/>
      <c r="D4" s="535"/>
      <c r="E4" s="535"/>
      <c r="F4" s="536"/>
    </row>
    <row r="5" spans="1:6" customFormat="1" x14ac:dyDescent="0.2">
      <c r="A5" s="537"/>
      <c r="B5" s="538"/>
      <c r="C5" s="538"/>
      <c r="D5" s="538"/>
      <c r="E5" s="538"/>
      <c r="F5" s="539"/>
    </row>
    <row r="6" spans="1:6" s="2" customFormat="1" ht="30" customHeight="1" thickBot="1" x14ac:dyDescent="0.25">
      <c r="A6" s="548" t="str">
        <f>'A IV.A'!$A$7</f>
        <v>EXECUÇÃO DE SERVIÇO DE REFORMA CIVIL, CONSTRUÇÕES E MANUTENÇÕES GERAIS  PARA MELHORIAS NAS ÁREAS DE PROPRIEDADE E/OU DE RESPONSABILIDADE DO SEMAE.</v>
      </c>
      <c r="B6" s="549"/>
      <c r="C6" s="549"/>
      <c r="D6" s="549"/>
      <c r="E6" s="549"/>
      <c r="F6" s="550"/>
    </row>
    <row r="7" spans="1:6" s="2" customFormat="1" ht="15" customHeight="1" x14ac:dyDescent="0.2">
      <c r="A7" s="553" t="s">
        <v>173</v>
      </c>
      <c r="B7" s="554"/>
      <c r="C7" s="555"/>
      <c r="D7" s="60">
        <f>'A IX.'!$C$45</f>
        <v>0</v>
      </c>
      <c r="E7" s="551" t="s">
        <v>905</v>
      </c>
      <c r="F7" s="546" t="str">
        <f>'A IV.A'!L8</f>
        <v>(DATA)</v>
      </c>
    </row>
    <row r="8" spans="1:6" s="2" customFormat="1" ht="15" customHeight="1" thickBot="1" x14ac:dyDescent="0.25">
      <c r="A8" s="556" t="s">
        <v>70</v>
      </c>
      <c r="B8" s="557"/>
      <c r="C8" s="558"/>
      <c r="D8" s="61">
        <f>'A VIII.'!$C$29</f>
        <v>0</v>
      </c>
      <c r="E8" s="552"/>
      <c r="F8" s="547"/>
    </row>
    <row r="9" spans="1:6" s="2" customFormat="1" ht="25.5" customHeight="1" thickBot="1" x14ac:dyDescent="0.25">
      <c r="A9" s="540" t="s">
        <v>1232</v>
      </c>
      <c r="B9" s="541"/>
      <c r="C9" s="541"/>
      <c r="D9" s="541"/>
      <c r="E9" s="541"/>
      <c r="F9" s="542"/>
    </row>
    <row r="10" spans="1:6" ht="12.75" customHeight="1" thickBot="1" x14ac:dyDescent="0.25">
      <c r="A10" s="81"/>
      <c r="B10" s="82"/>
      <c r="C10" s="83"/>
      <c r="D10" s="83"/>
      <c r="E10" s="84"/>
      <c r="F10" s="82"/>
    </row>
    <row r="11" spans="1:6" ht="30" customHeight="1" x14ac:dyDescent="0.2">
      <c r="A11" s="5" t="str">
        <f>'A IV.A'!$A$16</f>
        <v>1.1</v>
      </c>
      <c r="B11" s="416" t="str">
        <f>'A IV.A'!$B$16</f>
        <v>CANTEIRO DE OBRAS (ITEM 6.0 DO TERMO DE REFERÊNCIA)</v>
      </c>
      <c r="C11" s="526" t="s">
        <v>269</v>
      </c>
      <c r="D11" s="527"/>
      <c r="E11" s="417" t="str">
        <f>'A IV.A'!$C$16</f>
        <v>GB</v>
      </c>
      <c r="F11" s="58">
        <f>ROUND(F31+F45+F57,2)</f>
        <v>0</v>
      </c>
    </row>
    <row r="12" spans="1:6" ht="12.75" customHeight="1" x14ac:dyDescent="0.2">
      <c r="A12" s="1" t="s">
        <v>17</v>
      </c>
      <c r="B12" s="418" t="s">
        <v>162</v>
      </c>
      <c r="C12" s="419" t="s">
        <v>263</v>
      </c>
      <c r="D12" s="419" t="s">
        <v>264</v>
      </c>
      <c r="E12" s="420" t="s">
        <v>265</v>
      </c>
      <c r="F12" s="57" t="s">
        <v>266</v>
      </c>
    </row>
    <row r="13" spans="1:6" ht="12.75" customHeight="1" x14ac:dyDescent="0.2">
      <c r="A13" s="6"/>
      <c r="B13" s="421"/>
      <c r="C13" s="114"/>
      <c r="D13" s="7"/>
      <c r="E13" s="85"/>
      <c r="F13" s="59">
        <f>ROUND(C13*E13,2)</f>
        <v>0</v>
      </c>
    </row>
    <row r="14" spans="1:6" ht="12.75" customHeight="1" x14ac:dyDescent="0.2">
      <c r="A14" s="6"/>
      <c r="B14" s="421"/>
      <c r="C14" s="114"/>
      <c r="D14" s="7"/>
      <c r="E14" s="85"/>
      <c r="F14" s="59">
        <f t="shared" ref="F14:F28" si="0">ROUND(C14*E14,2)</f>
        <v>0</v>
      </c>
    </row>
    <row r="15" spans="1:6" ht="12.75" customHeight="1" x14ac:dyDescent="0.2">
      <c r="A15" s="6"/>
      <c r="B15" s="421"/>
      <c r="C15" s="114"/>
      <c r="D15" s="7"/>
      <c r="E15" s="85"/>
      <c r="F15" s="59">
        <f t="shared" si="0"/>
        <v>0</v>
      </c>
    </row>
    <row r="16" spans="1:6" ht="12.75" customHeight="1" x14ac:dyDescent="0.2">
      <c r="A16" s="6"/>
      <c r="B16" s="421"/>
      <c r="C16" s="114"/>
      <c r="D16" s="7"/>
      <c r="E16" s="85"/>
      <c r="F16" s="59">
        <f t="shared" si="0"/>
        <v>0</v>
      </c>
    </row>
    <row r="17" spans="1:6" ht="12.75" customHeight="1" x14ac:dyDescent="0.2">
      <c r="A17" s="6"/>
      <c r="B17" s="421"/>
      <c r="C17" s="114"/>
      <c r="D17" s="7"/>
      <c r="E17" s="85"/>
      <c r="F17" s="59">
        <f t="shared" si="0"/>
        <v>0</v>
      </c>
    </row>
    <row r="18" spans="1:6" ht="12.75" customHeight="1" x14ac:dyDescent="0.2">
      <c r="A18" s="6"/>
      <c r="B18" s="421"/>
      <c r="C18" s="114"/>
      <c r="D18" s="7"/>
      <c r="E18" s="85"/>
      <c r="F18" s="59">
        <f t="shared" si="0"/>
        <v>0</v>
      </c>
    </row>
    <row r="19" spans="1:6" ht="12.75" customHeight="1" x14ac:dyDescent="0.2">
      <c r="A19" s="6"/>
      <c r="B19" s="421"/>
      <c r="C19" s="114"/>
      <c r="D19" s="7"/>
      <c r="E19" s="85"/>
      <c r="F19" s="59">
        <f t="shared" si="0"/>
        <v>0</v>
      </c>
    </row>
    <row r="20" spans="1:6" ht="12.75" customHeight="1" x14ac:dyDescent="0.2">
      <c r="A20" s="6"/>
      <c r="B20" s="421"/>
      <c r="C20" s="114"/>
      <c r="D20" s="7"/>
      <c r="E20" s="85"/>
      <c r="F20" s="59">
        <f t="shared" si="0"/>
        <v>0</v>
      </c>
    </row>
    <row r="21" spans="1:6" ht="12.75" customHeight="1" x14ac:dyDescent="0.2">
      <c r="A21" s="6"/>
      <c r="B21" s="421"/>
      <c r="C21" s="114"/>
      <c r="D21" s="7"/>
      <c r="E21" s="85"/>
      <c r="F21" s="59">
        <f t="shared" si="0"/>
        <v>0</v>
      </c>
    </row>
    <row r="22" spans="1:6" ht="12.75" customHeight="1" x14ac:dyDescent="0.2">
      <c r="A22" s="6"/>
      <c r="B22" s="421"/>
      <c r="C22" s="114"/>
      <c r="D22" s="7"/>
      <c r="E22" s="85"/>
      <c r="F22" s="59">
        <f t="shared" si="0"/>
        <v>0</v>
      </c>
    </row>
    <row r="23" spans="1:6" ht="12.75" customHeight="1" x14ac:dyDescent="0.2">
      <c r="A23" s="6"/>
      <c r="B23" s="421"/>
      <c r="C23" s="114"/>
      <c r="D23" s="7"/>
      <c r="E23" s="85"/>
      <c r="F23" s="59">
        <f t="shared" si="0"/>
        <v>0</v>
      </c>
    </row>
    <row r="24" spans="1:6" ht="12.75" customHeight="1" x14ac:dyDescent="0.2">
      <c r="A24" s="6"/>
      <c r="B24" s="421"/>
      <c r="C24" s="114"/>
      <c r="D24" s="423"/>
      <c r="E24" s="85"/>
      <c r="F24" s="59">
        <f t="shared" si="0"/>
        <v>0</v>
      </c>
    </row>
    <row r="25" spans="1:6" ht="12.75" customHeight="1" x14ac:dyDescent="0.2">
      <c r="A25" s="6"/>
      <c r="B25" s="421"/>
      <c r="C25" s="114"/>
      <c r="D25" s="423"/>
      <c r="E25" s="85"/>
      <c r="F25" s="59">
        <f t="shared" si="0"/>
        <v>0</v>
      </c>
    </row>
    <row r="26" spans="1:6" ht="12.75" customHeight="1" x14ac:dyDescent="0.2">
      <c r="A26" s="6"/>
      <c r="B26" s="421"/>
      <c r="C26" s="114"/>
      <c r="D26" s="423"/>
      <c r="E26" s="85"/>
      <c r="F26" s="59">
        <f t="shared" si="0"/>
        <v>0</v>
      </c>
    </row>
    <row r="27" spans="1:6" ht="12.75" customHeight="1" x14ac:dyDescent="0.2">
      <c r="A27" s="3"/>
      <c r="C27" s="114"/>
      <c r="E27" s="85"/>
      <c r="F27" s="59">
        <f t="shared" si="0"/>
        <v>0</v>
      </c>
    </row>
    <row r="28" spans="1:6" ht="12.75" customHeight="1" x14ac:dyDescent="0.2">
      <c r="A28" s="3"/>
      <c r="C28" s="114"/>
      <c r="E28" s="85"/>
      <c r="F28" s="59">
        <f t="shared" si="0"/>
        <v>0</v>
      </c>
    </row>
    <row r="29" spans="1:6" ht="12.75" customHeight="1" x14ac:dyDescent="0.2">
      <c r="A29" s="3"/>
      <c r="B29" s="86" t="s">
        <v>258</v>
      </c>
      <c r="C29" s="87"/>
      <c r="D29" s="88"/>
      <c r="E29" s="89"/>
      <c r="F29" s="90">
        <f>SUM(F13:F28)</f>
        <v>0</v>
      </c>
    </row>
    <row r="30" spans="1:6" ht="12.75" customHeight="1" x14ac:dyDescent="0.2">
      <c r="A30" s="3"/>
      <c r="B30" s="91" t="s">
        <v>70</v>
      </c>
      <c r="C30" s="15">
        <f>$D$8</f>
        <v>0</v>
      </c>
      <c r="D30" s="92"/>
      <c r="E30" s="93"/>
      <c r="F30" s="94">
        <f>ROUND(F29*C30,2)</f>
        <v>0</v>
      </c>
    </row>
    <row r="31" spans="1:6" ht="12.75" customHeight="1" x14ac:dyDescent="0.2">
      <c r="A31" s="95"/>
      <c r="B31" s="424" t="s">
        <v>259</v>
      </c>
      <c r="C31" s="425"/>
      <c r="D31" s="425"/>
      <c r="E31" s="426"/>
      <c r="F31" s="96">
        <f>F29+F30</f>
        <v>0</v>
      </c>
    </row>
    <row r="32" spans="1:6" ht="12.75" customHeight="1" x14ac:dyDescent="0.2">
      <c r="A32" s="1" t="s">
        <v>5</v>
      </c>
      <c r="B32" s="418" t="s">
        <v>267</v>
      </c>
      <c r="C32" s="419" t="s">
        <v>263</v>
      </c>
      <c r="D32" s="419" t="s">
        <v>264</v>
      </c>
      <c r="E32" s="420" t="s">
        <v>265</v>
      </c>
      <c r="F32" s="57" t="s">
        <v>266</v>
      </c>
    </row>
    <row r="33" spans="1:6" ht="12.75" customHeight="1" x14ac:dyDescent="0.2">
      <c r="A33" s="3" t="str">
        <f>'A VII.'!$A$145</f>
        <v>2.3</v>
      </c>
      <c r="B33" s="74" t="str">
        <f>VLOOKUP(A33,'A VII.'!$A$10:$D$199,2,FALSE)</f>
        <v>VEÍCULO LEVE 4 PORTAS - 65 A 80 CV</v>
      </c>
      <c r="C33" s="756">
        <f>C48*0.2</f>
        <v>844.80000000000007</v>
      </c>
      <c r="D33" s="54" t="str">
        <f>VLOOKUP(A33,'A VII.'!$A$10:$D$199,3,FALSE)</f>
        <v>CHP</v>
      </c>
      <c r="E33" s="85">
        <f>'A VII.'!D145</f>
        <v>0</v>
      </c>
      <c r="F33" s="59">
        <f>ROUND(C33*E33,2)</f>
        <v>0</v>
      </c>
    </row>
    <row r="34" spans="1:6" ht="12.75" customHeight="1" x14ac:dyDescent="0.2">
      <c r="A34" s="3" t="str">
        <f>'A VII.'!$A$146</f>
        <v>2.4</v>
      </c>
      <c r="B34" s="74" t="str">
        <f>VLOOKUP(A34,'A VII.'!$A$10:$D$199,2,FALSE)</f>
        <v>VEÍCULO LEVE 4 PORTAS - 65 A 80 CV - À DISPOSIÇÃO</v>
      </c>
      <c r="C34" s="756">
        <f>C48*0.8</f>
        <v>3379.2000000000003</v>
      </c>
      <c r="D34" s="54" t="str">
        <f>VLOOKUP(A34,'A VII.'!$A$10:$D$199,3,FALSE)</f>
        <v>CHI</v>
      </c>
      <c r="E34" s="85">
        <f>'A VII.'!D146</f>
        <v>0</v>
      </c>
      <c r="F34" s="59">
        <f>ROUND(C34*E34,2)</f>
        <v>0</v>
      </c>
    </row>
    <row r="35" spans="1:6" ht="12.75" customHeight="1" x14ac:dyDescent="0.2">
      <c r="A35" s="3" t="str">
        <f>'A VII.'!$A$177</f>
        <v>2.35</v>
      </c>
      <c r="B35" s="74" t="str">
        <f>VLOOKUP(A35,'A VII.'!$A$10:$D$199,2,FALSE)</f>
        <v>PICAPE LEVE CABINE SIMPLES - CARGA ÚTIL 700KG - 85 A 95CV - STRADA WORKING OU SIMILAR</v>
      </c>
      <c r="C35" s="756">
        <f>C47*0.2</f>
        <v>844.80000000000007</v>
      </c>
      <c r="D35" s="54" t="str">
        <f>VLOOKUP(A35,'A VII.'!$A$10:$D$199,3,FALSE)</f>
        <v>CHP</v>
      </c>
      <c r="E35" s="85">
        <f>'A VII.'!D177</f>
        <v>0</v>
      </c>
      <c r="F35" s="59">
        <f t="shared" ref="F35:F42" si="1">ROUND(C35*E35,2)</f>
        <v>0</v>
      </c>
    </row>
    <row r="36" spans="1:6" ht="12.75" customHeight="1" x14ac:dyDescent="0.2">
      <c r="A36" s="3" t="str">
        <f>'A VII.'!$A$178</f>
        <v>2.36</v>
      </c>
      <c r="B36" s="74" t="str">
        <f>VLOOKUP(A36,'A VII.'!$A$10:$D$199,2,FALSE)</f>
        <v>PICAPE LEVE CABINE SIMPLES - CARGA ÚTIL 700KG - 85 A 95CV - STRADA WORKING OU SIMILAR</v>
      </c>
      <c r="C36" s="756">
        <f>C47*0.8</f>
        <v>3379.2000000000003</v>
      </c>
      <c r="D36" s="54" t="str">
        <f>VLOOKUP(A36,'A VII.'!$A$10:$D$199,3,FALSE)</f>
        <v>CHI</v>
      </c>
      <c r="E36" s="85">
        <f>'A VII.'!D178</f>
        <v>0</v>
      </c>
      <c r="F36" s="59">
        <f>ROUND(C36*E36,2)</f>
        <v>0</v>
      </c>
    </row>
    <row r="37" spans="1:6" x14ac:dyDescent="0.2">
      <c r="A37" s="3" t="str">
        <f>'A VII.'!$A$152</f>
        <v>2.10</v>
      </c>
      <c r="B37" s="74" t="str">
        <f>VLOOKUP(A37,'A VII.'!$A$10:$D$199,2,FALSE)</f>
        <v>CAMINHÃO - CARROCERIA FIXA ABERTA DE MADEIRA COM CAPACIDADE 5 T *160CV - CHP</v>
      </c>
      <c r="C37" s="756">
        <f>C47*0.2</f>
        <v>844.80000000000007</v>
      </c>
      <c r="D37" s="54" t="str">
        <f>VLOOKUP(A37,'A VII.'!$A$10:$D$199,3,FALSE)</f>
        <v>CHP</v>
      </c>
      <c r="E37" s="85">
        <f>'A VII.'!D152</f>
        <v>0</v>
      </c>
      <c r="F37" s="59">
        <f>ROUND(C37*E37,2)</f>
        <v>0</v>
      </c>
    </row>
    <row r="38" spans="1:6" ht="12.75" customHeight="1" x14ac:dyDescent="0.2">
      <c r="A38" s="3" t="str">
        <f>'A VII.'!$A$153</f>
        <v>2.11</v>
      </c>
      <c r="B38" s="74" t="str">
        <f>VLOOKUP(A38,'A VII.'!$A$10:$D$199,2,FALSE)</f>
        <v>CAMINHÃO - CARROCERIA FIXA ABERTA DE MADEIRA COM CAPACIDADE 5 T *160CV - CHI</v>
      </c>
      <c r="C38" s="756">
        <f>C47*0.8</f>
        <v>3379.2000000000003</v>
      </c>
      <c r="D38" s="54" t="str">
        <f>VLOOKUP(A38,'A VII.'!$A$10:$D$199,3,FALSE)</f>
        <v>CHI</v>
      </c>
      <c r="E38" s="85">
        <f>'A VII.'!D153</f>
        <v>0</v>
      </c>
      <c r="F38" s="59">
        <f>ROUND(C38*E38,2)</f>
        <v>0</v>
      </c>
    </row>
    <row r="39" spans="1:6" ht="12.75" customHeight="1" x14ac:dyDescent="0.2">
      <c r="A39" s="3"/>
      <c r="C39" s="114"/>
      <c r="E39" s="85"/>
      <c r="F39" s="59">
        <f t="shared" si="1"/>
        <v>0</v>
      </c>
    </row>
    <row r="40" spans="1:6" ht="12.75" customHeight="1" x14ac:dyDescent="0.2">
      <c r="A40" s="3"/>
      <c r="C40" s="114"/>
      <c r="E40" s="85"/>
      <c r="F40" s="59">
        <f t="shared" si="1"/>
        <v>0</v>
      </c>
    </row>
    <row r="41" spans="1:6" ht="12.75" customHeight="1" x14ac:dyDescent="0.2">
      <c r="A41" s="3"/>
      <c r="C41" s="114"/>
      <c r="E41" s="85"/>
      <c r="F41" s="59">
        <f t="shared" si="1"/>
        <v>0</v>
      </c>
    </row>
    <row r="42" spans="1:6" ht="12.75" customHeight="1" x14ac:dyDescent="0.2">
      <c r="A42" s="3"/>
      <c r="C42" s="114"/>
      <c r="E42" s="85"/>
      <c r="F42" s="59">
        <f t="shared" si="1"/>
        <v>0</v>
      </c>
    </row>
    <row r="43" spans="1:6" ht="12.75" customHeight="1" x14ac:dyDescent="0.2">
      <c r="A43" s="3"/>
      <c r="B43" s="86" t="s">
        <v>258</v>
      </c>
      <c r="C43" s="87"/>
      <c r="D43" s="88"/>
      <c r="E43" s="89"/>
      <c r="F43" s="90">
        <f>SUM(F33:F42)</f>
        <v>0</v>
      </c>
    </row>
    <row r="44" spans="1:6" ht="12.75" customHeight="1" x14ac:dyDescent="0.2">
      <c r="A44" s="3"/>
      <c r="B44" s="91" t="s">
        <v>70</v>
      </c>
      <c r="C44" s="15">
        <f>$D$8</f>
        <v>0</v>
      </c>
      <c r="D44" s="92"/>
      <c r="E44" s="93"/>
      <c r="F44" s="94">
        <f>ROUND(C44*F43,2)</f>
        <v>0</v>
      </c>
    </row>
    <row r="45" spans="1:6" ht="12.75" customHeight="1" x14ac:dyDescent="0.2">
      <c r="A45" s="95"/>
      <c r="B45" s="424" t="s">
        <v>260</v>
      </c>
      <c r="C45" s="425"/>
      <c r="D45" s="425"/>
      <c r="E45" s="426"/>
      <c r="F45" s="96">
        <f>F43+F44</f>
        <v>0</v>
      </c>
    </row>
    <row r="46" spans="1:6" ht="12.75" customHeight="1" x14ac:dyDescent="0.2">
      <c r="A46" s="97" t="s">
        <v>54</v>
      </c>
      <c r="B46" s="427" t="s">
        <v>268</v>
      </c>
      <c r="C46" s="428" t="s">
        <v>263</v>
      </c>
      <c r="D46" s="429" t="s">
        <v>264</v>
      </c>
      <c r="E46" s="430" t="s">
        <v>265</v>
      </c>
      <c r="F46" s="57" t="s">
        <v>266</v>
      </c>
    </row>
    <row r="47" spans="1:6" ht="12.75" customHeight="1" x14ac:dyDescent="0.2">
      <c r="A47" s="6" t="str">
        <f>'A VII.'!$A$188</f>
        <v>3.8</v>
      </c>
      <c r="B47" s="421" t="s">
        <v>181</v>
      </c>
      <c r="C47" s="114">
        <f>(44*4)*24</f>
        <v>4224</v>
      </c>
      <c r="D47" s="54" t="str">
        <f>VLOOKUP(A47,'A VII.'!$A$10:$D$199,3,FALSE)</f>
        <v>H</v>
      </c>
      <c r="E47" s="85">
        <f>'A VII.'!D188</f>
        <v>0</v>
      </c>
      <c r="F47" s="59">
        <f t="shared" ref="F47:F53" si="2">ROUND(C47*E47,2)</f>
        <v>0</v>
      </c>
    </row>
    <row r="48" spans="1:6" ht="12.75" customHeight="1" x14ac:dyDescent="0.2">
      <c r="A48" s="6" t="str">
        <f>'A VII.'!$A$190</f>
        <v>3.10</v>
      </c>
      <c r="B48" s="421" t="s">
        <v>183</v>
      </c>
      <c r="C48" s="114">
        <f>(44*4)*24</f>
        <v>4224</v>
      </c>
      <c r="D48" s="54" t="str">
        <f>VLOOKUP(A48,'A VII.'!$A$10:$D$199,3,FALSE)</f>
        <v>H</v>
      </c>
      <c r="E48" s="85">
        <f>'A VII.'!$D$190</f>
        <v>0</v>
      </c>
      <c r="F48" s="59">
        <f t="shared" si="2"/>
        <v>0</v>
      </c>
    </row>
    <row r="49" spans="1:6" ht="12.75" customHeight="1" x14ac:dyDescent="0.2">
      <c r="A49" s="3"/>
      <c r="C49" s="114"/>
      <c r="E49" s="85"/>
      <c r="F49" s="59">
        <f t="shared" si="2"/>
        <v>0</v>
      </c>
    </row>
    <row r="50" spans="1:6" ht="12.75" customHeight="1" x14ac:dyDescent="0.2">
      <c r="A50" s="3"/>
      <c r="C50" s="114"/>
      <c r="E50" s="85"/>
      <c r="F50" s="59">
        <f t="shared" si="2"/>
        <v>0</v>
      </c>
    </row>
    <row r="51" spans="1:6" ht="12.75" customHeight="1" x14ac:dyDescent="0.2">
      <c r="A51" s="3"/>
      <c r="C51" s="114"/>
      <c r="E51" s="85"/>
      <c r="F51" s="59">
        <f t="shared" si="2"/>
        <v>0</v>
      </c>
    </row>
    <row r="52" spans="1:6" ht="12.75" customHeight="1" x14ac:dyDescent="0.2">
      <c r="A52" s="3"/>
      <c r="C52" s="114"/>
      <c r="E52" s="85"/>
      <c r="F52" s="59">
        <f t="shared" si="2"/>
        <v>0</v>
      </c>
    </row>
    <row r="53" spans="1:6" ht="12.75" customHeight="1" x14ac:dyDescent="0.2">
      <c r="A53" s="3"/>
      <c r="C53" s="114"/>
      <c r="E53" s="85"/>
      <c r="F53" s="59">
        <f t="shared" si="2"/>
        <v>0</v>
      </c>
    </row>
    <row r="54" spans="1:6" ht="12.75" customHeight="1" x14ac:dyDescent="0.2">
      <c r="A54" s="3"/>
      <c r="B54" s="86" t="s">
        <v>258</v>
      </c>
      <c r="C54" s="87"/>
      <c r="D54" s="88"/>
      <c r="E54" s="89"/>
      <c r="F54" s="90">
        <f>SUM(F47:F53)</f>
        <v>0</v>
      </c>
    </row>
    <row r="55" spans="1:6" ht="12.75" customHeight="1" x14ac:dyDescent="0.2">
      <c r="A55" s="3"/>
      <c r="B55" s="91" t="s">
        <v>261</v>
      </c>
      <c r="C55" s="15">
        <f>$D$7</f>
        <v>0</v>
      </c>
      <c r="D55" s="92"/>
      <c r="E55" s="93"/>
      <c r="F55" s="94">
        <f>ROUND(F54*C55,2)</f>
        <v>0</v>
      </c>
    </row>
    <row r="56" spans="1:6" ht="12.75" customHeight="1" x14ac:dyDescent="0.2">
      <c r="A56" s="3"/>
      <c r="B56" s="91" t="s">
        <v>70</v>
      </c>
      <c r="C56" s="15">
        <f>$D$8</f>
        <v>0</v>
      </c>
      <c r="D56" s="92"/>
      <c r="E56" s="93"/>
      <c r="F56" s="94">
        <f>ROUND(SUM(F54:F55)*C56,2)</f>
        <v>0</v>
      </c>
    </row>
    <row r="57" spans="1:6" ht="12.75" customHeight="1" thickBot="1" x14ac:dyDescent="0.25">
      <c r="A57" s="98"/>
      <c r="B57" s="99" t="s">
        <v>262</v>
      </c>
      <c r="C57" s="100"/>
      <c r="D57" s="100"/>
      <c r="E57" s="101"/>
      <c r="F57" s="102">
        <f>SUM(F54:F56)</f>
        <v>0</v>
      </c>
    </row>
    <row r="58" spans="1:6" ht="12.75" customHeight="1" thickBot="1" x14ac:dyDescent="0.25">
      <c r="A58" s="81"/>
      <c r="B58" s="82"/>
      <c r="C58" s="83"/>
      <c r="D58" s="83"/>
      <c r="E58" s="84"/>
      <c r="F58" s="103"/>
    </row>
    <row r="59" spans="1:6" ht="30" customHeight="1" x14ac:dyDescent="0.2">
      <c r="A59" s="5" t="str">
        <f>'A IV.A'!$A$17</f>
        <v>1.2</v>
      </c>
      <c r="B59" s="416" t="str">
        <f>'A IV.A'!$B$17</f>
        <v>PLACA DE IDENTIFICAÇÃO DE OBRA, CONFORME PADRÃO SEMAE (ITEM 6.8 DO TERMO DE REFERÊNCIA)</v>
      </c>
      <c r="C59" s="526" t="s">
        <v>269</v>
      </c>
      <c r="D59" s="527"/>
      <c r="E59" s="417" t="str">
        <f>'A IV.A'!$C$17</f>
        <v>M2</v>
      </c>
      <c r="F59" s="58">
        <f>ROUND(F79+F93+F105,2)</f>
        <v>0</v>
      </c>
    </row>
    <row r="60" spans="1:6" ht="12.75" customHeight="1" x14ac:dyDescent="0.2">
      <c r="A60" s="1" t="s">
        <v>17</v>
      </c>
      <c r="B60" s="418" t="s">
        <v>162</v>
      </c>
      <c r="C60" s="419" t="s">
        <v>263</v>
      </c>
      <c r="D60" s="419" t="s">
        <v>264</v>
      </c>
      <c r="E60" s="420" t="s">
        <v>265</v>
      </c>
      <c r="F60" s="57" t="s">
        <v>266</v>
      </c>
    </row>
    <row r="61" spans="1:6" ht="12.75" customHeight="1" x14ac:dyDescent="0.2">
      <c r="A61" s="6" t="str">
        <f>'A VII.'!$A$86</f>
        <v>1.76</v>
      </c>
      <c r="B61" s="74" t="str">
        <f>VLOOKUP(A61,'A VII.'!$A$10:$D$199,2,FALSE)</f>
        <v>PLACA DE OBRA (IDENTIFICAÇÃO) PARA CONSTRUÇÃO CIVIL EM CHAPA GALVANIZADA Nº 22 - COMPLETA</v>
      </c>
      <c r="C61" s="114">
        <v>1</v>
      </c>
      <c r="D61" s="7" t="str">
        <f>VLOOKUP(A61,'A VII.'!$A$10:$D$199,3,FALSE)</f>
        <v>M2</v>
      </c>
      <c r="E61" s="85">
        <f>'A VII.'!D86</f>
        <v>0</v>
      </c>
      <c r="F61" s="59">
        <f>ROUND(C61*E61,2)</f>
        <v>0</v>
      </c>
    </row>
    <row r="62" spans="1:6" ht="12.75" customHeight="1" x14ac:dyDescent="0.2">
      <c r="A62" s="6" t="str">
        <f>'A VII.'!$A$79</f>
        <v>1.70</v>
      </c>
      <c r="B62" s="74" t="str">
        <f>VLOOKUP(A62,'A VII.'!$A$10:$D$199,2,FALSE)</f>
        <v>PONTALETE DE MADEIRA NAO APARELHADA - 7,5 X 7,5 CM (3 X 3 ")</v>
      </c>
      <c r="C62" s="114">
        <v>2.65</v>
      </c>
      <c r="D62" s="7" t="str">
        <f>VLOOKUP(A62,'A VII.'!$A$10:$D$199,3,FALSE)</f>
        <v>M</v>
      </c>
      <c r="E62" s="85">
        <f>'A VII.'!D79</f>
        <v>0</v>
      </c>
      <c r="F62" s="59">
        <f t="shared" ref="F62:F76" si="3">ROUND(C62*E62,2)</f>
        <v>0</v>
      </c>
    </row>
    <row r="63" spans="1:6" ht="12.75" customHeight="1" x14ac:dyDescent="0.2">
      <c r="A63" s="6" t="str">
        <f>'A VII.'!$A$90</f>
        <v>1.80</v>
      </c>
      <c r="B63" s="74" t="str">
        <f>VLOOKUP(A63,'A VII.'!$A$10:$D$199,2,FALSE)</f>
        <v>PREGO EM AÇO POLIDO COM CABEÇA (MEDIA DAS BITOLAS)</v>
      </c>
      <c r="C63" s="114">
        <v>0.04</v>
      </c>
      <c r="D63" s="7" t="str">
        <f>VLOOKUP(A63,'A VII.'!$A$10:$D$199,3,FALSE)</f>
        <v>KG</v>
      </c>
      <c r="E63" s="85">
        <f>'A VII.'!D90</f>
        <v>0</v>
      </c>
      <c r="F63" s="59">
        <f t="shared" si="3"/>
        <v>0</v>
      </c>
    </row>
    <row r="64" spans="1:6" ht="12.75" customHeight="1" x14ac:dyDescent="0.2">
      <c r="A64" s="6" t="str">
        <f>'A VII.'!$A$97</f>
        <v>1.87</v>
      </c>
      <c r="B64" s="74" t="str">
        <f>VLOOKUP(A64,'A VII.'!$A$10:$D$199,2,FALSE)</f>
        <v xml:space="preserve">SARRAFO 3A. CONSTRUÇÃO (SEÇÃO TRANSVERSAL: 1X4" - 2,5CM X 10,0CM) </v>
      </c>
      <c r="C64" s="114">
        <v>1.78</v>
      </c>
      <c r="D64" s="7" t="str">
        <f>VLOOKUP(A64,'A VII.'!$A$10:$D$199,3,FALSE)</f>
        <v>M</v>
      </c>
      <c r="E64" s="85">
        <f>'A VII.'!D97</f>
        <v>0</v>
      </c>
      <c r="F64" s="59">
        <f t="shared" si="3"/>
        <v>0</v>
      </c>
    </row>
    <row r="65" spans="1:6" ht="12.75" customHeight="1" x14ac:dyDescent="0.2">
      <c r="A65" s="6"/>
      <c r="B65" s="421"/>
      <c r="C65" s="114"/>
      <c r="D65" s="7"/>
      <c r="E65" s="85"/>
      <c r="F65" s="59">
        <f t="shared" si="3"/>
        <v>0</v>
      </c>
    </row>
    <row r="66" spans="1:6" ht="12.75" customHeight="1" x14ac:dyDescent="0.2">
      <c r="A66" s="6"/>
      <c r="B66" s="421"/>
      <c r="C66" s="114"/>
      <c r="D66" s="7"/>
      <c r="E66" s="85"/>
      <c r="F66" s="59">
        <f t="shared" si="3"/>
        <v>0</v>
      </c>
    </row>
    <row r="67" spans="1:6" ht="12.75" customHeight="1" x14ac:dyDescent="0.2">
      <c r="A67" s="6"/>
      <c r="B67" s="421"/>
      <c r="C67" s="114"/>
      <c r="D67" s="7"/>
      <c r="E67" s="85"/>
      <c r="F67" s="59">
        <f t="shared" si="3"/>
        <v>0</v>
      </c>
    </row>
    <row r="68" spans="1:6" ht="12.75" customHeight="1" x14ac:dyDescent="0.2">
      <c r="A68" s="6"/>
      <c r="B68" s="421"/>
      <c r="C68" s="114"/>
      <c r="D68" s="7"/>
      <c r="E68" s="85"/>
      <c r="F68" s="59">
        <f t="shared" si="3"/>
        <v>0</v>
      </c>
    </row>
    <row r="69" spans="1:6" ht="12.75" customHeight="1" x14ac:dyDescent="0.2">
      <c r="A69" s="6"/>
      <c r="B69" s="421"/>
      <c r="C69" s="114"/>
      <c r="D69" s="7"/>
      <c r="E69" s="85"/>
      <c r="F69" s="59">
        <f t="shared" si="3"/>
        <v>0</v>
      </c>
    </row>
    <row r="70" spans="1:6" ht="12.75" customHeight="1" x14ac:dyDescent="0.2">
      <c r="A70" s="6"/>
      <c r="B70" s="421"/>
      <c r="C70" s="114"/>
      <c r="D70" s="7"/>
      <c r="E70" s="85"/>
      <c r="F70" s="59">
        <f t="shared" si="3"/>
        <v>0</v>
      </c>
    </row>
    <row r="71" spans="1:6" ht="12.75" customHeight="1" x14ac:dyDescent="0.2">
      <c r="A71" s="6"/>
      <c r="B71" s="421"/>
      <c r="C71" s="114"/>
      <c r="D71" s="7"/>
      <c r="E71" s="85"/>
      <c r="F71" s="59">
        <f t="shared" si="3"/>
        <v>0</v>
      </c>
    </row>
    <row r="72" spans="1:6" ht="12.75" customHeight="1" x14ac:dyDescent="0.2">
      <c r="A72" s="6"/>
      <c r="B72" s="421"/>
      <c r="C72" s="114"/>
      <c r="D72" s="423"/>
      <c r="E72" s="85"/>
      <c r="F72" s="59">
        <f t="shared" si="3"/>
        <v>0</v>
      </c>
    </row>
    <row r="73" spans="1:6" ht="12.75" customHeight="1" x14ac:dyDescent="0.2">
      <c r="A73" s="6"/>
      <c r="B73" s="421"/>
      <c r="C73" s="114"/>
      <c r="D73" s="423"/>
      <c r="E73" s="85"/>
      <c r="F73" s="59">
        <f t="shared" si="3"/>
        <v>0</v>
      </c>
    </row>
    <row r="74" spans="1:6" ht="12.75" customHeight="1" x14ac:dyDescent="0.2">
      <c r="A74" s="6"/>
      <c r="B74" s="421"/>
      <c r="C74" s="114"/>
      <c r="D74" s="423"/>
      <c r="E74" s="85"/>
      <c r="F74" s="59">
        <f t="shared" si="3"/>
        <v>0</v>
      </c>
    </row>
    <row r="75" spans="1:6" ht="12.75" customHeight="1" x14ac:dyDescent="0.2">
      <c r="A75" s="3"/>
      <c r="C75" s="114"/>
      <c r="E75" s="85"/>
      <c r="F75" s="59">
        <f t="shared" si="3"/>
        <v>0</v>
      </c>
    </row>
    <row r="76" spans="1:6" ht="12.75" customHeight="1" x14ac:dyDescent="0.2">
      <c r="A76" s="3"/>
      <c r="C76" s="114"/>
      <c r="E76" s="85"/>
      <c r="F76" s="59">
        <f t="shared" si="3"/>
        <v>0</v>
      </c>
    </row>
    <row r="77" spans="1:6" ht="12.75" customHeight="1" x14ac:dyDescent="0.2">
      <c r="A77" s="3"/>
      <c r="B77" s="86" t="s">
        <v>258</v>
      </c>
      <c r="C77" s="87"/>
      <c r="D77" s="88"/>
      <c r="E77" s="89"/>
      <c r="F77" s="104">
        <f>SUM(F61:F76)</f>
        <v>0</v>
      </c>
    </row>
    <row r="78" spans="1:6" ht="12.75" customHeight="1" x14ac:dyDescent="0.2">
      <c r="A78" s="3"/>
      <c r="B78" s="91" t="s">
        <v>70</v>
      </c>
      <c r="C78" s="15">
        <f>$D$8</f>
        <v>0</v>
      </c>
      <c r="D78" s="92"/>
      <c r="E78" s="93"/>
      <c r="F78" s="105">
        <f>ROUND(F77*C78,2)</f>
        <v>0</v>
      </c>
    </row>
    <row r="79" spans="1:6" ht="12.75" customHeight="1" x14ac:dyDescent="0.2">
      <c r="A79" s="95"/>
      <c r="B79" s="424" t="s">
        <v>259</v>
      </c>
      <c r="C79" s="425"/>
      <c r="D79" s="425"/>
      <c r="E79" s="426"/>
      <c r="F79" s="106">
        <f>F77+F78</f>
        <v>0</v>
      </c>
    </row>
    <row r="80" spans="1:6" ht="12.75" customHeight="1" x14ac:dyDescent="0.2">
      <c r="A80" s="1" t="s">
        <v>5</v>
      </c>
      <c r="B80" s="418" t="s">
        <v>267</v>
      </c>
      <c r="C80" s="419" t="s">
        <v>263</v>
      </c>
      <c r="D80" s="419" t="s">
        <v>264</v>
      </c>
      <c r="E80" s="420" t="s">
        <v>265</v>
      </c>
      <c r="F80" s="57" t="s">
        <v>266</v>
      </c>
    </row>
    <row r="81" spans="1:6" ht="12.75" customHeight="1" x14ac:dyDescent="0.2">
      <c r="A81" s="3"/>
      <c r="B81" s="71"/>
      <c r="C81" s="114"/>
      <c r="E81" s="85"/>
      <c r="F81" s="59">
        <f t="shared" ref="F81:F90" si="4">ROUND(C81*E81,2)</f>
        <v>0</v>
      </c>
    </row>
    <row r="82" spans="1:6" ht="12.75" customHeight="1" x14ac:dyDescent="0.2">
      <c r="A82" s="3"/>
      <c r="C82" s="114"/>
      <c r="E82" s="85"/>
      <c r="F82" s="59">
        <f t="shared" si="4"/>
        <v>0</v>
      </c>
    </row>
    <row r="83" spans="1:6" ht="12.75" customHeight="1" x14ac:dyDescent="0.2">
      <c r="A83" s="3"/>
      <c r="C83" s="114"/>
      <c r="E83" s="85"/>
      <c r="F83" s="59">
        <f t="shared" si="4"/>
        <v>0</v>
      </c>
    </row>
    <row r="84" spans="1:6" ht="12.75" customHeight="1" x14ac:dyDescent="0.2">
      <c r="A84" s="3"/>
      <c r="C84" s="114"/>
      <c r="E84" s="85"/>
      <c r="F84" s="59">
        <f t="shared" si="4"/>
        <v>0</v>
      </c>
    </row>
    <row r="85" spans="1:6" ht="12.75" customHeight="1" x14ac:dyDescent="0.2">
      <c r="A85" s="3"/>
      <c r="C85" s="114"/>
      <c r="E85" s="85"/>
      <c r="F85" s="59">
        <f t="shared" si="4"/>
        <v>0</v>
      </c>
    </row>
    <row r="86" spans="1:6" ht="12.75" customHeight="1" x14ac:dyDescent="0.2">
      <c r="A86" s="3"/>
      <c r="C86" s="114"/>
      <c r="E86" s="85"/>
      <c r="F86" s="59">
        <f t="shared" si="4"/>
        <v>0</v>
      </c>
    </row>
    <row r="87" spans="1:6" ht="12.75" customHeight="1" x14ac:dyDescent="0.2">
      <c r="A87" s="3"/>
      <c r="C87" s="114"/>
      <c r="E87" s="85"/>
      <c r="F87" s="59">
        <f t="shared" si="4"/>
        <v>0</v>
      </c>
    </row>
    <row r="88" spans="1:6" ht="12.75" customHeight="1" x14ac:dyDescent="0.2">
      <c r="A88" s="3"/>
      <c r="C88" s="114"/>
      <c r="E88" s="85"/>
      <c r="F88" s="59">
        <f t="shared" si="4"/>
        <v>0</v>
      </c>
    </row>
    <row r="89" spans="1:6" ht="12.75" customHeight="1" x14ac:dyDescent="0.2">
      <c r="A89" s="3"/>
      <c r="C89" s="114"/>
      <c r="E89" s="85"/>
      <c r="F89" s="59">
        <f t="shared" si="4"/>
        <v>0</v>
      </c>
    </row>
    <row r="90" spans="1:6" ht="12.75" customHeight="1" x14ac:dyDescent="0.2">
      <c r="A90" s="3"/>
      <c r="C90" s="114"/>
      <c r="E90" s="85"/>
      <c r="F90" s="59">
        <f t="shared" si="4"/>
        <v>0</v>
      </c>
    </row>
    <row r="91" spans="1:6" ht="12.75" customHeight="1" x14ac:dyDescent="0.2">
      <c r="A91" s="3"/>
      <c r="B91" s="86" t="s">
        <v>258</v>
      </c>
      <c r="C91" s="87"/>
      <c r="D91" s="88"/>
      <c r="E91" s="89"/>
      <c r="F91" s="90">
        <f>SUM(F81:F90)</f>
        <v>0</v>
      </c>
    </row>
    <row r="92" spans="1:6" ht="12.75" customHeight="1" x14ac:dyDescent="0.2">
      <c r="A92" s="3"/>
      <c r="B92" s="91" t="s">
        <v>70</v>
      </c>
      <c r="C92" s="15">
        <f>$D$8</f>
        <v>0</v>
      </c>
      <c r="D92" s="92"/>
      <c r="E92" s="93"/>
      <c r="F92" s="94">
        <f>ROUND(C92*F91,2)</f>
        <v>0</v>
      </c>
    </row>
    <row r="93" spans="1:6" ht="12.75" customHeight="1" x14ac:dyDescent="0.2">
      <c r="A93" s="95"/>
      <c r="B93" s="424" t="s">
        <v>260</v>
      </c>
      <c r="C93" s="425"/>
      <c r="D93" s="425"/>
      <c r="E93" s="426"/>
      <c r="F93" s="96">
        <f>F91+F92</f>
        <v>0</v>
      </c>
    </row>
    <row r="94" spans="1:6" ht="12.75" customHeight="1" x14ac:dyDescent="0.2">
      <c r="A94" s="97" t="s">
        <v>54</v>
      </c>
      <c r="B94" s="427" t="s">
        <v>268</v>
      </c>
      <c r="C94" s="428" t="s">
        <v>263</v>
      </c>
      <c r="D94" s="429" t="s">
        <v>264</v>
      </c>
      <c r="E94" s="430" t="s">
        <v>265</v>
      </c>
      <c r="F94" s="57" t="s">
        <v>266</v>
      </c>
    </row>
    <row r="95" spans="1:6" ht="12.75" customHeight="1" x14ac:dyDescent="0.2">
      <c r="A95" s="3" t="str">
        <f>'A VII.'!$A$183</f>
        <v>3.3</v>
      </c>
      <c r="B95" s="74" t="s">
        <v>176</v>
      </c>
      <c r="C95" s="114">
        <v>0.56000000000000005</v>
      </c>
      <c r="D95" s="54" t="str">
        <f>VLOOKUP(A95,'A VII.'!$A$10:$D$199,3,FALSE)</f>
        <v>H</v>
      </c>
      <c r="E95" s="85">
        <f>'A VII.'!$D$183</f>
        <v>0</v>
      </c>
      <c r="F95" s="59">
        <f t="shared" ref="F95:F101" si="5">ROUND(C95*E95,2)</f>
        <v>0</v>
      </c>
    </row>
    <row r="96" spans="1:6" ht="12.75" customHeight="1" x14ac:dyDescent="0.2">
      <c r="A96" s="3" t="str">
        <f>'A VII.'!$A$186</f>
        <v>3.6</v>
      </c>
      <c r="B96" s="74" t="s">
        <v>179</v>
      </c>
      <c r="C96" s="114">
        <v>0.56000000000000005</v>
      </c>
      <c r="D96" s="54" t="str">
        <f>VLOOKUP(A96,'A VII.'!$A$10:$D$199,3,FALSE)</f>
        <v>H</v>
      </c>
      <c r="E96" s="85">
        <f>'A VII.'!$D$186</f>
        <v>0</v>
      </c>
      <c r="F96" s="59">
        <f t="shared" si="5"/>
        <v>0</v>
      </c>
    </row>
    <row r="97" spans="1:6" ht="12.75" customHeight="1" x14ac:dyDescent="0.2">
      <c r="A97" s="3"/>
      <c r="C97" s="114"/>
      <c r="E97" s="85"/>
      <c r="F97" s="59">
        <f t="shared" si="5"/>
        <v>0</v>
      </c>
    </row>
    <row r="98" spans="1:6" ht="12.75" customHeight="1" x14ac:dyDescent="0.2">
      <c r="A98" s="3"/>
      <c r="C98" s="114"/>
      <c r="E98" s="85"/>
      <c r="F98" s="59">
        <f t="shared" si="5"/>
        <v>0</v>
      </c>
    </row>
    <row r="99" spans="1:6" ht="12.75" customHeight="1" x14ac:dyDescent="0.2">
      <c r="A99" s="3"/>
      <c r="C99" s="114"/>
      <c r="E99" s="85"/>
      <c r="F99" s="59">
        <f t="shared" si="5"/>
        <v>0</v>
      </c>
    </row>
    <row r="100" spans="1:6" ht="12.75" customHeight="1" x14ac:dyDescent="0.2">
      <c r="A100" s="3"/>
      <c r="C100" s="114"/>
      <c r="E100" s="85"/>
      <c r="F100" s="59">
        <f t="shared" si="5"/>
        <v>0</v>
      </c>
    </row>
    <row r="101" spans="1:6" ht="12.75" customHeight="1" x14ac:dyDescent="0.2">
      <c r="A101" s="3"/>
      <c r="C101" s="114"/>
      <c r="E101" s="85"/>
      <c r="F101" s="59">
        <f t="shared" si="5"/>
        <v>0</v>
      </c>
    </row>
    <row r="102" spans="1:6" ht="12.75" customHeight="1" x14ac:dyDescent="0.2">
      <c r="A102" s="3"/>
      <c r="B102" s="86" t="s">
        <v>258</v>
      </c>
      <c r="C102" s="87"/>
      <c r="D102" s="88"/>
      <c r="E102" s="89"/>
      <c r="F102" s="90">
        <f>SUM(F95:F101)</f>
        <v>0</v>
      </c>
    </row>
    <row r="103" spans="1:6" ht="12.75" customHeight="1" x14ac:dyDescent="0.2">
      <c r="A103" s="3"/>
      <c r="B103" s="91" t="s">
        <v>261</v>
      </c>
      <c r="C103" s="15">
        <f>'A IX.'!$C$45</f>
        <v>0</v>
      </c>
      <c r="D103" s="92"/>
      <c r="E103" s="93"/>
      <c r="F103" s="94">
        <f>ROUND(F102*C103,2)</f>
        <v>0</v>
      </c>
    </row>
    <row r="104" spans="1:6" ht="12.75" customHeight="1" x14ac:dyDescent="0.2">
      <c r="A104" s="3"/>
      <c r="B104" s="91" t="s">
        <v>70</v>
      </c>
      <c r="C104" s="15">
        <f>$D$8</f>
        <v>0</v>
      </c>
      <c r="D104" s="92"/>
      <c r="E104" s="93"/>
      <c r="F104" s="94">
        <f>ROUND(SUM(F102:F103)*C104,2)</f>
        <v>0</v>
      </c>
    </row>
    <row r="105" spans="1:6" ht="12.75" customHeight="1" thickBot="1" x14ac:dyDescent="0.25">
      <c r="A105" s="98"/>
      <c r="B105" s="99" t="s">
        <v>262</v>
      </c>
      <c r="C105" s="100"/>
      <c r="D105" s="100"/>
      <c r="E105" s="101"/>
      <c r="F105" s="102">
        <f>SUM(F102:F104)</f>
        <v>0</v>
      </c>
    </row>
    <row r="106" spans="1:6" ht="12.75" customHeight="1" thickBot="1" x14ac:dyDescent="0.25">
      <c r="A106" s="81"/>
      <c r="B106" s="82"/>
      <c r="C106" s="83"/>
      <c r="D106" s="83"/>
      <c r="E106" s="84"/>
      <c r="F106" s="103"/>
    </row>
    <row r="107" spans="1:6" ht="30" customHeight="1" x14ac:dyDescent="0.2">
      <c r="A107" s="5" t="str">
        <f>'A IV.A'!$A$18</f>
        <v>1.3</v>
      </c>
      <c r="B107" s="416" t="str">
        <f>'A IV.A'!$B$18</f>
        <v>VIGILANTE PARA ÁREAS EM OBRA</v>
      </c>
      <c r="C107" s="526" t="s">
        <v>269</v>
      </c>
      <c r="D107" s="527"/>
      <c r="E107" s="417" t="str">
        <f>'A IV.A'!$C$18</f>
        <v>H</v>
      </c>
      <c r="F107" s="58">
        <f>ROUND(F127+F141+F153,2)</f>
        <v>0</v>
      </c>
    </row>
    <row r="108" spans="1:6" ht="12.75" customHeight="1" x14ac:dyDescent="0.2">
      <c r="A108" s="1"/>
      <c r="B108" s="418"/>
      <c r="C108" s="419"/>
      <c r="D108" s="419"/>
      <c r="E108" s="420"/>
      <c r="F108" s="57"/>
    </row>
    <row r="109" spans="1:6" ht="12.75" customHeight="1" x14ac:dyDescent="0.2">
      <c r="A109" s="6"/>
      <c r="C109" s="114"/>
      <c r="D109" s="7"/>
      <c r="E109" s="85"/>
      <c r="F109" s="59"/>
    </row>
    <row r="110" spans="1:6" ht="12.75" customHeight="1" x14ac:dyDescent="0.2">
      <c r="A110" s="6"/>
      <c r="C110" s="114"/>
      <c r="D110" s="7"/>
      <c r="E110" s="85"/>
      <c r="F110" s="59"/>
    </row>
    <row r="111" spans="1:6" ht="12.75" customHeight="1" x14ac:dyDescent="0.2">
      <c r="A111" s="6"/>
      <c r="C111" s="114"/>
      <c r="D111" s="7"/>
      <c r="E111" s="85"/>
      <c r="F111" s="59"/>
    </row>
    <row r="112" spans="1:6" ht="12.75" customHeight="1" x14ac:dyDescent="0.2">
      <c r="A112" s="6"/>
      <c r="C112" s="114"/>
      <c r="D112" s="7"/>
      <c r="E112" s="85"/>
      <c r="F112" s="59"/>
    </row>
    <row r="113" spans="1:6" ht="12.75" customHeight="1" x14ac:dyDescent="0.2">
      <c r="A113" s="6"/>
      <c r="B113" s="421"/>
      <c r="C113" s="114"/>
      <c r="D113" s="7"/>
      <c r="E113" s="85"/>
      <c r="F113" s="59"/>
    </row>
    <row r="114" spans="1:6" ht="12.75" customHeight="1" x14ac:dyDescent="0.2">
      <c r="A114" s="6"/>
      <c r="B114" s="421"/>
      <c r="C114" s="114"/>
      <c r="D114" s="7"/>
      <c r="E114" s="85"/>
      <c r="F114" s="59"/>
    </row>
    <row r="115" spans="1:6" ht="12.75" customHeight="1" x14ac:dyDescent="0.2">
      <c r="A115" s="6"/>
      <c r="B115" s="421"/>
      <c r="C115" s="114"/>
      <c r="D115" s="7"/>
      <c r="E115" s="85"/>
      <c r="F115" s="59"/>
    </row>
    <row r="116" spans="1:6" ht="12.75" customHeight="1" x14ac:dyDescent="0.2">
      <c r="A116" s="6"/>
      <c r="B116" s="421"/>
      <c r="C116" s="114"/>
      <c r="D116" s="7"/>
      <c r="E116" s="85"/>
      <c r="F116" s="59"/>
    </row>
    <row r="117" spans="1:6" ht="12.75" customHeight="1" x14ac:dyDescent="0.2">
      <c r="A117" s="6"/>
      <c r="B117" s="421"/>
      <c r="C117" s="114"/>
      <c r="D117" s="7"/>
      <c r="E117" s="85"/>
      <c r="F117" s="59"/>
    </row>
    <row r="118" spans="1:6" ht="12.75" customHeight="1" x14ac:dyDescent="0.2">
      <c r="A118" s="6"/>
      <c r="B118" s="421"/>
      <c r="C118" s="114"/>
      <c r="D118" s="7"/>
      <c r="E118" s="85"/>
      <c r="F118" s="59"/>
    </row>
    <row r="119" spans="1:6" ht="12.75" customHeight="1" x14ac:dyDescent="0.2">
      <c r="A119" s="6"/>
      <c r="B119" s="421"/>
      <c r="C119" s="114"/>
      <c r="D119" s="7"/>
      <c r="E119" s="85"/>
      <c r="F119" s="59"/>
    </row>
    <row r="120" spans="1:6" ht="12.75" customHeight="1" x14ac:dyDescent="0.2">
      <c r="A120" s="6"/>
      <c r="B120" s="421"/>
      <c r="C120" s="114"/>
      <c r="D120" s="423"/>
      <c r="E120" s="85"/>
      <c r="F120" s="59"/>
    </row>
    <row r="121" spans="1:6" ht="12.75" customHeight="1" x14ac:dyDescent="0.2">
      <c r="A121" s="6"/>
      <c r="B121" s="421"/>
      <c r="C121" s="114"/>
      <c r="D121" s="423"/>
      <c r="E121" s="85"/>
      <c r="F121" s="59"/>
    </row>
    <row r="122" spans="1:6" ht="12.75" customHeight="1" x14ac:dyDescent="0.2">
      <c r="A122" s="6"/>
      <c r="B122" s="421"/>
      <c r="C122" s="114"/>
      <c r="D122" s="423"/>
      <c r="E122" s="85"/>
      <c r="F122" s="59"/>
    </row>
    <row r="123" spans="1:6" ht="12.75" customHeight="1" x14ac:dyDescent="0.2">
      <c r="A123" s="3"/>
      <c r="C123" s="114"/>
      <c r="E123" s="85"/>
      <c r="F123" s="59"/>
    </row>
    <row r="124" spans="1:6" ht="12.75" customHeight="1" x14ac:dyDescent="0.2">
      <c r="A124" s="3"/>
      <c r="C124" s="114"/>
      <c r="E124" s="85"/>
      <c r="F124" s="59"/>
    </row>
    <row r="125" spans="1:6" ht="12.75" customHeight="1" x14ac:dyDescent="0.2">
      <c r="A125" s="3"/>
      <c r="B125" s="86" t="s">
        <v>258</v>
      </c>
      <c r="C125" s="87"/>
      <c r="D125" s="88"/>
      <c r="E125" s="89"/>
      <c r="F125" s="104">
        <f>SUM(F109:F124)</f>
        <v>0</v>
      </c>
    </row>
    <row r="126" spans="1:6" ht="12.75" customHeight="1" x14ac:dyDescent="0.2">
      <c r="A126" s="3"/>
      <c r="B126" s="91" t="s">
        <v>70</v>
      </c>
      <c r="C126" s="15">
        <f>$D$8</f>
        <v>0</v>
      </c>
      <c r="D126" s="92"/>
      <c r="E126" s="93"/>
      <c r="F126" s="105">
        <f>ROUND(F125*C126,2)</f>
        <v>0</v>
      </c>
    </row>
    <row r="127" spans="1:6" ht="12.75" customHeight="1" x14ac:dyDescent="0.2">
      <c r="A127" s="95"/>
      <c r="B127" s="424" t="s">
        <v>259</v>
      </c>
      <c r="C127" s="425"/>
      <c r="D127" s="425"/>
      <c r="E127" s="426"/>
      <c r="F127" s="106">
        <f>F125+F126</f>
        <v>0</v>
      </c>
    </row>
    <row r="128" spans="1:6" ht="12.75" customHeight="1" x14ac:dyDescent="0.2">
      <c r="A128" s="1"/>
      <c r="B128" s="418"/>
      <c r="C128" s="419"/>
      <c r="D128" s="419"/>
      <c r="E128" s="420"/>
      <c r="F128" s="57"/>
    </row>
    <row r="129" spans="1:6" ht="12.75" customHeight="1" x14ac:dyDescent="0.2">
      <c r="A129" s="3"/>
      <c r="B129" s="71"/>
      <c r="C129" s="114"/>
      <c r="E129" s="85"/>
      <c r="F129" s="59"/>
    </row>
    <row r="130" spans="1:6" ht="12.75" customHeight="1" x14ac:dyDescent="0.2">
      <c r="A130" s="3"/>
      <c r="C130" s="114"/>
      <c r="E130" s="85"/>
      <c r="F130" s="59"/>
    </row>
    <row r="131" spans="1:6" ht="12.75" customHeight="1" x14ac:dyDescent="0.2">
      <c r="A131" s="3"/>
      <c r="C131" s="114"/>
      <c r="E131" s="85"/>
      <c r="F131" s="59"/>
    </row>
    <row r="132" spans="1:6" ht="12.75" customHeight="1" x14ac:dyDescent="0.2">
      <c r="A132" s="3"/>
      <c r="C132" s="114"/>
      <c r="E132" s="85"/>
      <c r="F132" s="59"/>
    </row>
    <row r="133" spans="1:6" ht="12.75" customHeight="1" x14ac:dyDescent="0.2">
      <c r="A133" s="3"/>
      <c r="C133" s="114"/>
      <c r="E133" s="85"/>
      <c r="F133" s="59"/>
    </row>
    <row r="134" spans="1:6" ht="12.75" customHeight="1" x14ac:dyDescent="0.2">
      <c r="A134" s="3"/>
      <c r="C134" s="114"/>
      <c r="E134" s="85"/>
      <c r="F134" s="59"/>
    </row>
    <row r="135" spans="1:6" ht="12.75" customHeight="1" x14ac:dyDescent="0.2">
      <c r="A135" s="3"/>
      <c r="C135" s="114"/>
      <c r="E135" s="85"/>
      <c r="F135" s="59"/>
    </row>
    <row r="136" spans="1:6" ht="12.75" customHeight="1" x14ac:dyDescent="0.2">
      <c r="A136" s="3"/>
      <c r="C136" s="114"/>
      <c r="E136" s="85"/>
      <c r="F136" s="59"/>
    </row>
    <row r="137" spans="1:6" ht="12.75" customHeight="1" x14ac:dyDescent="0.2">
      <c r="A137" s="3"/>
      <c r="C137" s="114"/>
      <c r="E137" s="85"/>
      <c r="F137" s="59"/>
    </row>
    <row r="138" spans="1:6" ht="12.75" customHeight="1" x14ac:dyDescent="0.2">
      <c r="A138" s="3"/>
      <c r="C138" s="114"/>
      <c r="E138" s="85"/>
      <c r="F138" s="59"/>
    </row>
    <row r="139" spans="1:6" ht="12.75" customHeight="1" x14ac:dyDescent="0.2">
      <c r="A139" s="3"/>
      <c r="B139" s="86" t="s">
        <v>258</v>
      </c>
      <c r="C139" s="87"/>
      <c r="D139" s="88"/>
      <c r="E139" s="89"/>
      <c r="F139" s="90">
        <f>SUM(F129:F138)</f>
        <v>0</v>
      </c>
    </row>
    <row r="140" spans="1:6" ht="12.75" customHeight="1" x14ac:dyDescent="0.2">
      <c r="A140" s="3"/>
      <c r="B140" s="91" t="s">
        <v>70</v>
      </c>
      <c r="C140" s="15">
        <f>$D$8</f>
        <v>0</v>
      </c>
      <c r="D140" s="92"/>
      <c r="E140" s="93"/>
      <c r="F140" s="94">
        <f>ROUND(C140*F139,2)</f>
        <v>0</v>
      </c>
    </row>
    <row r="141" spans="1:6" ht="12.75" customHeight="1" x14ac:dyDescent="0.2">
      <c r="A141" s="95"/>
      <c r="B141" s="424" t="s">
        <v>260</v>
      </c>
      <c r="C141" s="425"/>
      <c r="D141" s="425"/>
      <c r="E141" s="426"/>
      <c r="F141" s="96">
        <f>F139+F140</f>
        <v>0</v>
      </c>
    </row>
    <row r="142" spans="1:6" ht="12.75" customHeight="1" x14ac:dyDescent="0.2">
      <c r="A142" s="97"/>
      <c r="B142" s="427"/>
      <c r="C142" s="428"/>
      <c r="D142" s="429"/>
      <c r="E142" s="430"/>
      <c r="F142" s="57"/>
    </row>
    <row r="143" spans="1:6" ht="12.75" customHeight="1" x14ac:dyDescent="0.2">
      <c r="A143" s="3" t="str">
        <f>'A VII.'!$A$200</f>
        <v>3.20</v>
      </c>
      <c r="B143" s="74" t="str">
        <f>'A VII.'!B200</f>
        <v>VIGIA NOTURNO COM ENCARGOS COMPLEMENTARES</v>
      </c>
      <c r="C143" s="114">
        <v>1</v>
      </c>
      <c r="D143" s="54" t="s">
        <v>161</v>
      </c>
      <c r="E143" s="85">
        <f>'A VII.'!$D$200</f>
        <v>0</v>
      </c>
      <c r="F143" s="59">
        <f t="shared" ref="F143" si="6">ROUND(C143*E143,2)</f>
        <v>0</v>
      </c>
    </row>
    <row r="144" spans="1:6" ht="12.75" customHeight="1" x14ac:dyDescent="0.2">
      <c r="A144" s="3"/>
      <c r="C144" s="114"/>
      <c r="E144" s="85"/>
      <c r="F144" s="59"/>
    </row>
    <row r="145" spans="1:6" ht="12.75" customHeight="1" x14ac:dyDescent="0.2">
      <c r="A145" s="3"/>
      <c r="C145" s="114"/>
      <c r="E145" s="85"/>
      <c r="F145" s="59"/>
    </row>
    <row r="146" spans="1:6" ht="12.75" customHeight="1" x14ac:dyDescent="0.2">
      <c r="A146" s="3"/>
      <c r="C146" s="114"/>
      <c r="E146" s="85"/>
      <c r="F146" s="59"/>
    </row>
    <row r="147" spans="1:6" ht="12.75" customHeight="1" x14ac:dyDescent="0.2">
      <c r="A147" s="3"/>
      <c r="C147" s="114"/>
      <c r="E147" s="85"/>
      <c r="F147" s="59"/>
    </row>
    <row r="148" spans="1:6" ht="12.75" customHeight="1" x14ac:dyDescent="0.2">
      <c r="A148" s="3"/>
      <c r="C148" s="114"/>
      <c r="E148" s="85"/>
      <c r="F148" s="59"/>
    </row>
    <row r="149" spans="1:6" ht="12.75" customHeight="1" x14ac:dyDescent="0.2">
      <c r="A149" s="3"/>
      <c r="C149" s="114"/>
      <c r="E149" s="85"/>
      <c r="F149" s="59"/>
    </row>
    <row r="150" spans="1:6" ht="12.75" customHeight="1" x14ac:dyDescent="0.2">
      <c r="A150" s="3"/>
      <c r="B150" s="86" t="s">
        <v>258</v>
      </c>
      <c r="C150" s="87"/>
      <c r="D150" s="88"/>
      <c r="E150" s="89"/>
      <c r="F150" s="90">
        <f>SUM(F143:F149)</f>
        <v>0</v>
      </c>
    </row>
    <row r="151" spans="1:6" ht="12.75" customHeight="1" x14ac:dyDescent="0.2">
      <c r="A151" s="3"/>
      <c r="B151" s="91" t="s">
        <v>261</v>
      </c>
      <c r="C151" s="15">
        <f>'A IX.'!$C$45</f>
        <v>0</v>
      </c>
      <c r="D151" s="92"/>
      <c r="E151" s="93"/>
      <c r="F151" s="94">
        <f>ROUND(F150*C151,2)</f>
        <v>0</v>
      </c>
    </row>
    <row r="152" spans="1:6" ht="12.75" customHeight="1" x14ac:dyDescent="0.2">
      <c r="A152" s="3"/>
      <c r="B152" s="91" t="s">
        <v>70</v>
      </c>
      <c r="C152" s="15">
        <f>$D$8</f>
        <v>0</v>
      </c>
      <c r="D152" s="92"/>
      <c r="E152" s="93"/>
      <c r="F152" s="94">
        <f>ROUND(SUM(F150:F151)*C152,2)</f>
        <v>0</v>
      </c>
    </row>
    <row r="153" spans="1:6" ht="12.75" customHeight="1" thickBot="1" x14ac:dyDescent="0.25">
      <c r="A153" s="98"/>
      <c r="B153" s="99" t="s">
        <v>262</v>
      </c>
      <c r="C153" s="100"/>
      <c r="D153" s="100"/>
      <c r="E153" s="101"/>
      <c r="F153" s="102">
        <f>SUM(F150:F152)</f>
        <v>0</v>
      </c>
    </row>
    <row r="154" spans="1:6" ht="12.75" customHeight="1" thickBot="1" x14ac:dyDescent="0.25">
      <c r="A154" s="81"/>
      <c r="B154" s="82"/>
      <c r="C154" s="83"/>
      <c r="D154" s="83"/>
      <c r="E154" s="84"/>
      <c r="F154" s="103"/>
    </row>
    <row r="155" spans="1:6" ht="30" customHeight="1" x14ac:dyDescent="0.2">
      <c r="A155" s="5" t="str">
        <f>'A IV.A'!$A$19</f>
        <v>1.4</v>
      </c>
      <c r="B155" s="416" t="str">
        <f>'A IV.A'!$B$19</f>
        <v>SANITÁRIO QUÍMICO</v>
      </c>
      <c r="C155" s="526" t="s">
        <v>269</v>
      </c>
      <c r="D155" s="527"/>
      <c r="E155" s="417" t="str">
        <f>'A IV.A'!$C$19</f>
        <v>UND.MÊS</v>
      </c>
      <c r="F155" s="58">
        <f>ROUND(F175+F189+F201,2)</f>
        <v>0</v>
      </c>
    </row>
    <row r="156" spans="1:6" ht="12.75" customHeight="1" x14ac:dyDescent="0.2">
      <c r="A156" s="1"/>
      <c r="B156" s="418"/>
      <c r="C156" s="419"/>
      <c r="D156" s="419"/>
      <c r="E156" s="420"/>
      <c r="F156" s="57"/>
    </row>
    <row r="157" spans="1:6" ht="12.75" customHeight="1" x14ac:dyDescent="0.2">
      <c r="A157" s="6"/>
      <c r="C157" s="114"/>
      <c r="D157" s="7"/>
      <c r="E157" s="85"/>
      <c r="F157" s="59"/>
    </row>
    <row r="158" spans="1:6" ht="12.75" customHeight="1" x14ac:dyDescent="0.2">
      <c r="A158" s="6"/>
      <c r="C158" s="114"/>
      <c r="D158" s="7"/>
      <c r="E158" s="85"/>
      <c r="F158" s="59"/>
    </row>
    <row r="159" spans="1:6" ht="12.75" customHeight="1" x14ac:dyDescent="0.2">
      <c r="A159" s="6"/>
      <c r="C159" s="114"/>
      <c r="D159" s="7"/>
      <c r="E159" s="85"/>
      <c r="F159" s="59"/>
    </row>
    <row r="160" spans="1:6" ht="12.75" customHeight="1" x14ac:dyDescent="0.2">
      <c r="A160" s="6"/>
      <c r="C160" s="114"/>
      <c r="D160" s="7"/>
      <c r="E160" s="85"/>
      <c r="F160" s="59"/>
    </row>
    <row r="161" spans="1:6" ht="12.75" customHeight="1" x14ac:dyDescent="0.2">
      <c r="A161" s="6"/>
      <c r="B161" s="421"/>
      <c r="C161" s="114"/>
      <c r="D161" s="7"/>
      <c r="E161" s="85"/>
      <c r="F161" s="59"/>
    </row>
    <row r="162" spans="1:6" ht="12.75" customHeight="1" x14ac:dyDescent="0.2">
      <c r="A162" s="6"/>
      <c r="B162" s="421"/>
      <c r="C162" s="114"/>
      <c r="D162" s="7"/>
      <c r="E162" s="85"/>
      <c r="F162" s="59"/>
    </row>
    <row r="163" spans="1:6" ht="12.75" customHeight="1" x14ac:dyDescent="0.2">
      <c r="A163" s="6"/>
      <c r="B163" s="421"/>
      <c r="C163" s="114"/>
      <c r="D163" s="7"/>
      <c r="E163" s="85"/>
      <c r="F163" s="59"/>
    </row>
    <row r="164" spans="1:6" ht="12.75" customHeight="1" x14ac:dyDescent="0.2">
      <c r="A164" s="6"/>
      <c r="B164" s="421"/>
      <c r="C164" s="114"/>
      <c r="D164" s="7"/>
      <c r="E164" s="85"/>
      <c r="F164" s="59"/>
    </row>
    <row r="165" spans="1:6" ht="12.75" customHeight="1" x14ac:dyDescent="0.2">
      <c r="A165" s="6"/>
      <c r="B165" s="421"/>
      <c r="C165" s="114"/>
      <c r="D165" s="7"/>
      <c r="E165" s="85"/>
      <c r="F165" s="59"/>
    </row>
    <row r="166" spans="1:6" ht="12.75" customHeight="1" x14ac:dyDescent="0.2">
      <c r="A166" s="6"/>
      <c r="B166" s="421"/>
      <c r="C166" s="114"/>
      <c r="D166" s="7"/>
      <c r="E166" s="85"/>
      <c r="F166" s="59"/>
    </row>
    <row r="167" spans="1:6" ht="12.75" customHeight="1" x14ac:dyDescent="0.2">
      <c r="A167" s="6"/>
      <c r="B167" s="421"/>
      <c r="C167" s="114"/>
      <c r="D167" s="7"/>
      <c r="E167" s="85"/>
      <c r="F167" s="59"/>
    </row>
    <row r="168" spans="1:6" ht="12.75" customHeight="1" x14ac:dyDescent="0.2">
      <c r="A168" s="6"/>
      <c r="B168" s="421"/>
      <c r="C168" s="114"/>
      <c r="D168" s="423"/>
      <c r="E168" s="85"/>
      <c r="F168" s="59"/>
    </row>
    <row r="169" spans="1:6" ht="12.75" customHeight="1" x14ac:dyDescent="0.2">
      <c r="A169" s="6"/>
      <c r="B169" s="421"/>
      <c r="C169" s="114"/>
      <c r="D169" s="423"/>
      <c r="E169" s="85"/>
      <c r="F169" s="59"/>
    </row>
    <row r="170" spans="1:6" ht="12.75" customHeight="1" x14ac:dyDescent="0.2">
      <c r="A170" s="6"/>
      <c r="B170" s="421"/>
      <c r="C170" s="114"/>
      <c r="D170" s="423"/>
      <c r="E170" s="85"/>
      <c r="F170" s="59"/>
    </row>
    <row r="171" spans="1:6" ht="12.75" customHeight="1" x14ac:dyDescent="0.2">
      <c r="A171" s="3"/>
      <c r="C171" s="114"/>
      <c r="E171" s="85"/>
      <c r="F171" s="59"/>
    </row>
    <row r="172" spans="1:6" ht="12.75" customHeight="1" x14ac:dyDescent="0.2">
      <c r="A172" s="3"/>
      <c r="C172" s="114"/>
      <c r="E172" s="85"/>
      <c r="F172" s="59"/>
    </row>
    <row r="173" spans="1:6" ht="12.75" customHeight="1" x14ac:dyDescent="0.2">
      <c r="A173" s="3"/>
      <c r="B173" s="86" t="s">
        <v>258</v>
      </c>
      <c r="C173" s="87"/>
      <c r="D173" s="88"/>
      <c r="E173" s="89"/>
      <c r="F173" s="104">
        <f>SUM(F157:F172)</f>
        <v>0</v>
      </c>
    </row>
    <row r="174" spans="1:6" ht="12.75" customHeight="1" x14ac:dyDescent="0.2">
      <c r="A174" s="3"/>
      <c r="B174" s="91" t="s">
        <v>70</v>
      </c>
      <c r="C174" s="15">
        <f>$D$8</f>
        <v>0</v>
      </c>
      <c r="D174" s="92"/>
      <c r="E174" s="93"/>
      <c r="F174" s="105">
        <f>ROUND(F173*C174,2)</f>
        <v>0</v>
      </c>
    </row>
    <row r="175" spans="1:6" ht="12.75" customHeight="1" x14ac:dyDescent="0.2">
      <c r="A175" s="95"/>
      <c r="B175" s="424" t="s">
        <v>259</v>
      </c>
      <c r="C175" s="425"/>
      <c r="D175" s="425"/>
      <c r="E175" s="426"/>
      <c r="F175" s="106">
        <f>F173+F174</f>
        <v>0</v>
      </c>
    </row>
    <row r="176" spans="1:6" ht="12.75" customHeight="1" x14ac:dyDescent="0.2">
      <c r="A176" s="1"/>
      <c r="B176" s="418"/>
      <c r="C176" s="419"/>
      <c r="D176" s="419"/>
      <c r="E176" s="420"/>
      <c r="F176" s="57"/>
    </row>
    <row r="177" spans="1:6" ht="12.75" customHeight="1" x14ac:dyDescent="0.2">
      <c r="A177" s="3" t="str">
        <f>'A VII.'!$A$168</f>
        <v>2.26</v>
      </c>
      <c r="B177" s="74" t="str">
        <f>VLOOKUP(A177,'A VII.'!$A$10:$D$199,2,FALSE)</f>
        <v>SANITÁRIO PORTÁTIL QUÍMICO INDIVIDUAL - TIPO STANDARD, COM LIMPEZA E DESCARTE CONFORME EXIGÊNCIAS DA CETESB</v>
      </c>
      <c r="C177" s="114">
        <v>1</v>
      </c>
      <c r="D177" s="54" t="str">
        <f>VLOOKUP(A177,'A VII.'!$A$10:$D$199,3,FALSE)</f>
        <v>UNxMÊS</v>
      </c>
      <c r="E177" s="85">
        <f>'A VII.'!$D$168</f>
        <v>0</v>
      </c>
      <c r="F177" s="59">
        <f>ROUND(C177*E177,2)</f>
        <v>0</v>
      </c>
    </row>
    <row r="178" spans="1:6" ht="12.75" customHeight="1" x14ac:dyDescent="0.2">
      <c r="A178" s="3"/>
      <c r="C178" s="114"/>
      <c r="E178" s="85"/>
      <c r="F178" s="59"/>
    </row>
    <row r="179" spans="1:6" ht="12.75" customHeight="1" x14ac:dyDescent="0.2">
      <c r="A179" s="3"/>
      <c r="C179" s="114"/>
      <c r="E179" s="85"/>
      <c r="F179" s="59"/>
    </row>
    <row r="180" spans="1:6" ht="12.75" customHeight="1" x14ac:dyDescent="0.2">
      <c r="A180" s="3"/>
      <c r="C180" s="114"/>
      <c r="E180" s="85"/>
      <c r="F180" s="59"/>
    </row>
    <row r="181" spans="1:6" ht="12.75" customHeight="1" x14ac:dyDescent="0.2">
      <c r="A181" s="3"/>
      <c r="C181" s="114"/>
      <c r="E181" s="85"/>
      <c r="F181" s="59"/>
    </row>
    <row r="182" spans="1:6" ht="12.75" customHeight="1" x14ac:dyDescent="0.2">
      <c r="A182" s="3"/>
      <c r="C182" s="114"/>
      <c r="E182" s="85"/>
      <c r="F182" s="59"/>
    </row>
    <row r="183" spans="1:6" ht="12.75" customHeight="1" x14ac:dyDescent="0.2">
      <c r="A183" s="3"/>
      <c r="C183" s="114"/>
      <c r="E183" s="85"/>
      <c r="F183" s="59"/>
    </row>
    <row r="184" spans="1:6" ht="12.75" customHeight="1" x14ac:dyDescent="0.2">
      <c r="A184" s="3"/>
      <c r="C184" s="114"/>
      <c r="E184" s="85"/>
      <c r="F184" s="59"/>
    </row>
    <row r="185" spans="1:6" ht="12.75" customHeight="1" x14ac:dyDescent="0.2">
      <c r="A185" s="3"/>
      <c r="C185" s="114"/>
      <c r="E185" s="85"/>
      <c r="F185" s="59"/>
    </row>
    <row r="186" spans="1:6" ht="12.75" customHeight="1" x14ac:dyDescent="0.2">
      <c r="A186" s="3"/>
      <c r="C186" s="114"/>
      <c r="E186" s="85"/>
      <c r="F186" s="59"/>
    </row>
    <row r="187" spans="1:6" ht="12.75" customHeight="1" x14ac:dyDescent="0.2">
      <c r="A187" s="3"/>
      <c r="B187" s="86" t="s">
        <v>258</v>
      </c>
      <c r="C187" s="87"/>
      <c r="D187" s="88"/>
      <c r="E187" s="89"/>
      <c r="F187" s="90">
        <f>SUM(F177:F186)</f>
        <v>0</v>
      </c>
    </row>
    <row r="188" spans="1:6" ht="12.75" customHeight="1" x14ac:dyDescent="0.2">
      <c r="A188" s="3"/>
      <c r="B188" s="91" t="s">
        <v>70</v>
      </c>
      <c r="C188" s="15">
        <f>$D$8</f>
        <v>0</v>
      </c>
      <c r="D188" s="92"/>
      <c r="E188" s="93"/>
      <c r="F188" s="94">
        <f>ROUND(C188*F187,2)</f>
        <v>0</v>
      </c>
    </row>
    <row r="189" spans="1:6" ht="12.75" customHeight="1" x14ac:dyDescent="0.2">
      <c r="A189" s="95"/>
      <c r="B189" s="424" t="s">
        <v>260</v>
      </c>
      <c r="C189" s="425"/>
      <c r="D189" s="425"/>
      <c r="E189" s="426"/>
      <c r="F189" s="96">
        <f>F187+F188</f>
        <v>0</v>
      </c>
    </row>
    <row r="190" spans="1:6" ht="12.75" customHeight="1" x14ac:dyDescent="0.2">
      <c r="A190" s="97"/>
      <c r="B190" s="427"/>
      <c r="C190" s="428"/>
      <c r="D190" s="429"/>
      <c r="E190" s="430"/>
      <c r="F190" s="57"/>
    </row>
    <row r="191" spans="1:6" ht="12.75" customHeight="1" x14ac:dyDescent="0.2">
      <c r="A191" s="3"/>
      <c r="C191" s="114"/>
      <c r="E191" s="85"/>
      <c r="F191" s="59"/>
    </row>
    <row r="192" spans="1:6" ht="12.75" customHeight="1" x14ac:dyDescent="0.2">
      <c r="A192" s="3"/>
      <c r="C192" s="114"/>
      <c r="E192" s="85"/>
      <c r="F192" s="59"/>
    </row>
    <row r="193" spans="1:6" ht="12.75" customHeight="1" x14ac:dyDescent="0.2">
      <c r="A193" s="3"/>
      <c r="C193" s="114"/>
      <c r="E193" s="85"/>
      <c r="F193" s="59"/>
    </row>
    <row r="194" spans="1:6" ht="12.75" customHeight="1" x14ac:dyDescent="0.2">
      <c r="A194" s="3"/>
      <c r="C194" s="114"/>
      <c r="E194" s="85"/>
      <c r="F194" s="59"/>
    </row>
    <row r="195" spans="1:6" ht="12.75" customHeight="1" x14ac:dyDescent="0.2">
      <c r="A195" s="3"/>
      <c r="C195" s="114"/>
      <c r="E195" s="85"/>
      <c r="F195" s="59"/>
    </row>
    <row r="196" spans="1:6" ht="12.75" customHeight="1" x14ac:dyDescent="0.2">
      <c r="A196" s="3"/>
      <c r="C196" s="114"/>
      <c r="E196" s="85"/>
      <c r="F196" s="59"/>
    </row>
    <row r="197" spans="1:6" ht="12.75" customHeight="1" x14ac:dyDescent="0.2">
      <c r="A197" s="3"/>
      <c r="C197" s="114"/>
      <c r="E197" s="85"/>
      <c r="F197" s="59"/>
    </row>
    <row r="198" spans="1:6" ht="12.75" customHeight="1" x14ac:dyDescent="0.2">
      <c r="A198" s="3"/>
      <c r="B198" s="86" t="s">
        <v>258</v>
      </c>
      <c r="C198" s="87"/>
      <c r="D198" s="88"/>
      <c r="E198" s="89"/>
      <c r="F198" s="90">
        <f>SUM(F191:F197)</f>
        <v>0</v>
      </c>
    </row>
    <row r="199" spans="1:6" ht="12.75" customHeight="1" x14ac:dyDescent="0.2">
      <c r="A199" s="3"/>
      <c r="B199" s="91" t="s">
        <v>261</v>
      </c>
      <c r="C199" s="15">
        <f>'A IX.'!$C$45</f>
        <v>0</v>
      </c>
      <c r="D199" s="92"/>
      <c r="E199" s="93"/>
      <c r="F199" s="94">
        <f>ROUND(F198*C199,2)</f>
        <v>0</v>
      </c>
    </row>
    <row r="200" spans="1:6" ht="12.75" customHeight="1" x14ac:dyDescent="0.2">
      <c r="A200" s="3"/>
      <c r="B200" s="91" t="s">
        <v>70</v>
      </c>
      <c r="C200" s="15">
        <f>$D$8</f>
        <v>0</v>
      </c>
      <c r="D200" s="92"/>
      <c r="E200" s="93"/>
      <c r="F200" s="94">
        <f>ROUND(SUM(F198:F199)*C200,2)</f>
        <v>0</v>
      </c>
    </row>
    <row r="201" spans="1:6" ht="12.75" customHeight="1" thickBot="1" x14ac:dyDescent="0.25">
      <c r="A201" s="98"/>
      <c r="B201" s="99" t="s">
        <v>262</v>
      </c>
      <c r="C201" s="100"/>
      <c r="D201" s="100"/>
      <c r="E201" s="101"/>
      <c r="F201" s="102">
        <f>SUM(F198:F200)</f>
        <v>0</v>
      </c>
    </row>
    <row r="202" spans="1:6" ht="12.75" customHeight="1" thickBot="1" x14ac:dyDescent="0.25">
      <c r="A202" s="81"/>
      <c r="B202" s="82"/>
      <c r="C202" s="83"/>
      <c r="D202" s="83"/>
      <c r="E202" s="84"/>
      <c r="F202" s="103"/>
    </row>
    <row r="203" spans="1:6" ht="30" customHeight="1" x14ac:dyDescent="0.2">
      <c r="A203" s="5" t="str">
        <f>'A IV.A'!$A$20</f>
        <v>1.5</v>
      </c>
      <c r="B203" s="416" t="str">
        <f>'A IV.A'!$B$20</f>
        <v>CONTAINER</v>
      </c>
      <c r="C203" s="526" t="s">
        <v>269</v>
      </c>
      <c r="D203" s="527"/>
      <c r="E203" s="417" t="str">
        <f>'A IV.A'!$C$20</f>
        <v>UND.MÊS</v>
      </c>
      <c r="F203" s="58">
        <f>ROUND(F223+F237+F249,2)</f>
        <v>0</v>
      </c>
    </row>
    <row r="204" spans="1:6" ht="12.75" customHeight="1" x14ac:dyDescent="0.2">
      <c r="A204" s="1"/>
      <c r="B204" s="418"/>
      <c r="C204" s="419"/>
      <c r="D204" s="419"/>
      <c r="E204" s="420"/>
      <c r="F204" s="57"/>
    </row>
    <row r="205" spans="1:6" ht="12.75" customHeight="1" x14ac:dyDescent="0.2">
      <c r="A205" s="6"/>
      <c r="C205" s="114"/>
      <c r="D205" s="7"/>
      <c r="E205" s="85"/>
      <c r="F205" s="59"/>
    </row>
    <row r="206" spans="1:6" ht="12.75" customHeight="1" x14ac:dyDescent="0.2">
      <c r="A206" s="6"/>
      <c r="C206" s="114"/>
      <c r="D206" s="7"/>
      <c r="E206" s="85"/>
      <c r="F206" s="59"/>
    </row>
    <row r="207" spans="1:6" ht="12.75" customHeight="1" x14ac:dyDescent="0.2">
      <c r="A207" s="6"/>
      <c r="C207" s="114"/>
      <c r="D207" s="7"/>
      <c r="E207" s="85"/>
      <c r="F207" s="59"/>
    </row>
    <row r="208" spans="1:6" ht="12.75" customHeight="1" x14ac:dyDescent="0.2">
      <c r="A208" s="6"/>
      <c r="C208" s="114"/>
      <c r="D208" s="7"/>
      <c r="E208" s="85"/>
      <c r="F208" s="59"/>
    </row>
    <row r="209" spans="1:6" ht="12.75" customHeight="1" x14ac:dyDescent="0.2">
      <c r="A209" s="6"/>
      <c r="B209" s="421"/>
      <c r="C209" s="114"/>
      <c r="D209" s="7"/>
      <c r="E209" s="85"/>
      <c r="F209" s="59"/>
    </row>
    <row r="210" spans="1:6" ht="12.75" customHeight="1" x14ac:dyDescent="0.2">
      <c r="A210" s="6"/>
      <c r="B210" s="421"/>
      <c r="C210" s="114"/>
      <c r="D210" s="7"/>
      <c r="E210" s="85"/>
      <c r="F210" s="59"/>
    </row>
    <row r="211" spans="1:6" ht="12.75" customHeight="1" x14ac:dyDescent="0.2">
      <c r="A211" s="6"/>
      <c r="B211" s="421"/>
      <c r="C211" s="114"/>
      <c r="D211" s="7"/>
      <c r="E211" s="85"/>
      <c r="F211" s="59"/>
    </row>
    <row r="212" spans="1:6" ht="12.75" customHeight="1" x14ac:dyDescent="0.2">
      <c r="A212" s="6"/>
      <c r="B212" s="421"/>
      <c r="C212" s="114"/>
      <c r="D212" s="7"/>
      <c r="E212" s="85"/>
      <c r="F212" s="59"/>
    </row>
    <row r="213" spans="1:6" ht="12.75" customHeight="1" x14ac:dyDescent="0.2">
      <c r="A213" s="6"/>
      <c r="B213" s="421"/>
      <c r="C213" s="114"/>
      <c r="D213" s="7"/>
      <c r="E213" s="85"/>
      <c r="F213" s="59"/>
    </row>
    <row r="214" spans="1:6" ht="12.75" customHeight="1" x14ac:dyDescent="0.2">
      <c r="A214" s="6"/>
      <c r="B214" s="421"/>
      <c r="C214" s="114"/>
      <c r="D214" s="7"/>
      <c r="E214" s="85"/>
      <c r="F214" s="59"/>
    </row>
    <row r="215" spans="1:6" ht="12.75" customHeight="1" x14ac:dyDescent="0.2">
      <c r="A215" s="6"/>
      <c r="B215" s="421"/>
      <c r="C215" s="114"/>
      <c r="D215" s="7"/>
      <c r="E215" s="85"/>
      <c r="F215" s="59"/>
    </row>
    <row r="216" spans="1:6" ht="12.75" customHeight="1" x14ac:dyDescent="0.2">
      <c r="A216" s="6"/>
      <c r="B216" s="421"/>
      <c r="C216" s="114"/>
      <c r="D216" s="423"/>
      <c r="E216" s="85"/>
      <c r="F216" s="59"/>
    </row>
    <row r="217" spans="1:6" ht="12.75" customHeight="1" x14ac:dyDescent="0.2">
      <c r="A217" s="6"/>
      <c r="B217" s="421"/>
      <c r="C217" s="114"/>
      <c r="D217" s="423"/>
      <c r="E217" s="85"/>
      <c r="F217" s="59"/>
    </row>
    <row r="218" spans="1:6" ht="12.75" customHeight="1" x14ac:dyDescent="0.2">
      <c r="A218" s="6"/>
      <c r="B218" s="421"/>
      <c r="C218" s="114"/>
      <c r="D218" s="423"/>
      <c r="E218" s="85"/>
      <c r="F218" s="59"/>
    </row>
    <row r="219" spans="1:6" ht="12.75" customHeight="1" x14ac:dyDescent="0.2">
      <c r="A219" s="3"/>
      <c r="C219" s="114"/>
      <c r="E219" s="85"/>
      <c r="F219" s="59"/>
    </row>
    <row r="220" spans="1:6" ht="12.75" customHeight="1" x14ac:dyDescent="0.2">
      <c r="A220" s="3"/>
      <c r="C220" s="114"/>
      <c r="E220" s="85"/>
      <c r="F220" s="59"/>
    </row>
    <row r="221" spans="1:6" ht="12.75" customHeight="1" x14ac:dyDescent="0.2">
      <c r="A221" s="3"/>
      <c r="B221" s="86" t="s">
        <v>258</v>
      </c>
      <c r="C221" s="87"/>
      <c r="D221" s="88"/>
      <c r="E221" s="89"/>
      <c r="F221" s="104">
        <f>SUM(F205:F220)</f>
        <v>0</v>
      </c>
    </row>
    <row r="222" spans="1:6" ht="12.75" customHeight="1" x14ac:dyDescent="0.2">
      <c r="A222" s="3"/>
      <c r="B222" s="91" t="s">
        <v>70</v>
      </c>
      <c r="C222" s="15">
        <f>$D$8</f>
        <v>0</v>
      </c>
      <c r="D222" s="92"/>
      <c r="E222" s="93"/>
      <c r="F222" s="105">
        <f>ROUND(F221*C222,2)</f>
        <v>0</v>
      </c>
    </row>
    <row r="223" spans="1:6" ht="12.75" customHeight="1" x14ac:dyDescent="0.2">
      <c r="A223" s="95"/>
      <c r="B223" s="424" t="s">
        <v>259</v>
      </c>
      <c r="C223" s="425"/>
      <c r="D223" s="425"/>
      <c r="E223" s="426"/>
      <c r="F223" s="106">
        <f>F221+F222</f>
        <v>0</v>
      </c>
    </row>
    <row r="224" spans="1:6" ht="12.75" customHeight="1" x14ac:dyDescent="0.2">
      <c r="A224" s="1"/>
      <c r="B224" s="418"/>
      <c r="C224" s="419"/>
      <c r="D224" s="419"/>
      <c r="E224" s="420"/>
      <c r="F224" s="57"/>
    </row>
    <row r="225" spans="1:6" ht="12.75" customHeight="1" x14ac:dyDescent="0.2">
      <c r="A225" s="3" t="str">
        <f>'A VII.'!$A$144</f>
        <v>2.2</v>
      </c>
      <c r="B225" s="74" t="str">
        <f>VLOOKUP(A225,'A VII.'!$A$10:$D$199,2,FALSE)</f>
        <v>ALUGUEL DE CONTAINER PARA DEPÓSITO, METÁLICO EM AÇO GALVANIZADO, 6,0X2,30X2,50M, VÃO LIVRE, PISO DE CONCRETO, CIMENTADO OU MADEIRA</v>
      </c>
      <c r="C225" s="114">
        <v>1</v>
      </c>
      <c r="D225" s="54" t="str">
        <f>VLOOKUP(A225,'A VII.'!$A$10:$D$199,3,FALSE)</f>
        <v>UNxMÊS</v>
      </c>
      <c r="E225" s="85">
        <f>'A VII.'!$D$144</f>
        <v>0</v>
      </c>
      <c r="F225" s="59">
        <f t="shared" ref="F225" si="7">ROUND(C225*E225,2)</f>
        <v>0</v>
      </c>
    </row>
    <row r="226" spans="1:6" ht="12.75" customHeight="1" x14ac:dyDescent="0.2">
      <c r="A226" s="3"/>
      <c r="C226" s="114"/>
      <c r="E226" s="85"/>
      <c r="F226" s="59"/>
    </row>
    <row r="227" spans="1:6" ht="12.75" customHeight="1" x14ac:dyDescent="0.2">
      <c r="A227" s="3"/>
      <c r="C227" s="114"/>
      <c r="E227" s="85"/>
      <c r="F227" s="59"/>
    </row>
    <row r="228" spans="1:6" ht="12.75" customHeight="1" x14ac:dyDescent="0.2">
      <c r="A228" s="3"/>
      <c r="C228" s="422"/>
      <c r="E228" s="85"/>
      <c r="F228" s="59"/>
    </row>
    <row r="229" spans="1:6" ht="12.75" customHeight="1" x14ac:dyDescent="0.2">
      <c r="A229" s="3"/>
      <c r="C229" s="422"/>
      <c r="E229" s="85"/>
      <c r="F229" s="59"/>
    </row>
    <row r="230" spans="1:6" ht="12.75" customHeight="1" x14ac:dyDescent="0.2">
      <c r="A230" s="3"/>
      <c r="C230" s="422"/>
      <c r="E230" s="85"/>
      <c r="F230" s="59"/>
    </row>
    <row r="231" spans="1:6" ht="12.75" customHeight="1" x14ac:dyDescent="0.2">
      <c r="A231" s="3"/>
      <c r="C231" s="422"/>
      <c r="E231" s="85"/>
      <c r="F231" s="59"/>
    </row>
    <row r="232" spans="1:6" ht="12.75" customHeight="1" x14ac:dyDescent="0.2">
      <c r="A232" s="3"/>
      <c r="C232" s="422"/>
      <c r="E232" s="85"/>
      <c r="F232" s="59"/>
    </row>
    <row r="233" spans="1:6" ht="12.75" customHeight="1" x14ac:dyDescent="0.2">
      <c r="A233" s="3"/>
      <c r="C233" s="422"/>
      <c r="E233" s="85"/>
      <c r="F233" s="59"/>
    </row>
    <row r="234" spans="1:6" ht="12.75" customHeight="1" x14ac:dyDescent="0.2">
      <c r="A234" s="3"/>
      <c r="C234" s="422"/>
      <c r="E234" s="85"/>
      <c r="F234" s="59"/>
    </row>
    <row r="235" spans="1:6" ht="12.75" customHeight="1" x14ac:dyDescent="0.2">
      <c r="A235" s="3"/>
      <c r="B235" s="86" t="s">
        <v>258</v>
      </c>
      <c r="C235" s="87"/>
      <c r="D235" s="88"/>
      <c r="E235" s="89"/>
      <c r="F235" s="90">
        <f>SUM(F225:F234)</f>
        <v>0</v>
      </c>
    </row>
    <row r="236" spans="1:6" ht="12.75" customHeight="1" x14ac:dyDescent="0.2">
      <c r="A236" s="3"/>
      <c r="B236" s="91" t="s">
        <v>70</v>
      </c>
      <c r="C236" s="15">
        <f>$D$8</f>
        <v>0</v>
      </c>
      <c r="D236" s="92"/>
      <c r="E236" s="93"/>
      <c r="F236" s="94">
        <f>ROUND(C236*F235,2)</f>
        <v>0</v>
      </c>
    </row>
    <row r="237" spans="1:6" ht="12.75" customHeight="1" x14ac:dyDescent="0.2">
      <c r="A237" s="95"/>
      <c r="B237" s="424" t="s">
        <v>260</v>
      </c>
      <c r="C237" s="425"/>
      <c r="D237" s="425"/>
      <c r="E237" s="426"/>
      <c r="F237" s="96">
        <f>F235+F236</f>
        <v>0</v>
      </c>
    </row>
    <row r="238" spans="1:6" ht="12.75" customHeight="1" x14ac:dyDescent="0.2">
      <c r="A238" s="97"/>
      <c r="B238" s="427"/>
      <c r="C238" s="428"/>
      <c r="D238" s="429"/>
      <c r="E238" s="430"/>
      <c r="F238" s="57"/>
    </row>
    <row r="239" spans="1:6" ht="12.75" customHeight="1" x14ac:dyDescent="0.2">
      <c r="A239" s="3"/>
      <c r="C239" s="422"/>
      <c r="E239" s="85"/>
      <c r="F239" s="59"/>
    </row>
    <row r="240" spans="1:6" ht="12.75" customHeight="1" x14ac:dyDescent="0.2">
      <c r="A240" s="3"/>
      <c r="C240" s="422"/>
      <c r="E240" s="85"/>
      <c r="F240" s="59"/>
    </row>
    <row r="241" spans="1:6" ht="12.75" customHeight="1" x14ac:dyDescent="0.2">
      <c r="A241" s="3"/>
      <c r="C241" s="422"/>
      <c r="E241" s="85"/>
      <c r="F241" s="59"/>
    </row>
    <row r="242" spans="1:6" ht="12.75" customHeight="1" x14ac:dyDescent="0.2">
      <c r="A242" s="3"/>
      <c r="C242" s="422"/>
      <c r="E242" s="85"/>
      <c r="F242" s="59"/>
    </row>
    <row r="243" spans="1:6" ht="12.75" customHeight="1" x14ac:dyDescent="0.2">
      <c r="A243" s="3"/>
      <c r="C243" s="422"/>
      <c r="E243" s="85"/>
      <c r="F243" s="59"/>
    </row>
    <row r="244" spans="1:6" ht="12.75" customHeight="1" x14ac:dyDescent="0.2">
      <c r="A244" s="3"/>
      <c r="C244" s="422"/>
      <c r="E244" s="85"/>
      <c r="F244" s="59"/>
    </row>
    <row r="245" spans="1:6" ht="12.75" customHeight="1" x14ac:dyDescent="0.2">
      <c r="A245" s="3"/>
      <c r="C245" s="422"/>
      <c r="E245" s="85"/>
      <c r="F245" s="59"/>
    </row>
    <row r="246" spans="1:6" ht="12.75" customHeight="1" x14ac:dyDescent="0.2">
      <c r="A246" s="3"/>
      <c r="B246" s="86" t="s">
        <v>258</v>
      </c>
      <c r="C246" s="87"/>
      <c r="D246" s="88"/>
      <c r="E246" s="89"/>
      <c r="F246" s="90">
        <f>SUM(F239:F245)</f>
        <v>0</v>
      </c>
    </row>
    <row r="247" spans="1:6" ht="12.75" customHeight="1" x14ac:dyDescent="0.2">
      <c r="A247" s="3"/>
      <c r="B247" s="91" t="s">
        <v>261</v>
      </c>
      <c r="C247" s="15">
        <f>'A IX.'!$C$45</f>
        <v>0</v>
      </c>
      <c r="D247" s="92"/>
      <c r="E247" s="93"/>
      <c r="F247" s="94">
        <f>ROUND(F246*C247,2)</f>
        <v>0</v>
      </c>
    </row>
    <row r="248" spans="1:6" ht="12.75" customHeight="1" x14ac:dyDescent="0.2">
      <c r="A248" s="3"/>
      <c r="B248" s="91" t="s">
        <v>70</v>
      </c>
      <c r="C248" s="15">
        <f>$D$8</f>
        <v>0</v>
      </c>
      <c r="D248" s="92"/>
      <c r="E248" s="93"/>
      <c r="F248" s="94">
        <f>ROUND(SUM(F246:F247)*C248,2)</f>
        <v>0</v>
      </c>
    </row>
    <row r="249" spans="1:6" ht="12.75" customHeight="1" thickBot="1" x14ac:dyDescent="0.25">
      <c r="A249" s="98"/>
      <c r="B249" s="99" t="s">
        <v>262</v>
      </c>
      <c r="C249" s="100"/>
      <c r="D249" s="100"/>
      <c r="E249" s="101"/>
      <c r="F249" s="102">
        <f>SUM(F246:F248)</f>
        <v>0</v>
      </c>
    </row>
    <row r="250" spans="1:6" ht="12.75" customHeight="1" thickBot="1" x14ac:dyDescent="0.25">
      <c r="A250" s="81"/>
      <c r="B250" s="82"/>
      <c r="C250" s="83"/>
      <c r="D250" s="83"/>
      <c r="E250" s="84"/>
      <c r="F250" s="103"/>
    </row>
    <row r="251" spans="1:6" ht="30" customHeight="1" x14ac:dyDescent="0.2">
      <c r="A251" s="5" t="str">
        <f>'A IV.A'!$A$25</f>
        <v>2.1.1</v>
      </c>
      <c r="B251" s="416" t="str">
        <f>'A IV.A'!$B$25</f>
        <v>DEMOLIÇÃO MANUAL DE CALÇADAS E PISOS CIMENTADOS</v>
      </c>
      <c r="C251" s="526" t="s">
        <v>269</v>
      </c>
      <c r="D251" s="527"/>
      <c r="E251" s="417" t="str">
        <f>'A IV.A'!$C$25</f>
        <v>M2</v>
      </c>
      <c r="F251" s="58">
        <f>ROUND(F271+F285+F297,2)</f>
        <v>0</v>
      </c>
    </row>
    <row r="252" spans="1:6" ht="12.75" customHeight="1" x14ac:dyDescent="0.2">
      <c r="A252" s="1" t="s">
        <v>17</v>
      </c>
      <c r="B252" s="418" t="s">
        <v>162</v>
      </c>
      <c r="C252" s="419" t="s">
        <v>263</v>
      </c>
      <c r="D252" s="419" t="s">
        <v>264</v>
      </c>
      <c r="E252" s="420" t="s">
        <v>265</v>
      </c>
      <c r="F252" s="57" t="s">
        <v>266</v>
      </c>
    </row>
    <row r="253" spans="1:6" ht="12.75" customHeight="1" x14ac:dyDescent="0.2">
      <c r="A253" s="6"/>
      <c r="B253" s="421"/>
      <c r="C253" s="114"/>
      <c r="D253" s="7"/>
      <c r="E253" s="85"/>
      <c r="F253" s="59">
        <f>ROUND(C253*E253,2)</f>
        <v>0</v>
      </c>
    </row>
    <row r="254" spans="1:6" ht="12.75" customHeight="1" x14ac:dyDescent="0.2">
      <c r="A254" s="6"/>
      <c r="B254" s="421"/>
      <c r="C254" s="114"/>
      <c r="D254" s="7"/>
      <c r="E254" s="85"/>
      <c r="F254" s="59">
        <f t="shared" ref="F254:F268" si="8">ROUND(C254*E254,2)</f>
        <v>0</v>
      </c>
    </row>
    <row r="255" spans="1:6" ht="12.75" customHeight="1" x14ac:dyDescent="0.2">
      <c r="A255" s="6"/>
      <c r="B255" s="421"/>
      <c r="C255" s="114"/>
      <c r="D255" s="7"/>
      <c r="E255" s="85"/>
      <c r="F255" s="59">
        <f t="shared" si="8"/>
        <v>0</v>
      </c>
    </row>
    <row r="256" spans="1:6" ht="12.75" customHeight="1" x14ac:dyDescent="0.2">
      <c r="A256" s="6"/>
      <c r="B256" s="421"/>
      <c r="C256" s="114"/>
      <c r="D256" s="7"/>
      <c r="E256" s="85"/>
      <c r="F256" s="59">
        <f t="shared" si="8"/>
        <v>0</v>
      </c>
    </row>
    <row r="257" spans="1:6" ht="12.75" customHeight="1" x14ac:dyDescent="0.2">
      <c r="A257" s="6"/>
      <c r="B257" s="421"/>
      <c r="C257" s="114"/>
      <c r="D257" s="7"/>
      <c r="E257" s="85"/>
      <c r="F257" s="59">
        <f t="shared" si="8"/>
        <v>0</v>
      </c>
    </row>
    <row r="258" spans="1:6" ht="12.75" customHeight="1" x14ac:dyDescent="0.2">
      <c r="A258" s="6"/>
      <c r="B258" s="421"/>
      <c r="C258" s="114"/>
      <c r="D258" s="7"/>
      <c r="E258" s="85"/>
      <c r="F258" s="59">
        <f t="shared" si="8"/>
        <v>0</v>
      </c>
    </row>
    <row r="259" spans="1:6" ht="12.75" customHeight="1" x14ac:dyDescent="0.2">
      <c r="A259" s="6"/>
      <c r="B259" s="421"/>
      <c r="C259" s="114"/>
      <c r="D259" s="7"/>
      <c r="E259" s="85"/>
      <c r="F259" s="59">
        <f t="shared" si="8"/>
        <v>0</v>
      </c>
    </row>
    <row r="260" spans="1:6" ht="12.75" customHeight="1" x14ac:dyDescent="0.2">
      <c r="A260" s="6"/>
      <c r="B260" s="421"/>
      <c r="C260" s="114"/>
      <c r="D260" s="7"/>
      <c r="E260" s="85"/>
      <c r="F260" s="59">
        <f t="shared" si="8"/>
        <v>0</v>
      </c>
    </row>
    <row r="261" spans="1:6" ht="12.75" customHeight="1" x14ac:dyDescent="0.2">
      <c r="A261" s="6"/>
      <c r="B261" s="421"/>
      <c r="C261" s="114"/>
      <c r="D261" s="7"/>
      <c r="E261" s="85"/>
      <c r="F261" s="59">
        <f t="shared" si="8"/>
        <v>0</v>
      </c>
    </row>
    <row r="262" spans="1:6" ht="12.75" customHeight="1" x14ac:dyDescent="0.2">
      <c r="A262" s="6"/>
      <c r="B262" s="421"/>
      <c r="C262" s="114"/>
      <c r="D262" s="7"/>
      <c r="E262" s="85"/>
      <c r="F262" s="59">
        <f t="shared" si="8"/>
        <v>0</v>
      </c>
    </row>
    <row r="263" spans="1:6" ht="12.75" customHeight="1" x14ac:dyDescent="0.2">
      <c r="A263" s="6"/>
      <c r="B263" s="421"/>
      <c r="C263" s="114"/>
      <c r="D263" s="7"/>
      <c r="E263" s="85"/>
      <c r="F263" s="59">
        <f t="shared" si="8"/>
        <v>0</v>
      </c>
    </row>
    <row r="264" spans="1:6" ht="12.75" customHeight="1" x14ac:dyDescent="0.2">
      <c r="A264" s="6"/>
      <c r="B264" s="421"/>
      <c r="C264" s="114"/>
      <c r="D264" s="423"/>
      <c r="E264" s="85"/>
      <c r="F264" s="59">
        <f t="shared" si="8"/>
        <v>0</v>
      </c>
    </row>
    <row r="265" spans="1:6" ht="12.75" customHeight="1" x14ac:dyDescent="0.2">
      <c r="A265" s="6"/>
      <c r="B265" s="421"/>
      <c r="C265" s="114"/>
      <c r="D265" s="423"/>
      <c r="E265" s="85"/>
      <c r="F265" s="59">
        <f t="shared" si="8"/>
        <v>0</v>
      </c>
    </row>
    <row r="266" spans="1:6" ht="12.75" customHeight="1" x14ac:dyDescent="0.2">
      <c r="A266" s="6"/>
      <c r="B266" s="421"/>
      <c r="C266" s="114"/>
      <c r="D266" s="423"/>
      <c r="E266" s="85"/>
      <c r="F266" s="59">
        <f t="shared" si="8"/>
        <v>0</v>
      </c>
    </row>
    <row r="267" spans="1:6" ht="12.75" customHeight="1" x14ac:dyDescent="0.2">
      <c r="A267" s="3"/>
      <c r="C267" s="114"/>
      <c r="E267" s="85"/>
      <c r="F267" s="59">
        <f t="shared" si="8"/>
        <v>0</v>
      </c>
    </row>
    <row r="268" spans="1:6" ht="12.75" customHeight="1" x14ac:dyDescent="0.2">
      <c r="A268" s="3"/>
      <c r="C268" s="114"/>
      <c r="E268" s="85"/>
      <c r="F268" s="59">
        <f t="shared" si="8"/>
        <v>0</v>
      </c>
    </row>
    <row r="269" spans="1:6" ht="12.75" customHeight="1" x14ac:dyDescent="0.2">
      <c r="A269" s="3"/>
      <c r="B269" s="86" t="s">
        <v>258</v>
      </c>
      <c r="C269" s="87"/>
      <c r="D269" s="88"/>
      <c r="E269" s="89"/>
      <c r="F269" s="90">
        <f>SUM(F253:F268)</f>
        <v>0</v>
      </c>
    </row>
    <row r="270" spans="1:6" ht="12.75" customHeight="1" x14ac:dyDescent="0.2">
      <c r="A270" s="3"/>
      <c r="B270" s="91" t="s">
        <v>70</v>
      </c>
      <c r="C270" s="15">
        <f>$D$8</f>
        <v>0</v>
      </c>
      <c r="D270" s="92"/>
      <c r="E270" s="93"/>
      <c r="F270" s="94">
        <f>ROUND(F269*C270,2)</f>
        <v>0</v>
      </c>
    </row>
    <row r="271" spans="1:6" ht="12.75" customHeight="1" x14ac:dyDescent="0.2">
      <c r="A271" s="95"/>
      <c r="B271" s="424" t="s">
        <v>259</v>
      </c>
      <c r="C271" s="425"/>
      <c r="D271" s="425"/>
      <c r="E271" s="426"/>
      <c r="F271" s="96">
        <f>F269+F270</f>
        <v>0</v>
      </c>
    </row>
    <row r="272" spans="1:6" ht="12.75" customHeight="1" x14ac:dyDescent="0.2">
      <c r="A272" s="1" t="s">
        <v>5</v>
      </c>
      <c r="B272" s="418" t="s">
        <v>267</v>
      </c>
      <c r="C272" s="419" t="s">
        <v>263</v>
      </c>
      <c r="D272" s="419" t="s">
        <v>264</v>
      </c>
      <c r="E272" s="420" t="s">
        <v>265</v>
      </c>
      <c r="F272" s="57" t="s">
        <v>266</v>
      </c>
    </row>
    <row r="273" spans="1:6" ht="12.75" customHeight="1" x14ac:dyDescent="0.2">
      <c r="A273" s="3"/>
      <c r="B273" s="71"/>
      <c r="C273" s="114"/>
      <c r="E273" s="85"/>
      <c r="F273" s="59">
        <f t="shared" ref="F273:F282" si="9">ROUND(C273*E273,2)</f>
        <v>0</v>
      </c>
    </row>
    <row r="274" spans="1:6" ht="12.75" customHeight="1" x14ac:dyDescent="0.2">
      <c r="A274" s="3"/>
      <c r="C274" s="114"/>
      <c r="E274" s="85"/>
      <c r="F274" s="59">
        <f t="shared" si="9"/>
        <v>0</v>
      </c>
    </row>
    <row r="275" spans="1:6" ht="12.75" customHeight="1" x14ac:dyDescent="0.2">
      <c r="A275" s="3"/>
      <c r="C275" s="114"/>
      <c r="E275" s="85"/>
      <c r="F275" s="59">
        <f t="shared" si="9"/>
        <v>0</v>
      </c>
    </row>
    <row r="276" spans="1:6" ht="12.75" customHeight="1" x14ac:dyDescent="0.2">
      <c r="A276" s="3"/>
      <c r="C276" s="114"/>
      <c r="E276" s="85"/>
      <c r="F276" s="59">
        <f t="shared" si="9"/>
        <v>0</v>
      </c>
    </row>
    <row r="277" spans="1:6" ht="12.75" customHeight="1" x14ac:dyDescent="0.2">
      <c r="A277" s="3"/>
      <c r="C277" s="114"/>
      <c r="E277" s="85"/>
      <c r="F277" s="59">
        <f t="shared" si="9"/>
        <v>0</v>
      </c>
    </row>
    <row r="278" spans="1:6" ht="12.75" customHeight="1" x14ac:dyDescent="0.2">
      <c r="A278" s="3"/>
      <c r="C278" s="114"/>
      <c r="E278" s="85"/>
      <c r="F278" s="59">
        <f t="shared" si="9"/>
        <v>0</v>
      </c>
    </row>
    <row r="279" spans="1:6" ht="12.75" customHeight="1" x14ac:dyDescent="0.2">
      <c r="A279" s="3"/>
      <c r="C279" s="114"/>
      <c r="E279" s="85"/>
      <c r="F279" s="59">
        <f t="shared" si="9"/>
        <v>0</v>
      </c>
    </row>
    <row r="280" spans="1:6" ht="12.75" customHeight="1" x14ac:dyDescent="0.2">
      <c r="A280" s="3"/>
      <c r="C280" s="114"/>
      <c r="E280" s="85"/>
      <c r="F280" s="59">
        <f t="shared" si="9"/>
        <v>0</v>
      </c>
    </row>
    <row r="281" spans="1:6" ht="12.75" customHeight="1" x14ac:dyDescent="0.2">
      <c r="A281" s="3"/>
      <c r="C281" s="114"/>
      <c r="E281" s="85"/>
      <c r="F281" s="59">
        <f t="shared" si="9"/>
        <v>0</v>
      </c>
    </row>
    <row r="282" spans="1:6" ht="12.75" customHeight="1" x14ac:dyDescent="0.2">
      <c r="A282" s="3"/>
      <c r="C282" s="114"/>
      <c r="E282" s="85"/>
      <c r="F282" s="59">
        <f t="shared" si="9"/>
        <v>0</v>
      </c>
    </row>
    <row r="283" spans="1:6" ht="12.75" customHeight="1" x14ac:dyDescent="0.2">
      <c r="A283" s="3"/>
      <c r="B283" s="86" t="s">
        <v>258</v>
      </c>
      <c r="C283" s="87"/>
      <c r="D283" s="88"/>
      <c r="E283" s="89"/>
      <c r="F283" s="90">
        <f>SUM(F273:F282)</f>
        <v>0</v>
      </c>
    </row>
    <row r="284" spans="1:6" ht="12.75" customHeight="1" x14ac:dyDescent="0.2">
      <c r="A284" s="3"/>
      <c r="B284" s="91" t="s">
        <v>70</v>
      </c>
      <c r="C284" s="15">
        <f>$D$8</f>
        <v>0</v>
      </c>
      <c r="D284" s="92"/>
      <c r="E284" s="93"/>
      <c r="F284" s="94">
        <f>ROUND(C284*F283,2)</f>
        <v>0</v>
      </c>
    </row>
    <row r="285" spans="1:6" ht="12.75" customHeight="1" x14ac:dyDescent="0.2">
      <c r="A285" s="95"/>
      <c r="B285" s="424" t="s">
        <v>260</v>
      </c>
      <c r="C285" s="425"/>
      <c r="D285" s="425"/>
      <c r="E285" s="426"/>
      <c r="F285" s="96">
        <f>F283+F284</f>
        <v>0</v>
      </c>
    </row>
    <row r="286" spans="1:6" ht="12.75" customHeight="1" x14ac:dyDescent="0.2">
      <c r="A286" s="97" t="s">
        <v>54</v>
      </c>
      <c r="B286" s="427" t="s">
        <v>268</v>
      </c>
      <c r="C286" s="428" t="s">
        <v>263</v>
      </c>
      <c r="D286" s="429" t="s">
        <v>264</v>
      </c>
      <c r="E286" s="430" t="s">
        <v>265</v>
      </c>
      <c r="F286" s="57" t="s">
        <v>266</v>
      </c>
    </row>
    <row r="287" spans="1:6" ht="12.75" customHeight="1" x14ac:dyDescent="0.2">
      <c r="A287" s="3" t="str">
        <f>'A VII.'!$A$192</f>
        <v>3.12</v>
      </c>
      <c r="B287" s="74" t="s">
        <v>185</v>
      </c>
      <c r="C287" s="114">
        <f>ROUND(1.2462*0.05,2)</f>
        <v>0.06</v>
      </c>
      <c r="D287" s="54" t="str">
        <f>VLOOKUP(A287,'A VII.'!$A$10:$D$199,3,FALSE)</f>
        <v>H</v>
      </c>
      <c r="E287" s="85">
        <f>'A VII.'!D192</f>
        <v>0</v>
      </c>
      <c r="F287" s="59">
        <f t="shared" ref="F287:F293" si="10">ROUND(C287*E287,2)</f>
        <v>0</v>
      </c>
    </row>
    <row r="288" spans="1:6" ht="12.75" customHeight="1" x14ac:dyDescent="0.2">
      <c r="A288" s="3" t="str">
        <f>'A VII.'!$A$196</f>
        <v>3.16</v>
      </c>
      <c r="B288" s="74" t="s">
        <v>189</v>
      </c>
      <c r="C288" s="114">
        <f>ROUND(7.7265*0.05,2)</f>
        <v>0.39</v>
      </c>
      <c r="D288" s="54" t="str">
        <f>VLOOKUP(A288,'A VII.'!$A$10:$D$199,3,FALSE)</f>
        <v>H</v>
      </c>
      <c r="E288" s="85">
        <f>'A VII.'!D196</f>
        <v>0</v>
      </c>
      <c r="F288" s="59">
        <f t="shared" si="10"/>
        <v>0</v>
      </c>
    </row>
    <row r="289" spans="1:6" ht="12.75" customHeight="1" x14ac:dyDescent="0.2">
      <c r="A289" s="3"/>
      <c r="C289" s="114"/>
      <c r="E289" s="85"/>
      <c r="F289" s="59">
        <f t="shared" si="10"/>
        <v>0</v>
      </c>
    </row>
    <row r="290" spans="1:6" ht="12.75" customHeight="1" x14ac:dyDescent="0.2">
      <c r="A290" s="3"/>
      <c r="C290" s="114"/>
      <c r="E290" s="85"/>
      <c r="F290" s="59">
        <f t="shared" si="10"/>
        <v>0</v>
      </c>
    </row>
    <row r="291" spans="1:6" ht="12.75" customHeight="1" x14ac:dyDescent="0.2">
      <c r="A291" s="3"/>
      <c r="C291" s="114"/>
      <c r="E291" s="85"/>
      <c r="F291" s="59">
        <f t="shared" si="10"/>
        <v>0</v>
      </c>
    </row>
    <row r="292" spans="1:6" ht="12.75" customHeight="1" x14ac:dyDescent="0.2">
      <c r="A292" s="3"/>
      <c r="C292" s="114"/>
      <c r="E292" s="85"/>
      <c r="F292" s="59">
        <f t="shared" si="10"/>
        <v>0</v>
      </c>
    </row>
    <row r="293" spans="1:6" ht="12.75" customHeight="1" x14ac:dyDescent="0.2">
      <c r="A293" s="3"/>
      <c r="C293" s="114"/>
      <c r="E293" s="85"/>
      <c r="F293" s="59">
        <f t="shared" si="10"/>
        <v>0</v>
      </c>
    </row>
    <row r="294" spans="1:6" ht="12.75" customHeight="1" x14ac:dyDescent="0.2">
      <c r="A294" s="3"/>
      <c r="B294" s="86" t="s">
        <v>258</v>
      </c>
      <c r="C294" s="87"/>
      <c r="D294" s="88"/>
      <c r="E294" s="89"/>
      <c r="F294" s="90">
        <f>SUM(F287:F293)</f>
        <v>0</v>
      </c>
    </row>
    <row r="295" spans="1:6" ht="12.75" customHeight="1" x14ac:dyDescent="0.2">
      <c r="A295" s="3"/>
      <c r="B295" s="91" t="s">
        <v>261</v>
      </c>
      <c r="C295" s="15">
        <f>'A IX.'!$C$45</f>
        <v>0</v>
      </c>
      <c r="D295" s="92"/>
      <c r="E295" s="93"/>
      <c r="F295" s="94">
        <f>ROUND(F294*C295,2)</f>
        <v>0</v>
      </c>
    </row>
    <row r="296" spans="1:6" ht="12.75" customHeight="1" x14ac:dyDescent="0.2">
      <c r="A296" s="3"/>
      <c r="B296" s="91" t="s">
        <v>70</v>
      </c>
      <c r="C296" s="15">
        <f>$D$8</f>
        <v>0</v>
      </c>
      <c r="D296" s="92"/>
      <c r="E296" s="93"/>
      <c r="F296" s="94">
        <f>ROUND(SUM(F294:F295)*C296,2)</f>
        <v>0</v>
      </c>
    </row>
    <row r="297" spans="1:6" ht="12.75" customHeight="1" thickBot="1" x14ac:dyDescent="0.25">
      <c r="A297" s="98"/>
      <c r="B297" s="99" t="s">
        <v>262</v>
      </c>
      <c r="C297" s="100"/>
      <c r="D297" s="100"/>
      <c r="E297" s="101"/>
      <c r="F297" s="102">
        <f>SUM(F294:F296)</f>
        <v>0</v>
      </c>
    </row>
    <row r="298" spans="1:6" ht="12.75" customHeight="1" thickBot="1" x14ac:dyDescent="0.25">
      <c r="A298" s="81"/>
      <c r="B298" s="82"/>
      <c r="C298" s="83"/>
      <c r="D298" s="83"/>
      <c r="E298" s="84"/>
      <c r="F298" s="103"/>
    </row>
    <row r="299" spans="1:6" ht="30" customHeight="1" x14ac:dyDescent="0.2">
      <c r="A299" s="5" t="str">
        <f>'A IV.A'!A26</f>
        <v>2.1.2</v>
      </c>
      <c r="B299" s="416" t="str">
        <f>'A IV.A'!B26</f>
        <v>DEMOLIÇÃO MECANIZADA DE CALÇADAS E PISOS CIMENTADOS</v>
      </c>
      <c r="C299" s="526" t="s">
        <v>269</v>
      </c>
      <c r="D299" s="527"/>
      <c r="E299" s="417" t="str">
        <f>'A IV.A'!C26</f>
        <v>M2</v>
      </c>
      <c r="F299" s="58">
        <f>ROUND(F319+F333+F345,2)</f>
        <v>0</v>
      </c>
    </row>
    <row r="300" spans="1:6" ht="12.75" customHeight="1" x14ac:dyDescent="0.2">
      <c r="A300" s="1" t="s">
        <v>17</v>
      </c>
      <c r="B300" s="418" t="s">
        <v>162</v>
      </c>
      <c r="C300" s="419" t="s">
        <v>263</v>
      </c>
      <c r="D300" s="419" t="s">
        <v>264</v>
      </c>
      <c r="E300" s="420" t="s">
        <v>265</v>
      </c>
      <c r="F300" s="57" t="s">
        <v>266</v>
      </c>
    </row>
    <row r="301" spans="1:6" ht="12.75" customHeight="1" x14ac:dyDescent="0.2">
      <c r="A301" s="6"/>
      <c r="B301" s="421"/>
      <c r="C301" s="114"/>
      <c r="D301" s="7"/>
      <c r="E301" s="85"/>
      <c r="F301" s="59">
        <f>ROUND(C301*E301,2)</f>
        <v>0</v>
      </c>
    </row>
    <row r="302" spans="1:6" ht="12.75" customHeight="1" x14ac:dyDescent="0.2">
      <c r="A302" s="6"/>
      <c r="B302" s="421"/>
      <c r="C302" s="114"/>
      <c r="D302" s="7"/>
      <c r="E302" s="85"/>
      <c r="F302" s="59">
        <f t="shared" ref="F302:F316" si="11">ROUND(C302*E302,2)</f>
        <v>0</v>
      </c>
    </row>
    <row r="303" spans="1:6" ht="12.75" customHeight="1" x14ac:dyDescent="0.2">
      <c r="A303" s="6"/>
      <c r="B303" s="421"/>
      <c r="C303" s="114"/>
      <c r="D303" s="7"/>
      <c r="E303" s="85"/>
      <c r="F303" s="59">
        <f t="shared" si="11"/>
        <v>0</v>
      </c>
    </row>
    <row r="304" spans="1:6" ht="12.75" customHeight="1" x14ac:dyDescent="0.2">
      <c r="A304" s="6"/>
      <c r="B304" s="421"/>
      <c r="C304" s="114"/>
      <c r="D304" s="7"/>
      <c r="E304" s="85"/>
      <c r="F304" s="59">
        <f t="shared" si="11"/>
        <v>0</v>
      </c>
    </row>
    <row r="305" spans="1:6" ht="12.75" customHeight="1" x14ac:dyDescent="0.2">
      <c r="A305" s="6"/>
      <c r="B305" s="421"/>
      <c r="C305" s="114"/>
      <c r="D305" s="7"/>
      <c r="E305" s="85"/>
      <c r="F305" s="59">
        <f t="shared" si="11"/>
        <v>0</v>
      </c>
    </row>
    <row r="306" spans="1:6" ht="12.75" customHeight="1" x14ac:dyDescent="0.2">
      <c r="A306" s="6"/>
      <c r="B306" s="421"/>
      <c r="C306" s="114"/>
      <c r="D306" s="7"/>
      <c r="E306" s="85"/>
      <c r="F306" s="59">
        <f t="shared" si="11"/>
        <v>0</v>
      </c>
    </row>
    <row r="307" spans="1:6" ht="12.75" customHeight="1" x14ac:dyDescent="0.2">
      <c r="A307" s="6"/>
      <c r="B307" s="421"/>
      <c r="C307" s="114"/>
      <c r="D307" s="7"/>
      <c r="E307" s="85"/>
      <c r="F307" s="59">
        <f t="shared" si="11"/>
        <v>0</v>
      </c>
    </row>
    <row r="308" spans="1:6" ht="12.75" customHeight="1" x14ac:dyDescent="0.2">
      <c r="A308" s="6"/>
      <c r="B308" s="421"/>
      <c r="C308" s="114"/>
      <c r="D308" s="7"/>
      <c r="E308" s="85"/>
      <c r="F308" s="59">
        <f t="shared" si="11"/>
        <v>0</v>
      </c>
    </row>
    <row r="309" spans="1:6" ht="12.75" customHeight="1" x14ac:dyDescent="0.2">
      <c r="A309" s="6"/>
      <c r="B309" s="421"/>
      <c r="C309" s="114"/>
      <c r="D309" s="7"/>
      <c r="E309" s="85"/>
      <c r="F309" s="59">
        <f t="shared" si="11"/>
        <v>0</v>
      </c>
    </row>
    <row r="310" spans="1:6" ht="12.75" customHeight="1" x14ac:dyDescent="0.2">
      <c r="A310" s="6"/>
      <c r="B310" s="421"/>
      <c r="C310" s="114"/>
      <c r="D310" s="7"/>
      <c r="E310" s="85"/>
      <c r="F310" s="59">
        <f t="shared" si="11"/>
        <v>0</v>
      </c>
    </row>
    <row r="311" spans="1:6" ht="12.75" customHeight="1" x14ac:dyDescent="0.2">
      <c r="A311" s="6"/>
      <c r="B311" s="421"/>
      <c r="C311" s="114"/>
      <c r="D311" s="7"/>
      <c r="E311" s="85"/>
      <c r="F311" s="59">
        <f t="shared" si="11"/>
        <v>0</v>
      </c>
    </row>
    <row r="312" spans="1:6" ht="12.75" customHeight="1" x14ac:dyDescent="0.2">
      <c r="A312" s="6"/>
      <c r="B312" s="421"/>
      <c r="C312" s="114"/>
      <c r="D312" s="423"/>
      <c r="E312" s="85"/>
      <c r="F312" s="59">
        <f t="shared" si="11"/>
        <v>0</v>
      </c>
    </row>
    <row r="313" spans="1:6" ht="12.75" customHeight="1" x14ac:dyDescent="0.2">
      <c r="A313" s="6"/>
      <c r="B313" s="421"/>
      <c r="C313" s="114"/>
      <c r="D313" s="423"/>
      <c r="E313" s="85"/>
      <c r="F313" s="59">
        <f t="shared" si="11"/>
        <v>0</v>
      </c>
    </row>
    <row r="314" spans="1:6" ht="12.75" customHeight="1" x14ac:dyDescent="0.2">
      <c r="A314" s="6"/>
      <c r="B314" s="421"/>
      <c r="C314" s="114"/>
      <c r="D314" s="423"/>
      <c r="E314" s="85"/>
      <c r="F314" s="59">
        <f t="shared" si="11"/>
        <v>0</v>
      </c>
    </row>
    <row r="315" spans="1:6" ht="12.75" customHeight="1" x14ac:dyDescent="0.2">
      <c r="A315" s="3"/>
      <c r="C315" s="114"/>
      <c r="E315" s="85"/>
      <c r="F315" s="59">
        <f t="shared" si="11"/>
        <v>0</v>
      </c>
    </row>
    <row r="316" spans="1:6" ht="12.75" customHeight="1" x14ac:dyDescent="0.2">
      <c r="A316" s="3"/>
      <c r="C316" s="114"/>
      <c r="E316" s="85"/>
      <c r="F316" s="59">
        <f t="shared" si="11"/>
        <v>0</v>
      </c>
    </row>
    <row r="317" spans="1:6" ht="12.75" customHeight="1" x14ac:dyDescent="0.2">
      <c r="A317" s="3"/>
      <c r="B317" s="86" t="s">
        <v>258</v>
      </c>
      <c r="C317" s="87"/>
      <c r="D317" s="88"/>
      <c r="E317" s="89"/>
      <c r="F317" s="90">
        <f>SUM(F301:F316)</f>
        <v>0</v>
      </c>
    </row>
    <row r="318" spans="1:6" ht="12.75" customHeight="1" x14ac:dyDescent="0.2">
      <c r="A318" s="3"/>
      <c r="B318" s="91" t="s">
        <v>70</v>
      </c>
      <c r="C318" s="15">
        <f>$D$8</f>
        <v>0</v>
      </c>
      <c r="D318" s="92"/>
      <c r="E318" s="93"/>
      <c r="F318" s="94">
        <f>ROUND(F317*C318,2)</f>
        <v>0</v>
      </c>
    </row>
    <row r="319" spans="1:6" ht="12.75" customHeight="1" x14ac:dyDescent="0.2">
      <c r="A319" s="95"/>
      <c r="B319" s="424" t="s">
        <v>259</v>
      </c>
      <c r="C319" s="425"/>
      <c r="D319" s="425"/>
      <c r="E319" s="426"/>
      <c r="F319" s="96">
        <f>F317+F318</f>
        <v>0</v>
      </c>
    </row>
    <row r="320" spans="1:6" ht="12.75" customHeight="1" x14ac:dyDescent="0.2">
      <c r="A320" s="1" t="s">
        <v>5</v>
      </c>
      <c r="B320" s="418" t="s">
        <v>267</v>
      </c>
      <c r="C320" s="419" t="s">
        <v>263</v>
      </c>
      <c r="D320" s="419" t="s">
        <v>264</v>
      </c>
      <c r="E320" s="420" t="s">
        <v>265</v>
      </c>
      <c r="F320" s="57" t="s">
        <v>266</v>
      </c>
    </row>
    <row r="321" spans="1:6" ht="12.75" customHeight="1" x14ac:dyDescent="0.2">
      <c r="A321" s="3" t="str">
        <f>'A VII.'!$A$155</f>
        <v>2.13</v>
      </c>
      <c r="B321" s="74" t="str">
        <f>'A VII.'!B155</f>
        <v>COMPRESSOR DE AR REBOCÁVEL, VAZÃO 189 PCM, PRESSÃO DE TRABALHO 102 PSI, MOTOR DIESEL, POT. 63 CV - CHP</v>
      </c>
      <c r="C321" s="114">
        <f>ROUND(1.1137*0.1,2)</f>
        <v>0.11</v>
      </c>
      <c r="D321" s="54" t="str">
        <f>'A VII.'!C155</f>
        <v>CHP</v>
      </c>
      <c r="E321" s="85">
        <f>'A VII.'!D155</f>
        <v>0</v>
      </c>
      <c r="F321" s="59">
        <f t="shared" ref="F321:F330" si="12">ROUND(C321*E321,2)</f>
        <v>0</v>
      </c>
    </row>
    <row r="322" spans="1:6" ht="12.75" customHeight="1" x14ac:dyDescent="0.2">
      <c r="A322" s="3" t="str">
        <f>'A VII.'!$A$164</f>
        <v>2.22</v>
      </c>
      <c r="B322" s="74" t="str">
        <f>'A VII.'!B164</f>
        <v>MARTELETE OU ROMPEDOR PNEUMÁTICO MANUAL, 28 KG, COM SILENCIADOR - CHP</v>
      </c>
      <c r="C322" s="114">
        <f>ROUND(1.1137*0.1,2)</f>
        <v>0.11</v>
      </c>
      <c r="D322" s="54" t="str">
        <f>'A VII.'!C164</f>
        <v>CHP</v>
      </c>
      <c r="E322" s="85">
        <f>'A VII.'!D164</f>
        <v>0</v>
      </c>
      <c r="F322" s="59">
        <f t="shared" si="12"/>
        <v>0</v>
      </c>
    </row>
    <row r="323" spans="1:6" ht="12.75" customHeight="1" x14ac:dyDescent="0.2">
      <c r="A323" s="3"/>
      <c r="C323" s="114"/>
      <c r="E323" s="85"/>
      <c r="F323" s="59">
        <f t="shared" si="12"/>
        <v>0</v>
      </c>
    </row>
    <row r="324" spans="1:6" ht="12.75" customHeight="1" x14ac:dyDescent="0.2">
      <c r="A324" s="3"/>
      <c r="C324" s="114"/>
      <c r="E324" s="85"/>
      <c r="F324" s="59">
        <f t="shared" si="12"/>
        <v>0</v>
      </c>
    </row>
    <row r="325" spans="1:6" ht="12.75" customHeight="1" x14ac:dyDescent="0.2">
      <c r="A325" s="3"/>
      <c r="C325" s="114"/>
      <c r="E325" s="85"/>
      <c r="F325" s="59">
        <f t="shared" si="12"/>
        <v>0</v>
      </c>
    </row>
    <row r="326" spans="1:6" ht="12.75" customHeight="1" x14ac:dyDescent="0.2">
      <c r="A326" s="3"/>
      <c r="C326" s="114"/>
      <c r="E326" s="85"/>
      <c r="F326" s="59">
        <f>ROUND(C326*E326,2)</f>
        <v>0</v>
      </c>
    </row>
    <row r="327" spans="1:6" ht="12.75" customHeight="1" x14ac:dyDescent="0.2">
      <c r="A327" s="3"/>
      <c r="C327" s="114"/>
      <c r="E327" s="85"/>
      <c r="F327" s="59">
        <f t="shared" si="12"/>
        <v>0</v>
      </c>
    </row>
    <row r="328" spans="1:6" ht="12.75" customHeight="1" x14ac:dyDescent="0.2">
      <c r="A328" s="3"/>
      <c r="C328" s="114"/>
      <c r="E328" s="85"/>
      <c r="F328" s="59">
        <f t="shared" si="12"/>
        <v>0</v>
      </c>
    </row>
    <row r="329" spans="1:6" ht="12.75" customHeight="1" x14ac:dyDescent="0.2">
      <c r="A329" s="3"/>
      <c r="C329" s="114"/>
      <c r="E329" s="85"/>
      <c r="F329" s="59">
        <f t="shared" si="12"/>
        <v>0</v>
      </c>
    </row>
    <row r="330" spans="1:6" ht="12.75" customHeight="1" x14ac:dyDescent="0.2">
      <c r="A330" s="3"/>
      <c r="C330" s="114"/>
      <c r="E330" s="85"/>
      <c r="F330" s="59">
        <f t="shared" si="12"/>
        <v>0</v>
      </c>
    </row>
    <row r="331" spans="1:6" ht="12.75" customHeight="1" x14ac:dyDescent="0.2">
      <c r="A331" s="3"/>
      <c r="B331" s="86" t="s">
        <v>258</v>
      </c>
      <c r="C331" s="87"/>
      <c r="D331" s="88"/>
      <c r="E331" s="89"/>
      <c r="F331" s="90">
        <f>SUM(F321:F330)</f>
        <v>0</v>
      </c>
    </row>
    <row r="332" spans="1:6" ht="12.75" customHeight="1" x14ac:dyDescent="0.2">
      <c r="A332" s="3"/>
      <c r="B332" s="91" t="s">
        <v>70</v>
      </c>
      <c r="C332" s="15">
        <f>$D$8</f>
        <v>0</v>
      </c>
      <c r="D332" s="92"/>
      <c r="E332" s="93"/>
      <c r="F332" s="94">
        <f>ROUND(C332*F331,2)</f>
        <v>0</v>
      </c>
    </row>
    <row r="333" spans="1:6" ht="12.75" customHeight="1" x14ac:dyDescent="0.2">
      <c r="A333" s="95"/>
      <c r="B333" s="424" t="s">
        <v>260</v>
      </c>
      <c r="C333" s="425"/>
      <c r="D333" s="425"/>
      <c r="E333" s="426"/>
      <c r="F333" s="96">
        <f>F331+F332</f>
        <v>0</v>
      </c>
    </row>
    <row r="334" spans="1:6" ht="12.75" customHeight="1" x14ac:dyDescent="0.2">
      <c r="A334" s="97" t="s">
        <v>54</v>
      </c>
      <c r="B334" s="427" t="s">
        <v>268</v>
      </c>
      <c r="C334" s="428" t="s">
        <v>263</v>
      </c>
      <c r="D334" s="429" t="s">
        <v>264</v>
      </c>
      <c r="E334" s="430" t="s">
        <v>265</v>
      </c>
      <c r="F334" s="57" t="s">
        <v>266</v>
      </c>
    </row>
    <row r="335" spans="1:6" ht="12.75" customHeight="1" x14ac:dyDescent="0.2">
      <c r="A335" s="3" t="str">
        <f>'A VII.'!$A$196</f>
        <v>3.16</v>
      </c>
      <c r="B335" s="74" t="s">
        <v>189</v>
      </c>
      <c r="C335" s="114">
        <f>ROUND(0.4479*0.1,2)</f>
        <v>0.04</v>
      </c>
      <c r="D335" s="54" t="str">
        <f>VLOOKUP(A335,'A VII.'!$A$10:$D$199,3,FALSE)</f>
        <v>H</v>
      </c>
      <c r="E335" s="85">
        <f>'A VII.'!D196</f>
        <v>0</v>
      </c>
      <c r="F335" s="59">
        <f t="shared" ref="F335:F341" si="13">ROUND(C335*E335,2)</f>
        <v>0</v>
      </c>
    </row>
    <row r="336" spans="1:6" ht="12.75" customHeight="1" x14ac:dyDescent="0.2">
      <c r="A336" s="3" t="str">
        <f>'A VII.'!$A$192</f>
        <v>3.12</v>
      </c>
      <c r="B336" s="74" t="s">
        <v>185</v>
      </c>
      <c r="C336" s="114">
        <f>ROUND(0.0722*0.1,2)</f>
        <v>0.01</v>
      </c>
      <c r="D336" s="54" t="str">
        <f>VLOOKUP(A336,'A VII.'!$A$10:$D$199,3,FALSE)</f>
        <v>H</v>
      </c>
      <c r="E336" s="85">
        <f>'A VII.'!D192</f>
        <v>0</v>
      </c>
      <c r="F336" s="59">
        <f t="shared" si="13"/>
        <v>0</v>
      </c>
    </row>
    <row r="337" spans="1:6" ht="12.75" customHeight="1" x14ac:dyDescent="0.2">
      <c r="A337" s="3"/>
      <c r="C337" s="114"/>
      <c r="E337" s="85"/>
      <c r="F337" s="59">
        <f t="shared" si="13"/>
        <v>0</v>
      </c>
    </row>
    <row r="338" spans="1:6" ht="12.75" customHeight="1" x14ac:dyDescent="0.2">
      <c r="A338" s="3"/>
      <c r="C338" s="114"/>
      <c r="E338" s="85"/>
      <c r="F338" s="59">
        <f t="shared" si="13"/>
        <v>0</v>
      </c>
    </row>
    <row r="339" spans="1:6" ht="12.75" customHeight="1" x14ac:dyDescent="0.2">
      <c r="A339" s="3"/>
      <c r="C339" s="114"/>
      <c r="E339" s="85"/>
      <c r="F339" s="59">
        <f t="shared" si="13"/>
        <v>0</v>
      </c>
    </row>
    <row r="340" spans="1:6" ht="12.75" customHeight="1" x14ac:dyDescent="0.2">
      <c r="A340" s="3"/>
      <c r="C340" s="114"/>
      <c r="E340" s="85"/>
      <c r="F340" s="59">
        <f t="shared" si="13"/>
        <v>0</v>
      </c>
    </row>
    <row r="341" spans="1:6" ht="12.75" customHeight="1" x14ac:dyDescent="0.2">
      <c r="A341" s="3"/>
      <c r="C341" s="114"/>
      <c r="E341" s="85"/>
      <c r="F341" s="59">
        <f t="shared" si="13"/>
        <v>0</v>
      </c>
    </row>
    <row r="342" spans="1:6" ht="12.75" customHeight="1" x14ac:dyDescent="0.2">
      <c r="A342" s="3"/>
      <c r="B342" s="86" t="s">
        <v>258</v>
      </c>
      <c r="C342" s="87"/>
      <c r="D342" s="88"/>
      <c r="E342" s="89"/>
      <c r="F342" s="90">
        <f>SUM(F335:F341)</f>
        <v>0</v>
      </c>
    </row>
    <row r="343" spans="1:6" ht="12.75" customHeight="1" x14ac:dyDescent="0.2">
      <c r="A343" s="3"/>
      <c r="B343" s="91" t="s">
        <v>261</v>
      </c>
      <c r="C343" s="15">
        <f>'A IX.'!$C$45</f>
        <v>0</v>
      </c>
      <c r="D343" s="92"/>
      <c r="E343" s="93"/>
      <c r="F343" s="94">
        <f>ROUND(F342*C343,2)</f>
        <v>0</v>
      </c>
    </row>
    <row r="344" spans="1:6" ht="12.75" customHeight="1" x14ac:dyDescent="0.2">
      <c r="A344" s="3"/>
      <c r="B344" s="91" t="s">
        <v>70</v>
      </c>
      <c r="C344" s="15">
        <f>$D$8</f>
        <v>0</v>
      </c>
      <c r="D344" s="92"/>
      <c r="E344" s="93"/>
      <c r="F344" s="94">
        <f>ROUND(SUM(F342:F343)*C344,2)</f>
        <v>0</v>
      </c>
    </row>
    <row r="345" spans="1:6" ht="12.75" customHeight="1" thickBot="1" x14ac:dyDescent="0.25">
      <c r="A345" s="98"/>
      <c r="B345" s="99" t="s">
        <v>262</v>
      </c>
      <c r="C345" s="100"/>
      <c r="D345" s="100"/>
      <c r="E345" s="101"/>
      <c r="F345" s="102">
        <f>SUM(F342:F344)</f>
        <v>0</v>
      </c>
    </row>
    <row r="346" spans="1:6" ht="12.75" customHeight="1" thickBot="1" x14ac:dyDescent="0.25">
      <c r="A346" s="81"/>
      <c r="B346" s="82"/>
      <c r="C346" s="83"/>
      <c r="D346" s="83"/>
      <c r="E346" s="84"/>
      <c r="F346" s="103"/>
    </row>
    <row r="347" spans="1:6" ht="30" customHeight="1" x14ac:dyDescent="0.2">
      <c r="A347" s="5" t="str">
        <f>'A IV.A'!$A$27</f>
        <v>2.1.3</v>
      </c>
      <c r="B347" s="416" t="str">
        <f>'A IV.A'!$B$27</f>
        <v>REMOÇÃO MANUAL DE GUIAS EM CONCRETO, COM OU SEM REAPROVEITAMENTO</v>
      </c>
      <c r="C347" s="526" t="s">
        <v>269</v>
      </c>
      <c r="D347" s="527"/>
      <c r="E347" s="417" t="str">
        <f>'A IV.A'!$C$27</f>
        <v>M</v>
      </c>
      <c r="F347" s="58">
        <f>ROUND(F367+F381+F393,2)</f>
        <v>0</v>
      </c>
    </row>
    <row r="348" spans="1:6" ht="12.75" customHeight="1" x14ac:dyDescent="0.2">
      <c r="A348" s="1" t="s">
        <v>17</v>
      </c>
      <c r="B348" s="418" t="s">
        <v>162</v>
      </c>
      <c r="C348" s="419" t="s">
        <v>263</v>
      </c>
      <c r="D348" s="419" t="s">
        <v>264</v>
      </c>
      <c r="E348" s="420" t="s">
        <v>265</v>
      </c>
      <c r="F348" s="57" t="s">
        <v>266</v>
      </c>
    </row>
    <row r="349" spans="1:6" ht="12.75" customHeight="1" x14ac:dyDescent="0.2">
      <c r="A349" s="6"/>
      <c r="B349" s="421"/>
      <c r="C349" s="114"/>
      <c r="D349" s="7"/>
      <c r="E349" s="85"/>
      <c r="F349" s="59">
        <f>ROUND(C349*E349,2)</f>
        <v>0</v>
      </c>
    </row>
    <row r="350" spans="1:6" ht="12.75" customHeight="1" x14ac:dyDescent="0.2">
      <c r="A350" s="6"/>
      <c r="B350" s="421"/>
      <c r="C350" s="114"/>
      <c r="D350" s="7"/>
      <c r="E350" s="85"/>
      <c r="F350" s="59">
        <f t="shared" ref="F350:F364" si="14">ROUND(C350*E350,2)</f>
        <v>0</v>
      </c>
    </row>
    <row r="351" spans="1:6" ht="12.75" customHeight="1" x14ac:dyDescent="0.2">
      <c r="A351" s="6"/>
      <c r="B351" s="421"/>
      <c r="C351" s="114"/>
      <c r="D351" s="7"/>
      <c r="E351" s="85"/>
      <c r="F351" s="59">
        <f t="shared" si="14"/>
        <v>0</v>
      </c>
    </row>
    <row r="352" spans="1:6" ht="12.75" customHeight="1" x14ac:dyDescent="0.2">
      <c r="A352" s="6"/>
      <c r="B352" s="421"/>
      <c r="C352" s="114"/>
      <c r="D352" s="7"/>
      <c r="E352" s="85"/>
      <c r="F352" s="59">
        <f t="shared" si="14"/>
        <v>0</v>
      </c>
    </row>
    <row r="353" spans="1:6" ht="12.75" customHeight="1" x14ac:dyDescent="0.2">
      <c r="A353" s="6"/>
      <c r="B353" s="421"/>
      <c r="C353" s="114"/>
      <c r="D353" s="7"/>
      <c r="E353" s="85"/>
      <c r="F353" s="59">
        <f t="shared" si="14"/>
        <v>0</v>
      </c>
    </row>
    <row r="354" spans="1:6" ht="12.75" customHeight="1" x14ac:dyDescent="0.2">
      <c r="A354" s="6"/>
      <c r="B354" s="421"/>
      <c r="C354" s="114"/>
      <c r="D354" s="7"/>
      <c r="E354" s="85"/>
      <c r="F354" s="59">
        <f t="shared" si="14"/>
        <v>0</v>
      </c>
    </row>
    <row r="355" spans="1:6" ht="12.75" customHeight="1" x14ac:dyDescent="0.2">
      <c r="A355" s="6"/>
      <c r="B355" s="421"/>
      <c r="C355" s="114"/>
      <c r="D355" s="7"/>
      <c r="E355" s="85"/>
      <c r="F355" s="59">
        <f t="shared" si="14"/>
        <v>0</v>
      </c>
    </row>
    <row r="356" spans="1:6" ht="12.75" customHeight="1" x14ac:dyDescent="0.2">
      <c r="A356" s="6"/>
      <c r="B356" s="421"/>
      <c r="C356" s="114"/>
      <c r="D356" s="7"/>
      <c r="E356" s="85"/>
      <c r="F356" s="59">
        <f t="shared" si="14"/>
        <v>0</v>
      </c>
    </row>
    <row r="357" spans="1:6" ht="12.75" customHeight="1" x14ac:dyDescent="0.2">
      <c r="A357" s="6"/>
      <c r="B357" s="421"/>
      <c r="C357" s="114"/>
      <c r="D357" s="7"/>
      <c r="E357" s="85"/>
      <c r="F357" s="59">
        <f t="shared" si="14"/>
        <v>0</v>
      </c>
    </row>
    <row r="358" spans="1:6" ht="12.75" customHeight="1" x14ac:dyDescent="0.2">
      <c r="A358" s="6"/>
      <c r="B358" s="421"/>
      <c r="C358" s="114"/>
      <c r="D358" s="7"/>
      <c r="E358" s="85"/>
      <c r="F358" s="59">
        <f t="shared" si="14"/>
        <v>0</v>
      </c>
    </row>
    <row r="359" spans="1:6" ht="12.75" customHeight="1" x14ac:dyDescent="0.2">
      <c r="A359" s="6"/>
      <c r="B359" s="421"/>
      <c r="C359" s="114"/>
      <c r="D359" s="7"/>
      <c r="E359" s="85"/>
      <c r="F359" s="59">
        <f t="shared" si="14"/>
        <v>0</v>
      </c>
    </row>
    <row r="360" spans="1:6" ht="12.75" customHeight="1" x14ac:dyDescent="0.2">
      <c r="A360" s="6"/>
      <c r="B360" s="421"/>
      <c r="C360" s="114"/>
      <c r="D360" s="423"/>
      <c r="E360" s="85"/>
      <c r="F360" s="59">
        <f t="shared" si="14"/>
        <v>0</v>
      </c>
    </row>
    <row r="361" spans="1:6" ht="12.75" customHeight="1" x14ac:dyDescent="0.2">
      <c r="A361" s="6"/>
      <c r="B361" s="421"/>
      <c r="C361" s="114"/>
      <c r="D361" s="423"/>
      <c r="E361" s="85"/>
      <c r="F361" s="59">
        <f t="shared" si="14"/>
        <v>0</v>
      </c>
    </row>
    <row r="362" spans="1:6" ht="12.75" customHeight="1" x14ac:dyDescent="0.2">
      <c r="A362" s="6"/>
      <c r="B362" s="421"/>
      <c r="C362" s="114"/>
      <c r="D362" s="423"/>
      <c r="E362" s="85"/>
      <c r="F362" s="59">
        <f t="shared" si="14"/>
        <v>0</v>
      </c>
    </row>
    <row r="363" spans="1:6" ht="12.75" customHeight="1" x14ac:dyDescent="0.2">
      <c r="A363" s="3"/>
      <c r="C363" s="114"/>
      <c r="E363" s="85"/>
      <c r="F363" s="59">
        <f t="shared" si="14"/>
        <v>0</v>
      </c>
    </row>
    <row r="364" spans="1:6" ht="12.75" customHeight="1" x14ac:dyDescent="0.2">
      <c r="A364" s="3"/>
      <c r="C364" s="114"/>
      <c r="E364" s="85"/>
      <c r="F364" s="59">
        <f t="shared" si="14"/>
        <v>0</v>
      </c>
    </row>
    <row r="365" spans="1:6" ht="12.75" customHeight="1" x14ac:dyDescent="0.2">
      <c r="A365" s="3"/>
      <c r="B365" s="86" t="s">
        <v>258</v>
      </c>
      <c r="C365" s="87"/>
      <c r="D365" s="88"/>
      <c r="E365" s="89"/>
      <c r="F365" s="90">
        <f>SUM(F349:F364)</f>
        <v>0</v>
      </c>
    </row>
    <row r="366" spans="1:6" ht="12.75" customHeight="1" x14ac:dyDescent="0.2">
      <c r="A366" s="3"/>
      <c r="B366" s="91" t="s">
        <v>70</v>
      </c>
      <c r="C366" s="15">
        <f>$D$8</f>
        <v>0</v>
      </c>
      <c r="D366" s="92"/>
      <c r="E366" s="93"/>
      <c r="F366" s="94">
        <f>ROUND(F365*C366,2)</f>
        <v>0</v>
      </c>
    </row>
    <row r="367" spans="1:6" ht="12.75" customHeight="1" x14ac:dyDescent="0.2">
      <c r="A367" s="95"/>
      <c r="B367" s="424" t="s">
        <v>259</v>
      </c>
      <c r="C367" s="425"/>
      <c r="D367" s="425"/>
      <c r="E367" s="426"/>
      <c r="F367" s="96">
        <f>F365+F366</f>
        <v>0</v>
      </c>
    </row>
    <row r="368" spans="1:6" ht="12.75" customHeight="1" x14ac:dyDescent="0.2">
      <c r="A368" s="1" t="s">
        <v>5</v>
      </c>
      <c r="B368" s="418" t="s">
        <v>267</v>
      </c>
      <c r="C368" s="419" t="s">
        <v>263</v>
      </c>
      <c r="D368" s="419" t="s">
        <v>264</v>
      </c>
      <c r="E368" s="420" t="s">
        <v>265</v>
      </c>
      <c r="F368" s="57" t="s">
        <v>266</v>
      </c>
    </row>
    <row r="369" spans="1:6" ht="12.75" customHeight="1" x14ac:dyDescent="0.2">
      <c r="A369" s="3"/>
      <c r="B369" s="71"/>
      <c r="C369" s="114"/>
      <c r="E369" s="85"/>
      <c r="F369" s="59">
        <f t="shared" ref="F369:F378" si="15">ROUND(C369*E369,2)</f>
        <v>0</v>
      </c>
    </row>
    <row r="370" spans="1:6" ht="12.75" customHeight="1" x14ac:dyDescent="0.2">
      <c r="A370" s="3"/>
      <c r="C370" s="114"/>
      <c r="E370" s="85"/>
      <c r="F370" s="59">
        <f t="shared" si="15"/>
        <v>0</v>
      </c>
    </row>
    <row r="371" spans="1:6" ht="12.75" customHeight="1" x14ac:dyDescent="0.2">
      <c r="A371" s="3"/>
      <c r="C371" s="114"/>
      <c r="E371" s="85"/>
      <c r="F371" s="59">
        <f t="shared" si="15"/>
        <v>0</v>
      </c>
    </row>
    <row r="372" spans="1:6" ht="12.75" customHeight="1" x14ac:dyDescent="0.2">
      <c r="A372" s="3"/>
      <c r="C372" s="114"/>
      <c r="E372" s="85"/>
      <c r="F372" s="59">
        <f t="shared" si="15"/>
        <v>0</v>
      </c>
    </row>
    <row r="373" spans="1:6" ht="12.75" customHeight="1" x14ac:dyDescent="0.2">
      <c r="A373" s="3"/>
      <c r="C373" s="114"/>
      <c r="E373" s="85"/>
      <c r="F373" s="59">
        <f t="shared" si="15"/>
        <v>0</v>
      </c>
    </row>
    <row r="374" spans="1:6" ht="12.75" customHeight="1" x14ac:dyDescent="0.2">
      <c r="A374" s="3"/>
      <c r="C374" s="114"/>
      <c r="E374" s="85"/>
      <c r="F374" s="59">
        <f t="shared" si="15"/>
        <v>0</v>
      </c>
    </row>
    <row r="375" spans="1:6" ht="12.75" customHeight="1" x14ac:dyDescent="0.2">
      <c r="A375" s="3"/>
      <c r="C375" s="114"/>
      <c r="E375" s="85"/>
      <c r="F375" s="59">
        <f t="shared" si="15"/>
        <v>0</v>
      </c>
    </row>
    <row r="376" spans="1:6" ht="12.75" customHeight="1" x14ac:dyDescent="0.2">
      <c r="A376" s="3"/>
      <c r="C376" s="114"/>
      <c r="E376" s="85"/>
      <c r="F376" s="59">
        <f t="shared" si="15"/>
        <v>0</v>
      </c>
    </row>
    <row r="377" spans="1:6" ht="12.75" customHeight="1" x14ac:dyDescent="0.2">
      <c r="A377" s="3"/>
      <c r="C377" s="114"/>
      <c r="E377" s="85"/>
      <c r="F377" s="59">
        <f t="shared" si="15"/>
        <v>0</v>
      </c>
    </row>
    <row r="378" spans="1:6" ht="12.75" customHeight="1" x14ac:dyDescent="0.2">
      <c r="A378" s="3"/>
      <c r="C378" s="114"/>
      <c r="E378" s="85"/>
      <c r="F378" s="59">
        <f t="shared" si="15"/>
        <v>0</v>
      </c>
    </row>
    <row r="379" spans="1:6" ht="12.75" customHeight="1" x14ac:dyDescent="0.2">
      <c r="A379" s="3"/>
      <c r="B379" s="86" t="s">
        <v>258</v>
      </c>
      <c r="C379" s="87"/>
      <c r="D379" s="88"/>
      <c r="E379" s="89"/>
      <c r="F379" s="90">
        <f>SUM(F369:F378)</f>
        <v>0</v>
      </c>
    </row>
    <row r="380" spans="1:6" ht="12.75" customHeight="1" x14ac:dyDescent="0.2">
      <c r="A380" s="3"/>
      <c r="B380" s="91" t="s">
        <v>70</v>
      </c>
      <c r="C380" s="15">
        <f>$D$8</f>
        <v>0</v>
      </c>
      <c r="D380" s="92"/>
      <c r="E380" s="93"/>
      <c r="F380" s="94">
        <f>ROUND(C380*F379,2)</f>
        <v>0</v>
      </c>
    </row>
    <row r="381" spans="1:6" ht="12.75" customHeight="1" x14ac:dyDescent="0.2">
      <c r="A381" s="95"/>
      <c r="B381" s="424" t="s">
        <v>260</v>
      </c>
      <c r="C381" s="425"/>
      <c r="D381" s="425"/>
      <c r="E381" s="426"/>
      <c r="F381" s="96">
        <f>F379+F380</f>
        <v>0</v>
      </c>
    </row>
    <row r="382" spans="1:6" ht="12.75" customHeight="1" x14ac:dyDescent="0.2">
      <c r="A382" s="97" t="s">
        <v>54</v>
      </c>
      <c r="B382" s="427" t="s">
        <v>268</v>
      </c>
      <c r="C382" s="428" t="s">
        <v>263</v>
      </c>
      <c r="D382" s="429" t="s">
        <v>264</v>
      </c>
      <c r="E382" s="430" t="s">
        <v>265</v>
      </c>
      <c r="F382" s="57" t="s">
        <v>266</v>
      </c>
    </row>
    <row r="383" spans="1:6" ht="12.75" customHeight="1" x14ac:dyDescent="0.2">
      <c r="A383" s="3" t="str">
        <f>'A VII.'!$A$196</f>
        <v>3.16</v>
      </c>
      <c r="B383" s="74" t="s">
        <v>189</v>
      </c>
      <c r="C383" s="114">
        <v>0.4</v>
      </c>
      <c r="D383" s="54" t="str">
        <f>VLOOKUP(A383,'A VII.'!$A$10:$D$199,3,FALSE)</f>
        <v>H</v>
      </c>
      <c r="E383" s="85">
        <f>'A VII.'!D196</f>
        <v>0</v>
      </c>
      <c r="F383" s="59">
        <f t="shared" ref="F383:F389" si="16">ROUND(C383*E383,2)</f>
        <v>0</v>
      </c>
    </row>
    <row r="384" spans="1:6" ht="12.75" customHeight="1" x14ac:dyDescent="0.2">
      <c r="A384" s="3"/>
      <c r="C384" s="114"/>
      <c r="E384" s="85"/>
      <c r="F384" s="59">
        <f t="shared" si="16"/>
        <v>0</v>
      </c>
    </row>
    <row r="385" spans="1:6" ht="12.75" customHeight="1" x14ac:dyDescent="0.2">
      <c r="A385" s="3"/>
      <c r="C385" s="114"/>
      <c r="E385" s="85"/>
      <c r="F385" s="59">
        <f t="shared" si="16"/>
        <v>0</v>
      </c>
    </row>
    <row r="386" spans="1:6" ht="12.75" customHeight="1" x14ac:dyDescent="0.2">
      <c r="A386" s="3"/>
      <c r="C386" s="114"/>
      <c r="E386" s="85"/>
      <c r="F386" s="59">
        <f t="shared" si="16"/>
        <v>0</v>
      </c>
    </row>
    <row r="387" spans="1:6" ht="12.75" customHeight="1" x14ac:dyDescent="0.2">
      <c r="A387" s="3"/>
      <c r="C387" s="114"/>
      <c r="E387" s="85"/>
      <c r="F387" s="59">
        <f t="shared" si="16"/>
        <v>0</v>
      </c>
    </row>
    <row r="388" spans="1:6" ht="12.75" customHeight="1" x14ac:dyDescent="0.2">
      <c r="A388" s="3"/>
      <c r="C388" s="114"/>
      <c r="E388" s="85"/>
      <c r="F388" s="59">
        <f t="shared" si="16"/>
        <v>0</v>
      </c>
    </row>
    <row r="389" spans="1:6" ht="12.75" customHeight="1" x14ac:dyDescent="0.2">
      <c r="A389" s="3"/>
      <c r="C389" s="114"/>
      <c r="E389" s="85"/>
      <c r="F389" s="59">
        <f t="shared" si="16"/>
        <v>0</v>
      </c>
    </row>
    <row r="390" spans="1:6" ht="12.75" customHeight="1" x14ac:dyDescent="0.2">
      <c r="A390" s="3"/>
      <c r="B390" s="86" t="s">
        <v>258</v>
      </c>
      <c r="C390" s="87"/>
      <c r="D390" s="88"/>
      <c r="E390" s="89"/>
      <c r="F390" s="90">
        <f>SUM(F383:F389)</f>
        <v>0</v>
      </c>
    </row>
    <row r="391" spans="1:6" ht="12.75" customHeight="1" x14ac:dyDescent="0.2">
      <c r="A391" s="3"/>
      <c r="B391" s="91" t="s">
        <v>261</v>
      </c>
      <c r="C391" s="15">
        <f>'A IX.'!$C$45</f>
        <v>0</v>
      </c>
      <c r="D391" s="92"/>
      <c r="E391" s="93"/>
      <c r="F391" s="94">
        <f>ROUND(F390*C391,2)</f>
        <v>0</v>
      </c>
    </row>
    <row r="392" spans="1:6" ht="12.75" customHeight="1" x14ac:dyDescent="0.2">
      <c r="A392" s="3"/>
      <c r="B392" s="91" t="s">
        <v>70</v>
      </c>
      <c r="C392" s="15">
        <f>$D$8</f>
        <v>0</v>
      </c>
      <c r="D392" s="92"/>
      <c r="E392" s="93"/>
      <c r="F392" s="94">
        <f>ROUND(SUM(F390:F391)*C392,2)</f>
        <v>0</v>
      </c>
    </row>
    <row r="393" spans="1:6" ht="12.75" customHeight="1" thickBot="1" x14ac:dyDescent="0.25">
      <c r="A393" s="98"/>
      <c r="B393" s="99" t="s">
        <v>262</v>
      </c>
      <c r="C393" s="100"/>
      <c r="D393" s="100"/>
      <c r="E393" s="101"/>
      <c r="F393" s="102">
        <f>SUM(F390:F392)</f>
        <v>0</v>
      </c>
    </row>
    <row r="394" spans="1:6" ht="12.75" customHeight="1" thickBot="1" x14ac:dyDescent="0.25">
      <c r="A394" s="81"/>
      <c r="B394" s="82"/>
      <c r="C394" s="83"/>
      <c r="D394" s="83"/>
      <c r="E394" s="84"/>
      <c r="F394" s="103"/>
    </row>
    <row r="395" spans="1:6" ht="30" customHeight="1" x14ac:dyDescent="0.2">
      <c r="A395" s="5" t="str">
        <f>'A IV.A'!$A$28</f>
        <v>2.1.4</v>
      </c>
      <c r="B395" s="416" t="str">
        <f>'A IV.A'!$B$28</f>
        <v>DEMOLIÇÃO DE SARJETAS EM CONCRETO</v>
      </c>
      <c r="C395" s="526" t="s">
        <v>269</v>
      </c>
      <c r="D395" s="527"/>
      <c r="E395" s="417" t="str">
        <f>'A IV.A'!$C$28</f>
        <v>M2</v>
      </c>
      <c r="F395" s="58">
        <f>ROUND(F415+F429+F441,2)</f>
        <v>0</v>
      </c>
    </row>
    <row r="396" spans="1:6" ht="12.75" customHeight="1" x14ac:dyDescent="0.2">
      <c r="A396" s="1" t="s">
        <v>17</v>
      </c>
      <c r="B396" s="418" t="s">
        <v>162</v>
      </c>
      <c r="C396" s="419" t="s">
        <v>263</v>
      </c>
      <c r="D396" s="419" t="s">
        <v>264</v>
      </c>
      <c r="E396" s="420" t="s">
        <v>265</v>
      </c>
      <c r="F396" s="57" t="s">
        <v>266</v>
      </c>
    </row>
    <row r="397" spans="1:6" ht="12.75" customHeight="1" x14ac:dyDescent="0.2">
      <c r="A397" s="6"/>
      <c r="B397" s="421"/>
      <c r="C397" s="422"/>
      <c r="D397" s="7"/>
      <c r="E397" s="85"/>
      <c r="F397" s="59">
        <f>ROUND(C397*E397,2)</f>
        <v>0</v>
      </c>
    </row>
    <row r="398" spans="1:6" ht="12.75" customHeight="1" x14ac:dyDescent="0.2">
      <c r="A398" s="6"/>
      <c r="B398" s="421"/>
      <c r="C398" s="422"/>
      <c r="D398" s="7"/>
      <c r="E398" s="85"/>
      <c r="F398" s="59">
        <f t="shared" ref="F398:F412" si="17">ROUND(C398*E398,2)</f>
        <v>0</v>
      </c>
    </row>
    <row r="399" spans="1:6" ht="12.75" customHeight="1" x14ac:dyDescent="0.2">
      <c r="A399" s="6"/>
      <c r="B399" s="421"/>
      <c r="C399" s="422"/>
      <c r="D399" s="7"/>
      <c r="E399" s="85"/>
      <c r="F399" s="59">
        <f t="shared" si="17"/>
        <v>0</v>
      </c>
    </row>
    <row r="400" spans="1:6" ht="12.75" customHeight="1" x14ac:dyDescent="0.2">
      <c r="A400" s="6"/>
      <c r="B400" s="421"/>
      <c r="C400" s="422"/>
      <c r="D400" s="7"/>
      <c r="E400" s="85"/>
      <c r="F400" s="59">
        <f t="shared" si="17"/>
        <v>0</v>
      </c>
    </row>
    <row r="401" spans="1:6" ht="12.75" customHeight="1" x14ac:dyDescent="0.2">
      <c r="A401" s="6"/>
      <c r="B401" s="421"/>
      <c r="C401" s="422"/>
      <c r="D401" s="7"/>
      <c r="E401" s="85"/>
      <c r="F401" s="59">
        <f t="shared" si="17"/>
        <v>0</v>
      </c>
    </row>
    <row r="402" spans="1:6" ht="12.75" customHeight="1" x14ac:dyDescent="0.2">
      <c r="A402" s="6"/>
      <c r="B402" s="421"/>
      <c r="C402" s="422"/>
      <c r="D402" s="7"/>
      <c r="E402" s="85"/>
      <c r="F402" s="59">
        <f t="shared" si="17"/>
        <v>0</v>
      </c>
    </row>
    <row r="403" spans="1:6" ht="12.75" customHeight="1" x14ac:dyDescent="0.2">
      <c r="A403" s="6"/>
      <c r="B403" s="421"/>
      <c r="C403" s="422"/>
      <c r="D403" s="7"/>
      <c r="E403" s="85"/>
      <c r="F403" s="59">
        <f t="shared" si="17"/>
        <v>0</v>
      </c>
    </row>
    <row r="404" spans="1:6" ht="12.75" customHeight="1" x14ac:dyDescent="0.2">
      <c r="A404" s="6"/>
      <c r="B404" s="421"/>
      <c r="C404" s="422"/>
      <c r="D404" s="7"/>
      <c r="E404" s="85"/>
      <c r="F404" s="59">
        <f t="shared" si="17"/>
        <v>0</v>
      </c>
    </row>
    <row r="405" spans="1:6" ht="12.75" customHeight="1" x14ac:dyDescent="0.2">
      <c r="A405" s="6"/>
      <c r="B405" s="421"/>
      <c r="C405" s="422"/>
      <c r="D405" s="7"/>
      <c r="E405" s="85"/>
      <c r="F405" s="59">
        <f t="shared" si="17"/>
        <v>0</v>
      </c>
    </row>
    <row r="406" spans="1:6" ht="12.75" customHeight="1" x14ac:dyDescent="0.2">
      <c r="A406" s="6"/>
      <c r="B406" s="421"/>
      <c r="C406" s="422"/>
      <c r="D406" s="7"/>
      <c r="E406" s="85"/>
      <c r="F406" s="59">
        <f t="shared" si="17"/>
        <v>0</v>
      </c>
    </row>
    <row r="407" spans="1:6" ht="12.75" customHeight="1" x14ac:dyDescent="0.2">
      <c r="A407" s="6"/>
      <c r="B407" s="421"/>
      <c r="C407" s="422"/>
      <c r="D407" s="7"/>
      <c r="E407" s="85"/>
      <c r="F407" s="59">
        <f t="shared" si="17"/>
        <v>0</v>
      </c>
    </row>
    <row r="408" spans="1:6" ht="12.75" customHeight="1" x14ac:dyDescent="0.2">
      <c r="A408" s="6"/>
      <c r="B408" s="421"/>
      <c r="C408" s="422"/>
      <c r="D408" s="423"/>
      <c r="E408" s="85"/>
      <c r="F408" s="59">
        <f t="shared" si="17"/>
        <v>0</v>
      </c>
    </row>
    <row r="409" spans="1:6" ht="12.75" customHeight="1" x14ac:dyDescent="0.2">
      <c r="A409" s="6"/>
      <c r="B409" s="421"/>
      <c r="C409" s="422"/>
      <c r="D409" s="423"/>
      <c r="E409" s="85"/>
      <c r="F409" s="59">
        <f t="shared" si="17"/>
        <v>0</v>
      </c>
    </row>
    <row r="410" spans="1:6" ht="12.75" customHeight="1" x14ac:dyDescent="0.2">
      <c r="A410" s="6"/>
      <c r="B410" s="421"/>
      <c r="C410" s="422"/>
      <c r="D410" s="423"/>
      <c r="E410" s="85"/>
      <c r="F410" s="59">
        <f t="shared" si="17"/>
        <v>0</v>
      </c>
    </row>
    <row r="411" spans="1:6" ht="12.75" customHeight="1" x14ac:dyDescent="0.2">
      <c r="A411" s="3"/>
      <c r="C411" s="422"/>
      <c r="E411" s="85"/>
      <c r="F411" s="59">
        <f t="shared" si="17"/>
        <v>0</v>
      </c>
    </row>
    <row r="412" spans="1:6" ht="12.75" customHeight="1" x14ac:dyDescent="0.2">
      <c r="A412" s="3"/>
      <c r="C412" s="422"/>
      <c r="E412" s="85"/>
      <c r="F412" s="59">
        <f t="shared" si="17"/>
        <v>0</v>
      </c>
    </row>
    <row r="413" spans="1:6" ht="12.75" customHeight="1" x14ac:dyDescent="0.2">
      <c r="A413" s="3"/>
      <c r="B413" s="86" t="s">
        <v>258</v>
      </c>
      <c r="C413" s="87"/>
      <c r="D413" s="88"/>
      <c r="E413" s="89"/>
      <c r="F413" s="90">
        <f>SUM(F397:F412)</f>
        <v>0</v>
      </c>
    </row>
    <row r="414" spans="1:6" ht="12.75" customHeight="1" x14ac:dyDescent="0.2">
      <c r="A414" s="3"/>
      <c r="B414" s="91" t="s">
        <v>70</v>
      </c>
      <c r="C414" s="15">
        <f>$D$8</f>
        <v>0</v>
      </c>
      <c r="D414" s="92"/>
      <c r="E414" s="93"/>
      <c r="F414" s="94">
        <f>ROUND(F413*C414,2)</f>
        <v>0</v>
      </c>
    </row>
    <row r="415" spans="1:6" ht="12.75" customHeight="1" x14ac:dyDescent="0.2">
      <c r="A415" s="95"/>
      <c r="B415" s="424" t="s">
        <v>259</v>
      </c>
      <c r="C415" s="425"/>
      <c r="D415" s="425"/>
      <c r="E415" s="426"/>
      <c r="F415" s="96">
        <f>F413+F414</f>
        <v>0</v>
      </c>
    </row>
    <row r="416" spans="1:6" ht="12.75" customHeight="1" x14ac:dyDescent="0.2">
      <c r="A416" s="1" t="s">
        <v>5</v>
      </c>
      <c r="B416" s="418" t="s">
        <v>267</v>
      </c>
      <c r="C416" s="419" t="s">
        <v>263</v>
      </c>
      <c r="D416" s="419" t="s">
        <v>264</v>
      </c>
      <c r="E416" s="420" t="s">
        <v>265</v>
      </c>
      <c r="F416" s="57" t="s">
        <v>266</v>
      </c>
    </row>
    <row r="417" spans="1:6" ht="12.75" customHeight="1" x14ac:dyDescent="0.2">
      <c r="A417" s="3"/>
      <c r="B417" s="71"/>
      <c r="C417" s="422"/>
      <c r="E417" s="85"/>
      <c r="F417" s="59">
        <f t="shared" ref="F417:F426" si="18">ROUND(C417*E417,2)</f>
        <v>0</v>
      </c>
    </row>
    <row r="418" spans="1:6" ht="12.75" customHeight="1" x14ac:dyDescent="0.2">
      <c r="A418" s="3"/>
      <c r="C418" s="422"/>
      <c r="E418" s="85"/>
      <c r="F418" s="59">
        <f t="shared" si="18"/>
        <v>0</v>
      </c>
    </row>
    <row r="419" spans="1:6" ht="12.75" customHeight="1" x14ac:dyDescent="0.2">
      <c r="A419" s="3"/>
      <c r="C419" s="422"/>
      <c r="E419" s="85"/>
      <c r="F419" s="59">
        <f t="shared" si="18"/>
        <v>0</v>
      </c>
    </row>
    <row r="420" spans="1:6" ht="12.75" customHeight="1" x14ac:dyDescent="0.2">
      <c r="A420" s="3"/>
      <c r="C420" s="422"/>
      <c r="E420" s="85"/>
      <c r="F420" s="59">
        <f t="shared" si="18"/>
        <v>0</v>
      </c>
    </row>
    <row r="421" spans="1:6" ht="12.75" customHeight="1" x14ac:dyDescent="0.2">
      <c r="A421" s="3"/>
      <c r="C421" s="422"/>
      <c r="E421" s="85"/>
      <c r="F421" s="59">
        <f t="shared" si="18"/>
        <v>0</v>
      </c>
    </row>
    <row r="422" spans="1:6" ht="12.75" customHeight="1" x14ac:dyDescent="0.2">
      <c r="A422" s="3"/>
      <c r="C422" s="422"/>
      <c r="E422" s="85"/>
      <c r="F422" s="59">
        <f t="shared" si="18"/>
        <v>0</v>
      </c>
    </row>
    <row r="423" spans="1:6" ht="12.75" customHeight="1" x14ac:dyDescent="0.2">
      <c r="A423" s="3"/>
      <c r="C423" s="422"/>
      <c r="E423" s="85"/>
      <c r="F423" s="59">
        <f t="shared" si="18"/>
        <v>0</v>
      </c>
    </row>
    <row r="424" spans="1:6" ht="12.75" customHeight="1" x14ac:dyDescent="0.2">
      <c r="A424" s="3"/>
      <c r="C424" s="422"/>
      <c r="E424" s="85"/>
      <c r="F424" s="59">
        <f t="shared" si="18"/>
        <v>0</v>
      </c>
    </row>
    <row r="425" spans="1:6" ht="12.75" customHeight="1" x14ac:dyDescent="0.2">
      <c r="A425" s="3"/>
      <c r="C425" s="422"/>
      <c r="E425" s="85"/>
      <c r="F425" s="59">
        <f t="shared" si="18"/>
        <v>0</v>
      </c>
    </row>
    <row r="426" spans="1:6" ht="12.75" customHeight="1" x14ac:dyDescent="0.2">
      <c r="A426" s="3"/>
      <c r="C426" s="422"/>
      <c r="E426" s="85"/>
      <c r="F426" s="59">
        <f t="shared" si="18"/>
        <v>0</v>
      </c>
    </row>
    <row r="427" spans="1:6" ht="12.75" customHeight="1" x14ac:dyDescent="0.2">
      <c r="A427" s="3"/>
      <c r="B427" s="86" t="s">
        <v>258</v>
      </c>
      <c r="C427" s="87"/>
      <c r="D427" s="88"/>
      <c r="E427" s="89"/>
      <c r="F427" s="90">
        <f>SUM(F417:F426)</f>
        <v>0</v>
      </c>
    </row>
    <row r="428" spans="1:6" ht="12.75" customHeight="1" x14ac:dyDescent="0.2">
      <c r="A428" s="3"/>
      <c r="B428" s="91" t="s">
        <v>70</v>
      </c>
      <c r="C428" s="15">
        <f>$D$8</f>
        <v>0</v>
      </c>
      <c r="D428" s="92"/>
      <c r="E428" s="93"/>
      <c r="F428" s="94">
        <f>ROUND(C428*F427,2)</f>
        <v>0</v>
      </c>
    </row>
    <row r="429" spans="1:6" ht="12.75" customHeight="1" x14ac:dyDescent="0.2">
      <c r="A429" s="95"/>
      <c r="B429" s="424" t="s">
        <v>260</v>
      </c>
      <c r="C429" s="425"/>
      <c r="D429" s="425"/>
      <c r="E429" s="426"/>
      <c r="F429" s="96">
        <f>F427+F428</f>
        <v>0</v>
      </c>
    </row>
    <row r="430" spans="1:6" ht="12.75" customHeight="1" x14ac:dyDescent="0.2">
      <c r="A430" s="97" t="s">
        <v>54</v>
      </c>
      <c r="B430" s="427" t="s">
        <v>268</v>
      </c>
      <c r="C430" s="428" t="s">
        <v>263</v>
      </c>
      <c r="D430" s="429" t="s">
        <v>264</v>
      </c>
      <c r="E430" s="430" t="s">
        <v>265</v>
      </c>
      <c r="F430" s="57" t="s">
        <v>266</v>
      </c>
    </row>
    <row r="431" spans="1:6" ht="12.75" customHeight="1" x14ac:dyDescent="0.2">
      <c r="A431" s="3" t="str">
        <f>'A VII.'!$A$192</f>
        <v>3.12</v>
      </c>
      <c r="B431" s="74" t="s">
        <v>185</v>
      </c>
      <c r="C431" s="422">
        <v>0.08</v>
      </c>
      <c r="D431" s="54" t="str">
        <f>VLOOKUP(A431,'A VII.'!$A$10:$D$199,3,FALSE)</f>
        <v>H</v>
      </c>
      <c r="E431" s="85">
        <f>'A VII.'!D192</f>
        <v>0</v>
      </c>
      <c r="F431" s="59">
        <f t="shared" ref="F431:F437" si="19">ROUND(C431*E431,2)</f>
        <v>0</v>
      </c>
    </row>
    <row r="432" spans="1:6" ht="12.75" customHeight="1" x14ac:dyDescent="0.2">
      <c r="A432" s="3" t="str">
        <f>'A VII.'!$A$196</f>
        <v>3.16</v>
      </c>
      <c r="B432" s="74" t="s">
        <v>189</v>
      </c>
      <c r="C432" s="422">
        <v>0.8</v>
      </c>
      <c r="D432" s="54" t="str">
        <f>VLOOKUP(A432,'A VII.'!$A$10:$D$199,3,FALSE)</f>
        <v>H</v>
      </c>
      <c r="E432" s="85">
        <f>'A VII.'!D196</f>
        <v>0</v>
      </c>
      <c r="F432" s="59">
        <f t="shared" si="19"/>
        <v>0</v>
      </c>
    </row>
    <row r="433" spans="1:6" ht="12.75" customHeight="1" x14ac:dyDescent="0.2">
      <c r="A433" s="3"/>
      <c r="C433" s="422"/>
      <c r="E433" s="85"/>
      <c r="F433" s="59">
        <f t="shared" si="19"/>
        <v>0</v>
      </c>
    </row>
    <row r="434" spans="1:6" ht="12.75" customHeight="1" x14ac:dyDescent="0.2">
      <c r="A434" s="3"/>
      <c r="C434" s="422"/>
      <c r="E434" s="85"/>
      <c r="F434" s="59">
        <f t="shared" si="19"/>
        <v>0</v>
      </c>
    </row>
    <row r="435" spans="1:6" ht="12.75" customHeight="1" x14ac:dyDescent="0.2">
      <c r="A435" s="3"/>
      <c r="C435" s="422"/>
      <c r="E435" s="85"/>
      <c r="F435" s="59">
        <f t="shared" si="19"/>
        <v>0</v>
      </c>
    </row>
    <row r="436" spans="1:6" ht="12.75" customHeight="1" x14ac:dyDescent="0.2">
      <c r="A436" s="3"/>
      <c r="C436" s="422"/>
      <c r="E436" s="85"/>
      <c r="F436" s="59">
        <f t="shared" si="19"/>
        <v>0</v>
      </c>
    </row>
    <row r="437" spans="1:6" ht="12.75" customHeight="1" x14ac:dyDescent="0.2">
      <c r="A437" s="3"/>
      <c r="C437" s="422"/>
      <c r="E437" s="85"/>
      <c r="F437" s="59">
        <f t="shared" si="19"/>
        <v>0</v>
      </c>
    </row>
    <row r="438" spans="1:6" ht="12.75" customHeight="1" x14ac:dyDescent="0.2">
      <c r="A438" s="3"/>
      <c r="B438" s="86" t="s">
        <v>258</v>
      </c>
      <c r="C438" s="87"/>
      <c r="D438" s="88"/>
      <c r="E438" s="89"/>
      <c r="F438" s="90">
        <f>SUM(F431:F437)</f>
        <v>0</v>
      </c>
    </row>
    <row r="439" spans="1:6" ht="12.75" customHeight="1" x14ac:dyDescent="0.2">
      <c r="A439" s="3"/>
      <c r="B439" s="91" t="s">
        <v>261</v>
      </c>
      <c r="C439" s="15">
        <f>'A IX.'!$C$45</f>
        <v>0</v>
      </c>
      <c r="D439" s="92"/>
      <c r="E439" s="93"/>
      <c r="F439" s="94">
        <f>ROUND(F438*C439,2)</f>
        <v>0</v>
      </c>
    </row>
    <row r="440" spans="1:6" ht="12.75" customHeight="1" x14ac:dyDescent="0.2">
      <c r="A440" s="3"/>
      <c r="B440" s="91" t="s">
        <v>70</v>
      </c>
      <c r="C440" s="15">
        <f>$D$8</f>
        <v>0</v>
      </c>
      <c r="D440" s="92"/>
      <c r="E440" s="93"/>
      <c r="F440" s="94">
        <f>ROUND(SUM(F438:F439)*C440,2)</f>
        <v>0</v>
      </c>
    </row>
    <row r="441" spans="1:6" ht="12.75" customHeight="1" thickBot="1" x14ac:dyDescent="0.25">
      <c r="A441" s="98"/>
      <c r="B441" s="99" t="s">
        <v>262</v>
      </c>
      <c r="C441" s="100"/>
      <c r="D441" s="100"/>
      <c r="E441" s="101"/>
      <c r="F441" s="102">
        <f>SUM(F438:F440)</f>
        <v>0</v>
      </c>
    </row>
    <row r="442" spans="1:6" ht="12.75" customHeight="1" thickBot="1" x14ac:dyDescent="0.25">
      <c r="A442" s="81"/>
      <c r="B442" s="82"/>
      <c r="C442" s="83"/>
      <c r="D442" s="83"/>
      <c r="E442" s="84"/>
      <c r="F442" s="103"/>
    </row>
    <row r="443" spans="1:6" ht="30" customHeight="1" x14ac:dyDescent="0.2">
      <c r="A443" s="5" t="str">
        <f>'A IV.A'!A29</f>
        <v>2.1.5</v>
      </c>
      <c r="B443" s="416" t="str">
        <f>'A IV.A'!B29</f>
        <v>REMOÇÃO MANUAL DE PORTÃO, GRADE DE PROTEÇÃO E ESQUADRIAS METÁLICAS EM GERAL, COM OU SEM REAPROVEITAMENTO</v>
      </c>
      <c r="C443" s="526" t="s">
        <v>269</v>
      </c>
      <c r="D443" s="527"/>
      <c r="E443" s="417" t="str">
        <f>'A IV.A'!C29</f>
        <v>M2</v>
      </c>
      <c r="F443" s="58">
        <f>ROUND(F463+F477+F489,2)</f>
        <v>0</v>
      </c>
    </row>
    <row r="444" spans="1:6" ht="12.75" customHeight="1" x14ac:dyDescent="0.2">
      <c r="A444" s="1" t="s">
        <v>17</v>
      </c>
      <c r="B444" s="418" t="s">
        <v>162</v>
      </c>
      <c r="C444" s="419" t="s">
        <v>263</v>
      </c>
      <c r="D444" s="419" t="s">
        <v>264</v>
      </c>
      <c r="E444" s="420" t="s">
        <v>265</v>
      </c>
      <c r="F444" s="57" t="s">
        <v>266</v>
      </c>
    </row>
    <row r="445" spans="1:6" ht="12.75" customHeight="1" x14ac:dyDescent="0.2">
      <c r="A445" s="6"/>
      <c r="B445" s="421"/>
      <c r="C445" s="114"/>
      <c r="D445" s="7"/>
      <c r="E445" s="85"/>
      <c r="F445" s="59">
        <f>ROUND(C445*E445,2)</f>
        <v>0</v>
      </c>
    </row>
    <row r="446" spans="1:6" ht="12.75" customHeight="1" x14ac:dyDescent="0.2">
      <c r="A446" s="6"/>
      <c r="B446" s="421"/>
      <c r="C446" s="114"/>
      <c r="D446" s="7"/>
      <c r="E446" s="85"/>
      <c r="F446" s="59">
        <f t="shared" ref="F446:F460" si="20">ROUND(C446*E446,2)</f>
        <v>0</v>
      </c>
    </row>
    <row r="447" spans="1:6" ht="12.75" customHeight="1" x14ac:dyDescent="0.2">
      <c r="A447" s="6"/>
      <c r="B447" s="421"/>
      <c r="C447" s="114"/>
      <c r="D447" s="7"/>
      <c r="E447" s="85"/>
      <c r="F447" s="59">
        <f t="shared" si="20"/>
        <v>0</v>
      </c>
    </row>
    <row r="448" spans="1:6" ht="12.75" customHeight="1" x14ac:dyDescent="0.2">
      <c r="A448" s="6"/>
      <c r="B448" s="421"/>
      <c r="C448" s="114"/>
      <c r="D448" s="7"/>
      <c r="E448" s="85"/>
      <c r="F448" s="59">
        <f t="shared" si="20"/>
        <v>0</v>
      </c>
    </row>
    <row r="449" spans="1:6" ht="12.75" customHeight="1" x14ac:dyDescent="0.2">
      <c r="A449" s="6"/>
      <c r="B449" s="421"/>
      <c r="C449" s="114"/>
      <c r="D449" s="7"/>
      <c r="E449" s="85"/>
      <c r="F449" s="59">
        <f t="shared" si="20"/>
        <v>0</v>
      </c>
    </row>
    <row r="450" spans="1:6" ht="12.75" customHeight="1" x14ac:dyDescent="0.2">
      <c r="A450" s="6"/>
      <c r="B450" s="421"/>
      <c r="C450" s="114"/>
      <c r="D450" s="7"/>
      <c r="E450" s="85"/>
      <c r="F450" s="59">
        <f t="shared" si="20"/>
        <v>0</v>
      </c>
    </row>
    <row r="451" spans="1:6" ht="12.75" customHeight="1" x14ac:dyDescent="0.2">
      <c r="A451" s="6"/>
      <c r="B451" s="421"/>
      <c r="C451" s="114"/>
      <c r="D451" s="7"/>
      <c r="E451" s="85"/>
      <c r="F451" s="59">
        <f t="shared" si="20"/>
        <v>0</v>
      </c>
    </row>
    <row r="452" spans="1:6" ht="12.75" customHeight="1" x14ac:dyDescent="0.2">
      <c r="A452" s="6"/>
      <c r="B452" s="421"/>
      <c r="C452" s="114"/>
      <c r="D452" s="7"/>
      <c r="E452" s="85"/>
      <c r="F452" s="59">
        <f t="shared" si="20"/>
        <v>0</v>
      </c>
    </row>
    <row r="453" spans="1:6" ht="12.75" customHeight="1" x14ac:dyDescent="0.2">
      <c r="A453" s="6"/>
      <c r="B453" s="421"/>
      <c r="C453" s="114"/>
      <c r="D453" s="7"/>
      <c r="E453" s="85"/>
      <c r="F453" s="59">
        <f t="shared" si="20"/>
        <v>0</v>
      </c>
    </row>
    <row r="454" spans="1:6" ht="12.75" customHeight="1" x14ac:dyDescent="0.2">
      <c r="A454" s="6"/>
      <c r="B454" s="421"/>
      <c r="C454" s="114"/>
      <c r="D454" s="7"/>
      <c r="E454" s="85"/>
      <c r="F454" s="59">
        <f t="shared" si="20"/>
        <v>0</v>
      </c>
    </row>
    <row r="455" spans="1:6" ht="12.75" customHeight="1" x14ac:dyDescent="0.2">
      <c r="A455" s="6"/>
      <c r="B455" s="421"/>
      <c r="C455" s="114"/>
      <c r="D455" s="7"/>
      <c r="E455" s="85"/>
      <c r="F455" s="59">
        <f t="shared" si="20"/>
        <v>0</v>
      </c>
    </row>
    <row r="456" spans="1:6" ht="12.75" customHeight="1" x14ac:dyDescent="0.2">
      <c r="A456" s="6"/>
      <c r="B456" s="421"/>
      <c r="C456" s="114"/>
      <c r="D456" s="423"/>
      <c r="E456" s="85"/>
      <c r="F456" s="59">
        <f t="shared" si="20"/>
        <v>0</v>
      </c>
    </row>
    <row r="457" spans="1:6" ht="12.75" customHeight="1" x14ac:dyDescent="0.2">
      <c r="A457" s="6"/>
      <c r="B457" s="421"/>
      <c r="C457" s="114"/>
      <c r="D457" s="423"/>
      <c r="E457" s="85"/>
      <c r="F457" s="59">
        <f t="shared" si="20"/>
        <v>0</v>
      </c>
    </row>
    <row r="458" spans="1:6" ht="12.75" customHeight="1" x14ac:dyDescent="0.2">
      <c r="A458" s="6"/>
      <c r="B458" s="421"/>
      <c r="C458" s="114"/>
      <c r="D458" s="423"/>
      <c r="E458" s="85"/>
      <c r="F458" s="59">
        <f t="shared" si="20"/>
        <v>0</v>
      </c>
    </row>
    <row r="459" spans="1:6" ht="12.75" customHeight="1" x14ac:dyDescent="0.2">
      <c r="A459" s="3"/>
      <c r="C459" s="114"/>
      <c r="E459" s="85"/>
      <c r="F459" s="59">
        <f t="shared" si="20"/>
        <v>0</v>
      </c>
    </row>
    <row r="460" spans="1:6" ht="12.75" customHeight="1" x14ac:dyDescent="0.2">
      <c r="A460" s="3"/>
      <c r="C460" s="114"/>
      <c r="E460" s="85"/>
      <c r="F460" s="59">
        <f t="shared" si="20"/>
        <v>0</v>
      </c>
    </row>
    <row r="461" spans="1:6" ht="12.75" customHeight="1" x14ac:dyDescent="0.2">
      <c r="A461" s="3"/>
      <c r="B461" s="86" t="s">
        <v>258</v>
      </c>
      <c r="C461" s="87"/>
      <c r="D461" s="88"/>
      <c r="E461" s="89"/>
      <c r="F461" s="90">
        <f>SUM(F445:F460)</f>
        <v>0</v>
      </c>
    </row>
    <row r="462" spans="1:6" ht="12.75" customHeight="1" x14ac:dyDescent="0.2">
      <c r="A462" s="3"/>
      <c r="B462" s="91" t="s">
        <v>70</v>
      </c>
      <c r="C462" s="15">
        <f>$D$8</f>
        <v>0</v>
      </c>
      <c r="D462" s="92"/>
      <c r="E462" s="93"/>
      <c r="F462" s="94">
        <f>ROUND(F461*C462,2)</f>
        <v>0</v>
      </c>
    </row>
    <row r="463" spans="1:6" ht="12.75" customHeight="1" x14ac:dyDescent="0.2">
      <c r="A463" s="95"/>
      <c r="B463" s="424" t="s">
        <v>259</v>
      </c>
      <c r="C463" s="425"/>
      <c r="D463" s="425"/>
      <c r="E463" s="426"/>
      <c r="F463" s="96">
        <f>F461+F462</f>
        <v>0</v>
      </c>
    </row>
    <row r="464" spans="1:6" ht="12.75" customHeight="1" x14ac:dyDescent="0.2">
      <c r="A464" s="1" t="s">
        <v>5</v>
      </c>
      <c r="B464" s="418" t="s">
        <v>267</v>
      </c>
      <c r="C464" s="419" t="s">
        <v>263</v>
      </c>
      <c r="D464" s="419" t="s">
        <v>264</v>
      </c>
      <c r="E464" s="420" t="s">
        <v>265</v>
      </c>
      <c r="F464" s="57" t="s">
        <v>266</v>
      </c>
    </row>
    <row r="465" spans="1:6" ht="12.75" customHeight="1" x14ac:dyDescent="0.2">
      <c r="A465" s="3"/>
      <c r="B465" s="71"/>
      <c r="C465" s="114"/>
      <c r="E465" s="85"/>
      <c r="F465" s="59">
        <f t="shared" ref="F465:F474" si="21">ROUND(C465*E465,2)</f>
        <v>0</v>
      </c>
    </row>
    <row r="466" spans="1:6" ht="12.75" customHeight="1" x14ac:dyDescent="0.2">
      <c r="A466" s="3"/>
      <c r="C466" s="114"/>
      <c r="E466" s="85"/>
      <c r="F466" s="59">
        <f t="shared" si="21"/>
        <v>0</v>
      </c>
    </row>
    <row r="467" spans="1:6" ht="12.75" customHeight="1" x14ac:dyDescent="0.2">
      <c r="A467" s="3"/>
      <c r="C467" s="114"/>
      <c r="E467" s="85"/>
      <c r="F467" s="59">
        <f t="shared" si="21"/>
        <v>0</v>
      </c>
    </row>
    <row r="468" spans="1:6" ht="12.75" customHeight="1" x14ac:dyDescent="0.2">
      <c r="A468" s="3"/>
      <c r="C468" s="114"/>
      <c r="E468" s="85"/>
      <c r="F468" s="59">
        <f t="shared" si="21"/>
        <v>0</v>
      </c>
    </row>
    <row r="469" spans="1:6" ht="12.75" customHeight="1" x14ac:dyDescent="0.2">
      <c r="A469" s="3"/>
      <c r="C469" s="114"/>
      <c r="E469" s="85"/>
      <c r="F469" s="59">
        <f t="shared" si="21"/>
        <v>0</v>
      </c>
    </row>
    <row r="470" spans="1:6" ht="12.75" customHeight="1" x14ac:dyDescent="0.2">
      <c r="A470" s="3"/>
      <c r="C470" s="114"/>
      <c r="E470" s="85"/>
      <c r="F470" s="59">
        <f t="shared" si="21"/>
        <v>0</v>
      </c>
    </row>
    <row r="471" spans="1:6" ht="12.75" customHeight="1" x14ac:dyDescent="0.2">
      <c r="A471" s="3"/>
      <c r="C471" s="114"/>
      <c r="E471" s="85"/>
      <c r="F471" s="59">
        <f t="shared" si="21"/>
        <v>0</v>
      </c>
    </row>
    <row r="472" spans="1:6" ht="12.75" customHeight="1" x14ac:dyDescent="0.2">
      <c r="A472" s="3"/>
      <c r="C472" s="114"/>
      <c r="E472" s="85"/>
      <c r="F472" s="59">
        <f t="shared" si="21"/>
        <v>0</v>
      </c>
    </row>
    <row r="473" spans="1:6" ht="12.75" customHeight="1" x14ac:dyDescent="0.2">
      <c r="A473" s="3"/>
      <c r="C473" s="114"/>
      <c r="E473" s="85"/>
      <c r="F473" s="59">
        <f t="shared" si="21"/>
        <v>0</v>
      </c>
    </row>
    <row r="474" spans="1:6" ht="12.75" customHeight="1" x14ac:dyDescent="0.2">
      <c r="A474" s="3"/>
      <c r="C474" s="114"/>
      <c r="E474" s="85"/>
      <c r="F474" s="59">
        <f t="shared" si="21"/>
        <v>0</v>
      </c>
    </row>
    <row r="475" spans="1:6" ht="12.75" customHeight="1" x14ac:dyDescent="0.2">
      <c r="A475" s="3"/>
      <c r="B475" s="86" t="s">
        <v>258</v>
      </c>
      <c r="C475" s="87"/>
      <c r="D475" s="88"/>
      <c r="E475" s="89"/>
      <c r="F475" s="90">
        <f>SUM(F465:F474)</f>
        <v>0</v>
      </c>
    </row>
    <row r="476" spans="1:6" ht="12.75" customHeight="1" x14ac:dyDescent="0.2">
      <c r="A476" s="3"/>
      <c r="B476" s="91" t="s">
        <v>70</v>
      </c>
      <c r="C476" s="15">
        <f>$D$8</f>
        <v>0</v>
      </c>
      <c r="D476" s="92"/>
      <c r="E476" s="93"/>
      <c r="F476" s="94">
        <f>ROUND(C476*F475,2)</f>
        <v>0</v>
      </c>
    </row>
    <row r="477" spans="1:6" ht="12.75" customHeight="1" x14ac:dyDescent="0.2">
      <c r="A477" s="95"/>
      <c r="B477" s="424" t="s">
        <v>260</v>
      </c>
      <c r="C477" s="425"/>
      <c r="D477" s="425"/>
      <c r="E477" s="426"/>
      <c r="F477" s="96">
        <f>F475+F476</f>
        <v>0</v>
      </c>
    </row>
    <row r="478" spans="1:6" ht="12.75" customHeight="1" x14ac:dyDescent="0.2">
      <c r="A478" s="97" t="s">
        <v>54</v>
      </c>
      <c r="B478" s="427" t="s">
        <v>268</v>
      </c>
      <c r="C478" s="428" t="s">
        <v>263</v>
      </c>
      <c r="D478" s="429" t="s">
        <v>264</v>
      </c>
      <c r="E478" s="430" t="s">
        <v>265</v>
      </c>
      <c r="F478" s="57" t="s">
        <v>266</v>
      </c>
    </row>
    <row r="479" spans="1:6" ht="12.75" customHeight="1" x14ac:dyDescent="0.2">
      <c r="A479" s="3" t="str">
        <f>'A VII.'!$A$196</f>
        <v>3.16</v>
      </c>
      <c r="B479" s="74" t="s">
        <v>189</v>
      </c>
      <c r="C479" s="114">
        <v>0.5</v>
      </c>
      <c r="D479" s="54" t="str">
        <f>VLOOKUP(A479,'A VII.'!$A$10:$D$199,3,FALSE)</f>
        <v>H</v>
      </c>
      <c r="E479" s="85">
        <f>'A VII.'!D196</f>
        <v>0</v>
      </c>
      <c r="F479" s="59">
        <f t="shared" ref="F479:F485" si="22">ROUND(C479*E479,2)</f>
        <v>0</v>
      </c>
    </row>
    <row r="480" spans="1:6" ht="12.75" customHeight="1" x14ac:dyDescent="0.2">
      <c r="A480" s="3" t="str">
        <f>'A VII.'!$A$192</f>
        <v>3.12</v>
      </c>
      <c r="B480" s="74" t="str">
        <f>'A VII.'!B192</f>
        <v>PEDREIRO COM ENCARGOS COMPLEMENTARES</v>
      </c>
      <c r="C480" s="114">
        <v>0.05</v>
      </c>
      <c r="D480" s="54" t="str">
        <f>'A VII.'!C192</f>
        <v>H</v>
      </c>
      <c r="E480" s="85">
        <f>'A VII.'!D192</f>
        <v>0</v>
      </c>
      <c r="F480" s="59">
        <f t="shared" si="22"/>
        <v>0</v>
      </c>
    </row>
    <row r="481" spans="1:6" ht="12.75" customHeight="1" x14ac:dyDescent="0.2">
      <c r="A481" s="3"/>
      <c r="C481" s="114"/>
      <c r="E481" s="85"/>
      <c r="F481" s="59">
        <f t="shared" si="22"/>
        <v>0</v>
      </c>
    </row>
    <row r="482" spans="1:6" ht="12.75" customHeight="1" x14ac:dyDescent="0.2">
      <c r="A482" s="3"/>
      <c r="C482" s="114"/>
      <c r="E482" s="85"/>
      <c r="F482" s="59">
        <f t="shared" si="22"/>
        <v>0</v>
      </c>
    </row>
    <row r="483" spans="1:6" ht="12.75" customHeight="1" x14ac:dyDescent="0.2">
      <c r="A483" s="3"/>
      <c r="C483" s="114"/>
      <c r="E483" s="85"/>
      <c r="F483" s="59">
        <f t="shared" si="22"/>
        <v>0</v>
      </c>
    </row>
    <row r="484" spans="1:6" ht="12.75" customHeight="1" x14ac:dyDescent="0.2">
      <c r="A484" s="3"/>
      <c r="C484" s="114"/>
      <c r="E484" s="85"/>
      <c r="F484" s="59">
        <f t="shared" si="22"/>
        <v>0</v>
      </c>
    </row>
    <row r="485" spans="1:6" ht="12.75" customHeight="1" x14ac:dyDescent="0.2">
      <c r="A485" s="3"/>
      <c r="C485" s="114"/>
      <c r="E485" s="85"/>
      <c r="F485" s="59">
        <f t="shared" si="22"/>
        <v>0</v>
      </c>
    </row>
    <row r="486" spans="1:6" ht="12.75" customHeight="1" x14ac:dyDescent="0.2">
      <c r="A486" s="3"/>
      <c r="B486" s="86" t="s">
        <v>258</v>
      </c>
      <c r="C486" s="87"/>
      <c r="D486" s="88"/>
      <c r="E486" s="89"/>
      <c r="F486" s="90">
        <f>SUM(F479:F485)</f>
        <v>0</v>
      </c>
    </row>
    <row r="487" spans="1:6" ht="12.75" customHeight="1" x14ac:dyDescent="0.2">
      <c r="A487" s="3"/>
      <c r="B487" s="91" t="s">
        <v>261</v>
      </c>
      <c r="C487" s="15">
        <f>'A IX.'!$C$45</f>
        <v>0</v>
      </c>
      <c r="D487" s="92"/>
      <c r="E487" s="93"/>
      <c r="F487" s="94">
        <f>ROUND(F486*C487,2)</f>
        <v>0</v>
      </c>
    </row>
    <row r="488" spans="1:6" ht="12.75" customHeight="1" x14ac:dyDescent="0.2">
      <c r="A488" s="3"/>
      <c r="B488" s="91" t="s">
        <v>70</v>
      </c>
      <c r="C488" s="15">
        <f>$D$8</f>
        <v>0</v>
      </c>
      <c r="D488" s="92"/>
      <c r="E488" s="93"/>
      <c r="F488" s="94">
        <f>ROUND(SUM(F486:F487)*C488,2)</f>
        <v>0</v>
      </c>
    </row>
    <row r="489" spans="1:6" ht="12.75" customHeight="1" thickBot="1" x14ac:dyDescent="0.25">
      <c r="A489" s="98"/>
      <c r="B489" s="99" t="s">
        <v>262</v>
      </c>
      <c r="C489" s="100"/>
      <c r="D489" s="100"/>
      <c r="E489" s="101"/>
      <c r="F489" s="102">
        <f>SUM(F486:F488)</f>
        <v>0</v>
      </c>
    </row>
    <row r="490" spans="1:6" ht="12.75" customHeight="1" thickBot="1" x14ac:dyDescent="0.25">
      <c r="A490" s="252"/>
      <c r="B490" s="253"/>
      <c r="C490" s="254"/>
      <c r="D490" s="254"/>
      <c r="E490" s="255"/>
      <c r="F490" s="256"/>
    </row>
    <row r="491" spans="1:6" ht="30" customHeight="1" x14ac:dyDescent="0.2">
      <c r="A491" s="5" t="str">
        <f>'A IV.A'!$A$30</f>
        <v>2.1.6</v>
      </c>
      <c r="B491" s="416" t="str">
        <f>'A IV.A'!$B$30</f>
        <v>REMOÇÃO DE CALHAS, RUFOS, PINGADEIRAS E CONDUTORES VERTICAIS</v>
      </c>
      <c r="C491" s="526" t="s">
        <v>269</v>
      </c>
      <c r="D491" s="527"/>
      <c r="E491" s="417" t="str">
        <f>'A IV.A'!$C$30</f>
        <v>M</v>
      </c>
      <c r="F491" s="58">
        <f>ROUND(F511+F525+F537,2)</f>
        <v>0</v>
      </c>
    </row>
    <row r="492" spans="1:6" ht="12.75" customHeight="1" x14ac:dyDescent="0.2">
      <c r="A492" s="1" t="s">
        <v>17</v>
      </c>
      <c r="B492" s="418" t="s">
        <v>162</v>
      </c>
      <c r="C492" s="419" t="s">
        <v>263</v>
      </c>
      <c r="D492" s="419" t="s">
        <v>264</v>
      </c>
      <c r="E492" s="420" t="s">
        <v>265</v>
      </c>
      <c r="F492" s="57" t="s">
        <v>266</v>
      </c>
    </row>
    <row r="493" spans="1:6" ht="12.75" customHeight="1" x14ac:dyDescent="0.2">
      <c r="A493" s="6"/>
      <c r="B493" s="421"/>
      <c r="C493" s="114"/>
      <c r="D493" s="7"/>
      <c r="E493" s="85"/>
      <c r="F493" s="59">
        <f>ROUND(C493*E493,2)</f>
        <v>0</v>
      </c>
    </row>
    <row r="494" spans="1:6" ht="12.75" customHeight="1" x14ac:dyDescent="0.2">
      <c r="A494" s="6"/>
      <c r="B494" s="421"/>
      <c r="C494" s="114"/>
      <c r="D494" s="7"/>
      <c r="E494" s="85"/>
      <c r="F494" s="59">
        <f t="shared" ref="F494:F508" si="23">ROUND(C494*E494,2)</f>
        <v>0</v>
      </c>
    </row>
    <row r="495" spans="1:6" ht="12.75" customHeight="1" x14ac:dyDescent="0.2">
      <c r="A495" s="6"/>
      <c r="B495" s="421"/>
      <c r="C495" s="114"/>
      <c r="D495" s="7"/>
      <c r="E495" s="85"/>
      <c r="F495" s="59">
        <f t="shared" si="23"/>
        <v>0</v>
      </c>
    </row>
    <row r="496" spans="1:6" ht="12.75" customHeight="1" x14ac:dyDescent="0.2">
      <c r="A496" s="6"/>
      <c r="B496" s="421"/>
      <c r="C496" s="114"/>
      <c r="D496" s="7"/>
      <c r="E496" s="85"/>
      <c r="F496" s="59">
        <f t="shared" si="23"/>
        <v>0</v>
      </c>
    </row>
    <row r="497" spans="1:6" ht="12.75" customHeight="1" x14ac:dyDescent="0.2">
      <c r="A497" s="6"/>
      <c r="B497" s="421"/>
      <c r="C497" s="114"/>
      <c r="D497" s="7"/>
      <c r="E497" s="85"/>
      <c r="F497" s="59">
        <f t="shared" si="23"/>
        <v>0</v>
      </c>
    </row>
    <row r="498" spans="1:6" ht="12.75" customHeight="1" x14ac:dyDescent="0.2">
      <c r="A498" s="6"/>
      <c r="B498" s="421"/>
      <c r="C498" s="114"/>
      <c r="D498" s="7"/>
      <c r="E498" s="85"/>
      <c r="F498" s="59">
        <f t="shared" si="23"/>
        <v>0</v>
      </c>
    </row>
    <row r="499" spans="1:6" ht="12.75" customHeight="1" x14ac:dyDescent="0.2">
      <c r="A499" s="6"/>
      <c r="B499" s="421"/>
      <c r="C499" s="114"/>
      <c r="D499" s="7"/>
      <c r="E499" s="85"/>
      <c r="F499" s="59">
        <f t="shared" si="23"/>
        <v>0</v>
      </c>
    </row>
    <row r="500" spans="1:6" ht="12.75" customHeight="1" x14ac:dyDescent="0.2">
      <c r="A500" s="6"/>
      <c r="B500" s="421"/>
      <c r="C500" s="114"/>
      <c r="D500" s="7"/>
      <c r="E500" s="85"/>
      <c r="F500" s="59">
        <f t="shared" si="23"/>
        <v>0</v>
      </c>
    </row>
    <row r="501" spans="1:6" ht="12.75" customHeight="1" x14ac:dyDescent="0.2">
      <c r="A501" s="6"/>
      <c r="B501" s="421"/>
      <c r="C501" s="114"/>
      <c r="D501" s="7"/>
      <c r="E501" s="85"/>
      <c r="F501" s="59">
        <f t="shared" si="23"/>
        <v>0</v>
      </c>
    </row>
    <row r="502" spans="1:6" ht="12.75" customHeight="1" x14ac:dyDescent="0.2">
      <c r="A502" s="6"/>
      <c r="B502" s="421"/>
      <c r="C502" s="114"/>
      <c r="D502" s="7"/>
      <c r="E502" s="85"/>
      <c r="F502" s="59">
        <f t="shared" si="23"/>
        <v>0</v>
      </c>
    </row>
    <row r="503" spans="1:6" ht="12.75" customHeight="1" x14ac:dyDescent="0.2">
      <c r="A503" s="6"/>
      <c r="B503" s="421"/>
      <c r="C503" s="114"/>
      <c r="D503" s="7"/>
      <c r="E503" s="85"/>
      <c r="F503" s="59">
        <f t="shared" si="23"/>
        <v>0</v>
      </c>
    </row>
    <row r="504" spans="1:6" ht="12.75" customHeight="1" x14ac:dyDescent="0.2">
      <c r="A504" s="6"/>
      <c r="B504" s="421"/>
      <c r="C504" s="114"/>
      <c r="D504" s="423"/>
      <c r="E504" s="85"/>
      <c r="F504" s="59">
        <f t="shared" si="23"/>
        <v>0</v>
      </c>
    </row>
    <row r="505" spans="1:6" ht="12.75" customHeight="1" x14ac:dyDescent="0.2">
      <c r="A505" s="6"/>
      <c r="B505" s="421"/>
      <c r="C505" s="114"/>
      <c r="D505" s="423"/>
      <c r="E505" s="85"/>
      <c r="F505" s="59">
        <f t="shared" si="23"/>
        <v>0</v>
      </c>
    </row>
    <row r="506" spans="1:6" ht="12.75" customHeight="1" x14ac:dyDescent="0.2">
      <c r="A506" s="6"/>
      <c r="B506" s="421"/>
      <c r="C506" s="114"/>
      <c r="D506" s="423"/>
      <c r="E506" s="85"/>
      <c r="F506" s="59">
        <f t="shared" si="23"/>
        <v>0</v>
      </c>
    </row>
    <row r="507" spans="1:6" ht="12.75" customHeight="1" x14ac:dyDescent="0.2">
      <c r="A507" s="3"/>
      <c r="C507" s="114"/>
      <c r="E507" s="85"/>
      <c r="F507" s="59">
        <f t="shared" si="23"/>
        <v>0</v>
      </c>
    </row>
    <row r="508" spans="1:6" ht="12.75" customHeight="1" x14ac:dyDescent="0.2">
      <c r="A508" s="3"/>
      <c r="C508" s="114"/>
      <c r="E508" s="85"/>
      <c r="F508" s="59">
        <f t="shared" si="23"/>
        <v>0</v>
      </c>
    </row>
    <row r="509" spans="1:6" ht="12.75" customHeight="1" x14ac:dyDescent="0.2">
      <c r="A509" s="3"/>
      <c r="B509" s="86" t="s">
        <v>258</v>
      </c>
      <c r="C509" s="87"/>
      <c r="D509" s="88"/>
      <c r="E509" s="89"/>
      <c r="F509" s="90">
        <f>SUM(F493:F508)</f>
        <v>0</v>
      </c>
    </row>
    <row r="510" spans="1:6" ht="12.75" customHeight="1" x14ac:dyDescent="0.2">
      <c r="A510" s="3"/>
      <c r="B510" s="91" t="s">
        <v>70</v>
      </c>
      <c r="C510" s="15">
        <f>$D$8</f>
        <v>0</v>
      </c>
      <c r="D510" s="92"/>
      <c r="E510" s="93"/>
      <c r="F510" s="94">
        <f>ROUND(F509*C510,2)</f>
        <v>0</v>
      </c>
    </row>
    <row r="511" spans="1:6" ht="12.75" customHeight="1" x14ac:dyDescent="0.2">
      <c r="A511" s="95"/>
      <c r="B511" s="424" t="s">
        <v>259</v>
      </c>
      <c r="C511" s="425"/>
      <c r="D511" s="425"/>
      <c r="E511" s="426"/>
      <c r="F511" s="96">
        <f>F509+F510</f>
        <v>0</v>
      </c>
    </row>
    <row r="512" spans="1:6" ht="12.75" customHeight="1" x14ac:dyDescent="0.2">
      <c r="A512" s="1" t="s">
        <v>5</v>
      </c>
      <c r="B512" s="418" t="s">
        <v>267</v>
      </c>
      <c r="C512" s="419" t="s">
        <v>263</v>
      </c>
      <c r="D512" s="419" t="s">
        <v>264</v>
      </c>
      <c r="E512" s="420" t="s">
        <v>265</v>
      </c>
      <c r="F512" s="57" t="s">
        <v>266</v>
      </c>
    </row>
    <row r="513" spans="1:6" ht="12.75" customHeight="1" x14ac:dyDescent="0.2">
      <c r="A513" s="3"/>
      <c r="B513" s="71"/>
      <c r="C513" s="114"/>
      <c r="E513" s="85"/>
      <c r="F513" s="59">
        <f t="shared" ref="F513:F522" si="24">ROUND(C513*E513,2)</f>
        <v>0</v>
      </c>
    </row>
    <row r="514" spans="1:6" ht="12.75" customHeight="1" x14ac:dyDescent="0.2">
      <c r="A514" s="3"/>
      <c r="C514" s="114"/>
      <c r="E514" s="85"/>
      <c r="F514" s="59">
        <f t="shared" si="24"/>
        <v>0</v>
      </c>
    </row>
    <row r="515" spans="1:6" ht="12.75" customHeight="1" x14ac:dyDescent="0.2">
      <c r="A515" s="3"/>
      <c r="C515" s="114"/>
      <c r="E515" s="85"/>
      <c r="F515" s="59">
        <f t="shared" si="24"/>
        <v>0</v>
      </c>
    </row>
    <row r="516" spans="1:6" ht="12.75" customHeight="1" x14ac:dyDescent="0.2">
      <c r="A516" s="3"/>
      <c r="C516" s="114"/>
      <c r="E516" s="85"/>
      <c r="F516" s="59">
        <f t="shared" si="24"/>
        <v>0</v>
      </c>
    </row>
    <row r="517" spans="1:6" ht="12.75" customHeight="1" x14ac:dyDescent="0.2">
      <c r="A517" s="3"/>
      <c r="C517" s="114"/>
      <c r="E517" s="85"/>
      <c r="F517" s="59">
        <f t="shared" si="24"/>
        <v>0</v>
      </c>
    </row>
    <row r="518" spans="1:6" ht="12.75" customHeight="1" x14ac:dyDescent="0.2">
      <c r="A518" s="3"/>
      <c r="C518" s="114"/>
      <c r="E518" s="85"/>
      <c r="F518" s="59">
        <f t="shared" si="24"/>
        <v>0</v>
      </c>
    </row>
    <row r="519" spans="1:6" ht="12.75" customHeight="1" x14ac:dyDescent="0.2">
      <c r="A519" s="3"/>
      <c r="C519" s="114"/>
      <c r="E519" s="85"/>
      <c r="F519" s="59">
        <f t="shared" si="24"/>
        <v>0</v>
      </c>
    </row>
    <row r="520" spans="1:6" ht="12.75" customHeight="1" x14ac:dyDescent="0.2">
      <c r="A520" s="3"/>
      <c r="C520" s="114"/>
      <c r="E520" s="85"/>
      <c r="F520" s="59">
        <f t="shared" si="24"/>
        <v>0</v>
      </c>
    </row>
    <row r="521" spans="1:6" ht="12.75" customHeight="1" x14ac:dyDescent="0.2">
      <c r="A521" s="3"/>
      <c r="C521" s="114"/>
      <c r="E521" s="85"/>
      <c r="F521" s="59">
        <f t="shared" si="24"/>
        <v>0</v>
      </c>
    </row>
    <row r="522" spans="1:6" ht="12.75" customHeight="1" x14ac:dyDescent="0.2">
      <c r="A522" s="3"/>
      <c r="C522" s="114"/>
      <c r="E522" s="85"/>
      <c r="F522" s="59">
        <f t="shared" si="24"/>
        <v>0</v>
      </c>
    </row>
    <row r="523" spans="1:6" ht="12.75" customHeight="1" x14ac:dyDescent="0.2">
      <c r="A523" s="3"/>
      <c r="B523" s="86" t="s">
        <v>258</v>
      </c>
      <c r="C523" s="87"/>
      <c r="D523" s="88"/>
      <c r="E523" s="89"/>
      <c r="F523" s="90">
        <f>SUM(F513:F522)</f>
        <v>0</v>
      </c>
    </row>
    <row r="524" spans="1:6" ht="12.75" customHeight="1" x14ac:dyDescent="0.2">
      <c r="A524" s="3"/>
      <c r="B524" s="91" t="s">
        <v>70</v>
      </c>
      <c r="C524" s="15">
        <f>$D$8</f>
        <v>0</v>
      </c>
      <c r="D524" s="92"/>
      <c r="E524" s="93"/>
      <c r="F524" s="94">
        <f>ROUND(C524*F523,2)</f>
        <v>0</v>
      </c>
    </row>
    <row r="525" spans="1:6" ht="12.75" customHeight="1" x14ac:dyDescent="0.2">
      <c r="A525" s="95"/>
      <c r="B525" s="424" t="s">
        <v>260</v>
      </c>
      <c r="C525" s="425"/>
      <c r="D525" s="425"/>
      <c r="E525" s="426"/>
      <c r="F525" s="96">
        <f>F523+F524</f>
        <v>0</v>
      </c>
    </row>
    <row r="526" spans="1:6" ht="12.75" customHeight="1" x14ac:dyDescent="0.2">
      <c r="A526" s="97" t="s">
        <v>54</v>
      </c>
      <c r="B526" s="427" t="s">
        <v>268</v>
      </c>
      <c r="C526" s="428" t="s">
        <v>263</v>
      </c>
      <c r="D526" s="429" t="s">
        <v>264</v>
      </c>
      <c r="E526" s="430" t="s">
        <v>265</v>
      </c>
      <c r="F526" s="57" t="s">
        <v>266</v>
      </c>
    </row>
    <row r="527" spans="1:6" ht="12.75" customHeight="1" x14ac:dyDescent="0.2">
      <c r="A527" s="3" t="str">
        <f>'A VII.'!$A$196</f>
        <v>3.16</v>
      </c>
      <c r="B527" s="74" t="s">
        <v>189</v>
      </c>
      <c r="C527" s="114">
        <v>0.2334</v>
      </c>
      <c r="D527" s="54" t="str">
        <f>VLOOKUP(A527,'A VII.'!$A$10:$D$199,3,FALSE)</f>
        <v>H</v>
      </c>
      <c r="E527" s="85">
        <f>'A VII.'!$D$196</f>
        <v>0</v>
      </c>
      <c r="F527" s="59">
        <f t="shared" ref="F527:F533" si="25">ROUND(C527*E527,2)</f>
        <v>0</v>
      </c>
    </row>
    <row r="528" spans="1:6" ht="12.75" customHeight="1" x14ac:dyDescent="0.2">
      <c r="A528" s="3"/>
      <c r="C528" s="114"/>
      <c r="E528" s="85"/>
      <c r="F528" s="59">
        <f t="shared" si="25"/>
        <v>0</v>
      </c>
    </row>
    <row r="529" spans="1:6" ht="12.75" customHeight="1" x14ac:dyDescent="0.2">
      <c r="A529" s="3"/>
      <c r="C529" s="114"/>
      <c r="E529" s="85"/>
      <c r="F529" s="59">
        <f t="shared" si="25"/>
        <v>0</v>
      </c>
    </row>
    <row r="530" spans="1:6" ht="12.75" customHeight="1" x14ac:dyDescent="0.2">
      <c r="A530" s="3"/>
      <c r="C530" s="114"/>
      <c r="E530" s="85"/>
      <c r="F530" s="59">
        <f t="shared" si="25"/>
        <v>0</v>
      </c>
    </row>
    <row r="531" spans="1:6" ht="12.75" customHeight="1" x14ac:dyDescent="0.2">
      <c r="A531" s="3"/>
      <c r="C531" s="114"/>
      <c r="E531" s="85"/>
      <c r="F531" s="59">
        <f t="shared" si="25"/>
        <v>0</v>
      </c>
    </row>
    <row r="532" spans="1:6" ht="12.75" customHeight="1" x14ac:dyDescent="0.2">
      <c r="A532" s="3"/>
      <c r="C532" s="114"/>
      <c r="E532" s="85"/>
      <c r="F532" s="59">
        <f t="shared" si="25"/>
        <v>0</v>
      </c>
    </row>
    <row r="533" spans="1:6" ht="12.75" customHeight="1" x14ac:dyDescent="0.2">
      <c r="A533" s="3"/>
      <c r="C533" s="114"/>
      <c r="E533" s="85"/>
      <c r="F533" s="59">
        <f t="shared" si="25"/>
        <v>0</v>
      </c>
    </row>
    <row r="534" spans="1:6" ht="12.75" customHeight="1" x14ac:dyDescent="0.2">
      <c r="A534" s="3"/>
      <c r="B534" s="86" t="s">
        <v>258</v>
      </c>
      <c r="C534" s="87"/>
      <c r="D534" s="88"/>
      <c r="E534" s="89"/>
      <c r="F534" s="90">
        <f>SUM(F527:F533)</f>
        <v>0</v>
      </c>
    </row>
    <row r="535" spans="1:6" ht="12.75" customHeight="1" x14ac:dyDescent="0.2">
      <c r="A535" s="3"/>
      <c r="B535" s="91" t="s">
        <v>261</v>
      </c>
      <c r="C535" s="15">
        <f>'A IX.'!$C$45</f>
        <v>0</v>
      </c>
      <c r="D535" s="92"/>
      <c r="E535" s="93"/>
      <c r="F535" s="94">
        <f>ROUND(F534*C535,2)</f>
        <v>0</v>
      </c>
    </row>
    <row r="536" spans="1:6" ht="12.75" customHeight="1" x14ac:dyDescent="0.2">
      <c r="A536" s="3"/>
      <c r="B536" s="91" t="s">
        <v>70</v>
      </c>
      <c r="C536" s="15">
        <f>$D$8</f>
        <v>0</v>
      </c>
      <c r="D536" s="92"/>
      <c r="E536" s="93"/>
      <c r="F536" s="94">
        <f>ROUND(SUM(F534:F535)*C536,2)</f>
        <v>0</v>
      </c>
    </row>
    <row r="537" spans="1:6" ht="12.75" customHeight="1" thickBot="1" x14ac:dyDescent="0.25">
      <c r="A537" s="98"/>
      <c r="B537" s="99" t="s">
        <v>262</v>
      </c>
      <c r="C537" s="100"/>
      <c r="D537" s="100"/>
      <c r="E537" s="101"/>
      <c r="F537" s="102">
        <f>SUM(F534:F536)</f>
        <v>0</v>
      </c>
    </row>
    <row r="538" spans="1:6" ht="12.75" customHeight="1" thickBot="1" x14ac:dyDescent="0.25">
      <c r="A538" s="81"/>
      <c r="B538" s="82"/>
      <c r="C538" s="83"/>
      <c r="D538" s="83"/>
      <c r="E538" s="84"/>
      <c r="F538" s="103"/>
    </row>
    <row r="539" spans="1:6" ht="30" customHeight="1" x14ac:dyDescent="0.2">
      <c r="A539" s="5" t="str">
        <f>'A IV.A'!$A$31</f>
        <v>2.1.7</v>
      </c>
      <c r="B539" s="416" t="str">
        <f>'A IV.A'!$B$31</f>
        <v>REMOÇÃO COMPLETA DE CERCA DE ALAMBRADO COM OU SEM REAPROVEITAMENTO</v>
      </c>
      <c r="C539" s="526" t="s">
        <v>269</v>
      </c>
      <c r="D539" s="527"/>
      <c r="E539" s="417" t="str">
        <f>'A IV.A'!$C$31</f>
        <v>M</v>
      </c>
      <c r="F539" s="58">
        <f>ROUND(F559+F573+F585,2)</f>
        <v>0</v>
      </c>
    </row>
    <row r="540" spans="1:6" ht="12.75" customHeight="1" x14ac:dyDescent="0.2">
      <c r="A540" s="1" t="s">
        <v>17</v>
      </c>
      <c r="B540" s="418" t="s">
        <v>162</v>
      </c>
      <c r="C540" s="419" t="s">
        <v>263</v>
      </c>
      <c r="D540" s="419" t="s">
        <v>264</v>
      </c>
      <c r="E540" s="420" t="s">
        <v>265</v>
      </c>
      <c r="F540" s="57" t="s">
        <v>266</v>
      </c>
    </row>
    <row r="541" spans="1:6" ht="12.75" customHeight="1" x14ac:dyDescent="0.2">
      <c r="A541" s="6"/>
      <c r="B541" s="421"/>
      <c r="C541" s="114"/>
      <c r="D541" s="7"/>
      <c r="E541" s="85"/>
      <c r="F541" s="59">
        <f>ROUND(C541*E541,2)</f>
        <v>0</v>
      </c>
    </row>
    <row r="542" spans="1:6" ht="12.75" customHeight="1" x14ac:dyDescent="0.2">
      <c r="A542" s="6"/>
      <c r="B542" s="421"/>
      <c r="C542" s="114"/>
      <c r="D542" s="7"/>
      <c r="E542" s="85"/>
      <c r="F542" s="59">
        <f t="shared" ref="F542:F556" si="26">ROUND(C542*E542,2)</f>
        <v>0</v>
      </c>
    </row>
    <row r="543" spans="1:6" ht="12.75" customHeight="1" x14ac:dyDescent="0.2">
      <c r="A543" s="6"/>
      <c r="B543" s="421"/>
      <c r="C543" s="114"/>
      <c r="D543" s="7"/>
      <c r="E543" s="85"/>
      <c r="F543" s="59">
        <f t="shared" si="26"/>
        <v>0</v>
      </c>
    </row>
    <row r="544" spans="1:6" ht="12.75" customHeight="1" x14ac:dyDescent="0.2">
      <c r="A544" s="6"/>
      <c r="B544" s="421"/>
      <c r="C544" s="114"/>
      <c r="D544" s="7"/>
      <c r="E544" s="85"/>
      <c r="F544" s="59">
        <f t="shared" si="26"/>
        <v>0</v>
      </c>
    </row>
    <row r="545" spans="1:6" ht="12.75" customHeight="1" x14ac:dyDescent="0.2">
      <c r="A545" s="6"/>
      <c r="B545" s="421"/>
      <c r="C545" s="114"/>
      <c r="D545" s="7"/>
      <c r="E545" s="85"/>
      <c r="F545" s="59">
        <f t="shared" si="26"/>
        <v>0</v>
      </c>
    </row>
    <row r="546" spans="1:6" ht="12.75" customHeight="1" x14ac:dyDescent="0.2">
      <c r="A546" s="6"/>
      <c r="B546" s="421"/>
      <c r="C546" s="114"/>
      <c r="D546" s="7"/>
      <c r="E546" s="85"/>
      <c r="F546" s="59">
        <f t="shared" si="26"/>
        <v>0</v>
      </c>
    </row>
    <row r="547" spans="1:6" ht="12.75" customHeight="1" x14ac:dyDescent="0.2">
      <c r="A547" s="6"/>
      <c r="B547" s="421"/>
      <c r="C547" s="114"/>
      <c r="D547" s="7"/>
      <c r="E547" s="85"/>
      <c r="F547" s="59">
        <f t="shared" si="26"/>
        <v>0</v>
      </c>
    </row>
    <row r="548" spans="1:6" ht="12.75" customHeight="1" x14ac:dyDescent="0.2">
      <c r="A548" s="6"/>
      <c r="B548" s="421"/>
      <c r="C548" s="114"/>
      <c r="D548" s="7"/>
      <c r="E548" s="85"/>
      <c r="F548" s="59">
        <f t="shared" si="26"/>
        <v>0</v>
      </c>
    </row>
    <row r="549" spans="1:6" ht="12.75" customHeight="1" x14ac:dyDescent="0.2">
      <c r="A549" s="6"/>
      <c r="B549" s="421"/>
      <c r="C549" s="114"/>
      <c r="D549" s="7"/>
      <c r="E549" s="85"/>
      <c r="F549" s="59">
        <f t="shared" si="26"/>
        <v>0</v>
      </c>
    </row>
    <row r="550" spans="1:6" ht="12.75" customHeight="1" x14ac:dyDescent="0.2">
      <c r="A550" s="6"/>
      <c r="B550" s="421"/>
      <c r="C550" s="114"/>
      <c r="D550" s="7"/>
      <c r="E550" s="85"/>
      <c r="F550" s="59">
        <f t="shared" si="26"/>
        <v>0</v>
      </c>
    </row>
    <row r="551" spans="1:6" ht="12.75" customHeight="1" x14ac:dyDescent="0.2">
      <c r="A551" s="6"/>
      <c r="B551" s="421"/>
      <c r="C551" s="114"/>
      <c r="D551" s="7"/>
      <c r="E551" s="85"/>
      <c r="F551" s="59">
        <f t="shared" si="26"/>
        <v>0</v>
      </c>
    </row>
    <row r="552" spans="1:6" ht="12.75" customHeight="1" x14ac:dyDescent="0.2">
      <c r="A552" s="6"/>
      <c r="B552" s="421"/>
      <c r="C552" s="114"/>
      <c r="D552" s="423"/>
      <c r="E552" s="85"/>
      <c r="F552" s="59">
        <f t="shared" si="26"/>
        <v>0</v>
      </c>
    </row>
    <row r="553" spans="1:6" ht="12.75" customHeight="1" x14ac:dyDescent="0.2">
      <c r="A553" s="6"/>
      <c r="B553" s="421"/>
      <c r="C553" s="114"/>
      <c r="D553" s="423"/>
      <c r="E553" s="85"/>
      <c r="F553" s="59">
        <f t="shared" si="26"/>
        <v>0</v>
      </c>
    </row>
    <row r="554" spans="1:6" ht="12.75" customHeight="1" x14ac:dyDescent="0.2">
      <c r="A554" s="6"/>
      <c r="B554" s="421"/>
      <c r="C554" s="114"/>
      <c r="D554" s="423"/>
      <c r="E554" s="85"/>
      <c r="F554" s="59">
        <f t="shared" si="26"/>
        <v>0</v>
      </c>
    </row>
    <row r="555" spans="1:6" ht="12.75" customHeight="1" x14ac:dyDescent="0.2">
      <c r="A555" s="3"/>
      <c r="C555" s="114"/>
      <c r="E555" s="85"/>
      <c r="F555" s="59">
        <f t="shared" si="26"/>
        <v>0</v>
      </c>
    </row>
    <row r="556" spans="1:6" ht="12.75" customHeight="1" x14ac:dyDescent="0.2">
      <c r="A556" s="3"/>
      <c r="C556" s="114"/>
      <c r="E556" s="85"/>
      <c r="F556" s="59">
        <f t="shared" si="26"/>
        <v>0</v>
      </c>
    </row>
    <row r="557" spans="1:6" ht="12.75" customHeight="1" x14ac:dyDescent="0.2">
      <c r="A557" s="3"/>
      <c r="B557" s="86" t="s">
        <v>258</v>
      </c>
      <c r="C557" s="87"/>
      <c r="D557" s="88"/>
      <c r="E557" s="89"/>
      <c r="F557" s="90">
        <f>SUM(F541:F556)</f>
        <v>0</v>
      </c>
    </row>
    <row r="558" spans="1:6" ht="12.75" customHeight="1" x14ac:dyDescent="0.2">
      <c r="A558" s="3"/>
      <c r="B558" s="91" t="s">
        <v>70</v>
      </c>
      <c r="C558" s="15">
        <f>$D$8</f>
        <v>0</v>
      </c>
      <c r="D558" s="92"/>
      <c r="E558" s="93"/>
      <c r="F558" s="94">
        <f>ROUND(F557*C558,2)</f>
        <v>0</v>
      </c>
    </row>
    <row r="559" spans="1:6" ht="12.75" customHeight="1" x14ac:dyDescent="0.2">
      <c r="A559" s="95"/>
      <c r="B559" s="424" t="s">
        <v>259</v>
      </c>
      <c r="C559" s="425"/>
      <c r="D559" s="425"/>
      <c r="E559" s="426"/>
      <c r="F559" s="96">
        <f>F557+F558</f>
        <v>0</v>
      </c>
    </row>
    <row r="560" spans="1:6" ht="12.75" customHeight="1" x14ac:dyDescent="0.2">
      <c r="A560" s="1" t="s">
        <v>5</v>
      </c>
      <c r="B560" s="418" t="s">
        <v>267</v>
      </c>
      <c r="C560" s="419" t="s">
        <v>263</v>
      </c>
      <c r="D560" s="419" t="s">
        <v>264</v>
      </c>
      <c r="E560" s="420" t="s">
        <v>265</v>
      </c>
      <c r="F560" s="57" t="s">
        <v>266</v>
      </c>
    </row>
    <row r="561" spans="1:6" ht="12.75" customHeight="1" x14ac:dyDescent="0.2">
      <c r="A561" s="3"/>
      <c r="B561" s="71"/>
      <c r="C561" s="114"/>
      <c r="E561" s="85"/>
      <c r="F561" s="59">
        <f t="shared" ref="F561:F570" si="27">ROUND(C561*E561,2)</f>
        <v>0</v>
      </c>
    </row>
    <row r="562" spans="1:6" ht="12.75" customHeight="1" x14ac:dyDescent="0.2">
      <c r="A562" s="3"/>
      <c r="C562" s="114"/>
      <c r="E562" s="85"/>
      <c r="F562" s="59">
        <f t="shared" si="27"/>
        <v>0</v>
      </c>
    </row>
    <row r="563" spans="1:6" ht="12.75" customHeight="1" x14ac:dyDescent="0.2">
      <c r="A563" s="3"/>
      <c r="C563" s="114"/>
      <c r="E563" s="85"/>
      <c r="F563" s="59">
        <f t="shared" si="27"/>
        <v>0</v>
      </c>
    </row>
    <row r="564" spans="1:6" ht="12.75" customHeight="1" x14ac:dyDescent="0.2">
      <c r="A564" s="3"/>
      <c r="C564" s="114"/>
      <c r="E564" s="85"/>
      <c r="F564" s="59">
        <f t="shared" si="27"/>
        <v>0</v>
      </c>
    </row>
    <row r="565" spans="1:6" ht="12.75" customHeight="1" x14ac:dyDescent="0.2">
      <c r="A565" s="3"/>
      <c r="C565" s="114"/>
      <c r="E565" s="85"/>
      <c r="F565" s="59">
        <f t="shared" si="27"/>
        <v>0</v>
      </c>
    </row>
    <row r="566" spans="1:6" ht="12.75" customHeight="1" x14ac:dyDescent="0.2">
      <c r="A566" s="3"/>
      <c r="C566" s="114"/>
      <c r="E566" s="85"/>
      <c r="F566" s="59">
        <f t="shared" si="27"/>
        <v>0</v>
      </c>
    </row>
    <row r="567" spans="1:6" ht="12.75" customHeight="1" x14ac:dyDescent="0.2">
      <c r="A567" s="3"/>
      <c r="C567" s="114"/>
      <c r="E567" s="85"/>
      <c r="F567" s="59">
        <f t="shared" si="27"/>
        <v>0</v>
      </c>
    </row>
    <row r="568" spans="1:6" ht="12.75" customHeight="1" x14ac:dyDescent="0.2">
      <c r="A568" s="3"/>
      <c r="C568" s="114"/>
      <c r="E568" s="85"/>
      <c r="F568" s="59">
        <f t="shared" si="27"/>
        <v>0</v>
      </c>
    </row>
    <row r="569" spans="1:6" ht="12.75" customHeight="1" x14ac:dyDescent="0.2">
      <c r="A569" s="3"/>
      <c r="C569" s="114"/>
      <c r="E569" s="85"/>
      <c r="F569" s="59">
        <f t="shared" si="27"/>
        <v>0</v>
      </c>
    </row>
    <row r="570" spans="1:6" ht="12.75" customHeight="1" x14ac:dyDescent="0.2">
      <c r="A570" s="3"/>
      <c r="C570" s="114"/>
      <c r="E570" s="85"/>
      <c r="F570" s="59">
        <f t="shared" si="27"/>
        <v>0</v>
      </c>
    </row>
    <row r="571" spans="1:6" ht="12.75" customHeight="1" x14ac:dyDescent="0.2">
      <c r="A571" s="3"/>
      <c r="B571" s="86" t="s">
        <v>258</v>
      </c>
      <c r="C571" s="87"/>
      <c r="D571" s="88"/>
      <c r="E571" s="89"/>
      <c r="F571" s="90">
        <f>SUM(F561:F570)</f>
        <v>0</v>
      </c>
    </row>
    <row r="572" spans="1:6" ht="12.75" customHeight="1" x14ac:dyDescent="0.2">
      <c r="A572" s="3"/>
      <c r="B572" s="91" t="s">
        <v>70</v>
      </c>
      <c r="C572" s="15">
        <f>$D$8</f>
        <v>0</v>
      </c>
      <c r="D572" s="92"/>
      <c r="E572" s="93"/>
      <c r="F572" s="94">
        <f>ROUND(C572*F571,2)</f>
        <v>0</v>
      </c>
    </row>
    <row r="573" spans="1:6" ht="12.75" customHeight="1" x14ac:dyDescent="0.2">
      <c r="A573" s="95"/>
      <c r="B573" s="424" t="s">
        <v>260</v>
      </c>
      <c r="C573" s="425"/>
      <c r="D573" s="425"/>
      <c r="E573" s="426"/>
      <c r="F573" s="96">
        <f>F571+F572</f>
        <v>0</v>
      </c>
    </row>
    <row r="574" spans="1:6" ht="12.75" customHeight="1" x14ac:dyDescent="0.2">
      <c r="A574" s="97" t="s">
        <v>54</v>
      </c>
      <c r="B574" s="427" t="s">
        <v>268</v>
      </c>
      <c r="C574" s="428" t="s">
        <v>263</v>
      </c>
      <c r="D574" s="429" t="s">
        <v>264</v>
      </c>
      <c r="E574" s="430" t="s">
        <v>265</v>
      </c>
      <c r="F574" s="57" t="s">
        <v>266</v>
      </c>
    </row>
    <row r="575" spans="1:6" ht="12.75" customHeight="1" x14ac:dyDescent="0.2">
      <c r="A575" s="3" t="str">
        <f>'A VII.'!$A$196</f>
        <v>3.16</v>
      </c>
      <c r="B575" s="74" t="s">
        <v>189</v>
      </c>
      <c r="C575" s="114">
        <v>2</v>
      </c>
      <c r="D575" s="54" t="str">
        <f>VLOOKUP(A575,'A VII.'!$A$10:$D$199,3,FALSE)</f>
        <v>H</v>
      </c>
      <c r="E575" s="85">
        <f>'A VII.'!$D$196</f>
        <v>0</v>
      </c>
      <c r="F575" s="59">
        <f t="shared" ref="F575:F581" si="28">ROUND(C575*E575,2)</f>
        <v>0</v>
      </c>
    </row>
    <row r="576" spans="1:6" ht="12.75" customHeight="1" x14ac:dyDescent="0.2">
      <c r="A576" s="3"/>
      <c r="C576" s="114"/>
      <c r="E576" s="85"/>
      <c r="F576" s="59">
        <f t="shared" si="28"/>
        <v>0</v>
      </c>
    </row>
    <row r="577" spans="1:6" ht="12.75" customHeight="1" x14ac:dyDescent="0.2">
      <c r="A577" s="3"/>
      <c r="C577" s="114"/>
      <c r="E577" s="85"/>
      <c r="F577" s="59">
        <f t="shared" si="28"/>
        <v>0</v>
      </c>
    </row>
    <row r="578" spans="1:6" ht="12.75" customHeight="1" x14ac:dyDescent="0.2">
      <c r="A578" s="3"/>
      <c r="C578" s="114"/>
      <c r="E578" s="85"/>
      <c r="F578" s="59">
        <f t="shared" si="28"/>
        <v>0</v>
      </c>
    </row>
    <row r="579" spans="1:6" ht="12.75" customHeight="1" x14ac:dyDescent="0.2">
      <c r="A579" s="3"/>
      <c r="C579" s="114"/>
      <c r="E579" s="85"/>
      <c r="F579" s="59">
        <f t="shared" si="28"/>
        <v>0</v>
      </c>
    </row>
    <row r="580" spans="1:6" ht="12.75" customHeight="1" x14ac:dyDescent="0.2">
      <c r="A580" s="3"/>
      <c r="C580" s="114"/>
      <c r="E580" s="85"/>
      <c r="F580" s="59">
        <f t="shared" si="28"/>
        <v>0</v>
      </c>
    </row>
    <row r="581" spans="1:6" ht="12.75" customHeight="1" x14ac:dyDescent="0.2">
      <c r="A581" s="3"/>
      <c r="C581" s="114"/>
      <c r="E581" s="85"/>
      <c r="F581" s="59">
        <f t="shared" si="28"/>
        <v>0</v>
      </c>
    </row>
    <row r="582" spans="1:6" ht="12.75" customHeight="1" x14ac:dyDescent="0.2">
      <c r="A582" s="3"/>
      <c r="B582" s="86" t="s">
        <v>258</v>
      </c>
      <c r="C582" s="87"/>
      <c r="D582" s="88"/>
      <c r="E582" s="89"/>
      <c r="F582" s="90">
        <f>SUM(F575:F581)</f>
        <v>0</v>
      </c>
    </row>
    <row r="583" spans="1:6" ht="12.75" customHeight="1" x14ac:dyDescent="0.2">
      <c r="A583" s="3"/>
      <c r="B583" s="91" t="s">
        <v>261</v>
      </c>
      <c r="C583" s="15">
        <f>'A IX.'!$C$45</f>
        <v>0</v>
      </c>
      <c r="D583" s="92"/>
      <c r="E583" s="93"/>
      <c r="F583" s="94">
        <f>ROUND(F582*C583,2)</f>
        <v>0</v>
      </c>
    </row>
    <row r="584" spans="1:6" ht="12.75" customHeight="1" x14ac:dyDescent="0.2">
      <c r="A584" s="3"/>
      <c r="B584" s="91" t="s">
        <v>70</v>
      </c>
      <c r="C584" s="15">
        <f>$D$8</f>
        <v>0</v>
      </c>
      <c r="D584" s="92"/>
      <c r="E584" s="93"/>
      <c r="F584" s="94">
        <f>ROUND(SUM(F582:F583)*C584,2)</f>
        <v>0</v>
      </c>
    </row>
    <row r="585" spans="1:6" ht="12.75" customHeight="1" thickBot="1" x14ac:dyDescent="0.25">
      <c r="A585" s="98"/>
      <c r="B585" s="99" t="s">
        <v>262</v>
      </c>
      <c r="C585" s="100"/>
      <c r="D585" s="100"/>
      <c r="E585" s="101"/>
      <c r="F585" s="102">
        <f>SUM(F582:F584)</f>
        <v>0</v>
      </c>
    </row>
    <row r="586" spans="1:6" ht="12.75" customHeight="1" thickBot="1" x14ac:dyDescent="0.25">
      <c r="A586" s="81"/>
      <c r="B586" s="82"/>
      <c r="C586" s="83"/>
      <c r="D586" s="83"/>
      <c r="E586" s="84"/>
      <c r="F586" s="103"/>
    </row>
    <row r="587" spans="1:6" ht="30" customHeight="1" x14ac:dyDescent="0.2">
      <c r="A587" s="5" t="str">
        <f>'A IV.A'!$A$33</f>
        <v>2.2.1</v>
      </c>
      <c r="B587" s="416" t="str">
        <f>'A IV.A'!$B$33</f>
        <v>CARGA MANUAL DE MATERIAIS PROVENIENTES DE DEMOLIÇÕES EM GERAL</v>
      </c>
      <c r="C587" s="526" t="s">
        <v>269</v>
      </c>
      <c r="D587" s="527"/>
      <c r="E587" s="417" t="str">
        <f>'A IV.A'!$C$33</f>
        <v>M3</v>
      </c>
      <c r="F587" s="58">
        <f>ROUND(F607+F621+F633,2)</f>
        <v>0</v>
      </c>
    </row>
    <row r="588" spans="1:6" ht="12.75" customHeight="1" x14ac:dyDescent="0.2">
      <c r="A588" s="1" t="s">
        <v>17</v>
      </c>
      <c r="B588" s="418" t="s">
        <v>162</v>
      </c>
      <c r="C588" s="419" t="s">
        <v>263</v>
      </c>
      <c r="D588" s="419" t="s">
        <v>264</v>
      </c>
      <c r="E588" s="420" t="s">
        <v>265</v>
      </c>
      <c r="F588" s="57" t="s">
        <v>266</v>
      </c>
    </row>
    <row r="589" spans="1:6" ht="12.75" customHeight="1" x14ac:dyDescent="0.2">
      <c r="A589" s="6"/>
      <c r="B589" s="421"/>
      <c r="C589" s="114"/>
      <c r="D589" s="7"/>
      <c r="E589" s="85"/>
      <c r="F589" s="59">
        <f>ROUND(C589*E589,2)</f>
        <v>0</v>
      </c>
    </row>
    <row r="590" spans="1:6" ht="12.75" customHeight="1" x14ac:dyDescent="0.2">
      <c r="A590" s="6"/>
      <c r="B590" s="421"/>
      <c r="C590" s="114"/>
      <c r="D590" s="7"/>
      <c r="E590" s="85"/>
      <c r="F590" s="59">
        <f t="shared" ref="F590:F604" si="29">ROUND(C590*E590,2)</f>
        <v>0</v>
      </c>
    </row>
    <row r="591" spans="1:6" ht="12.75" customHeight="1" x14ac:dyDescent="0.2">
      <c r="A591" s="6"/>
      <c r="B591" s="421"/>
      <c r="C591" s="114"/>
      <c r="D591" s="7"/>
      <c r="E591" s="85"/>
      <c r="F591" s="59">
        <f t="shared" si="29"/>
        <v>0</v>
      </c>
    </row>
    <row r="592" spans="1:6" ht="12.75" customHeight="1" x14ac:dyDescent="0.2">
      <c r="A592" s="6"/>
      <c r="B592" s="421"/>
      <c r="C592" s="114"/>
      <c r="D592" s="7"/>
      <c r="E592" s="85"/>
      <c r="F592" s="59">
        <f t="shared" si="29"/>
        <v>0</v>
      </c>
    </row>
    <row r="593" spans="1:6" ht="12.75" customHeight="1" x14ac:dyDescent="0.2">
      <c r="A593" s="6"/>
      <c r="B593" s="421"/>
      <c r="C593" s="114"/>
      <c r="D593" s="7"/>
      <c r="E593" s="85"/>
      <c r="F593" s="59">
        <f t="shared" si="29"/>
        <v>0</v>
      </c>
    </row>
    <row r="594" spans="1:6" ht="12.75" customHeight="1" x14ac:dyDescent="0.2">
      <c r="A594" s="6"/>
      <c r="B594" s="421"/>
      <c r="C594" s="114"/>
      <c r="D594" s="7"/>
      <c r="E594" s="85"/>
      <c r="F594" s="59">
        <f t="shared" si="29"/>
        <v>0</v>
      </c>
    </row>
    <row r="595" spans="1:6" ht="12.75" customHeight="1" x14ac:dyDescent="0.2">
      <c r="A595" s="6"/>
      <c r="B595" s="421"/>
      <c r="C595" s="114"/>
      <c r="D595" s="7"/>
      <c r="E595" s="85"/>
      <c r="F595" s="59">
        <f t="shared" si="29"/>
        <v>0</v>
      </c>
    </row>
    <row r="596" spans="1:6" ht="12.75" customHeight="1" x14ac:dyDescent="0.2">
      <c r="A596" s="6"/>
      <c r="B596" s="421"/>
      <c r="C596" s="114"/>
      <c r="D596" s="7"/>
      <c r="E596" s="85"/>
      <c r="F596" s="59">
        <f t="shared" si="29"/>
        <v>0</v>
      </c>
    </row>
    <row r="597" spans="1:6" ht="12.75" customHeight="1" x14ac:dyDescent="0.2">
      <c r="A597" s="6"/>
      <c r="B597" s="421"/>
      <c r="C597" s="114"/>
      <c r="D597" s="7"/>
      <c r="E597" s="85"/>
      <c r="F597" s="59">
        <f t="shared" si="29"/>
        <v>0</v>
      </c>
    </row>
    <row r="598" spans="1:6" ht="12.75" customHeight="1" x14ac:dyDescent="0.2">
      <c r="A598" s="6"/>
      <c r="B598" s="421"/>
      <c r="C598" s="114"/>
      <c r="D598" s="7"/>
      <c r="E598" s="85"/>
      <c r="F598" s="59">
        <f t="shared" si="29"/>
        <v>0</v>
      </c>
    </row>
    <row r="599" spans="1:6" ht="12.75" customHeight="1" x14ac:dyDescent="0.2">
      <c r="A599" s="6"/>
      <c r="B599" s="421"/>
      <c r="C599" s="114"/>
      <c r="D599" s="7"/>
      <c r="E599" s="85"/>
      <c r="F599" s="59">
        <f t="shared" si="29"/>
        <v>0</v>
      </c>
    </row>
    <row r="600" spans="1:6" ht="12.75" customHeight="1" x14ac:dyDescent="0.2">
      <c r="A600" s="6"/>
      <c r="B600" s="421"/>
      <c r="C600" s="114"/>
      <c r="D600" s="423"/>
      <c r="E600" s="85"/>
      <c r="F600" s="59">
        <f t="shared" si="29"/>
        <v>0</v>
      </c>
    </row>
    <row r="601" spans="1:6" ht="12.75" customHeight="1" x14ac:dyDescent="0.2">
      <c r="A601" s="6"/>
      <c r="B601" s="421"/>
      <c r="C601" s="114"/>
      <c r="D601" s="423"/>
      <c r="E601" s="85"/>
      <c r="F601" s="59">
        <f t="shared" si="29"/>
        <v>0</v>
      </c>
    </row>
    <row r="602" spans="1:6" ht="12.75" customHeight="1" x14ac:dyDescent="0.2">
      <c r="A602" s="6"/>
      <c r="B602" s="421"/>
      <c r="C602" s="114"/>
      <c r="D602" s="423"/>
      <c r="E602" s="85"/>
      <c r="F602" s="59">
        <f t="shared" si="29"/>
        <v>0</v>
      </c>
    </row>
    <row r="603" spans="1:6" ht="12.75" customHeight="1" x14ac:dyDescent="0.2">
      <c r="A603" s="3"/>
      <c r="C603" s="114"/>
      <c r="E603" s="85"/>
      <c r="F603" s="59">
        <f t="shared" si="29"/>
        <v>0</v>
      </c>
    </row>
    <row r="604" spans="1:6" ht="12.75" customHeight="1" x14ac:dyDescent="0.2">
      <c r="A604" s="3"/>
      <c r="C604" s="114"/>
      <c r="E604" s="85"/>
      <c r="F604" s="59">
        <f t="shared" si="29"/>
        <v>0</v>
      </c>
    </row>
    <row r="605" spans="1:6" ht="12.75" customHeight="1" x14ac:dyDescent="0.2">
      <c r="A605" s="3"/>
      <c r="B605" s="86" t="s">
        <v>258</v>
      </c>
      <c r="C605" s="87"/>
      <c r="D605" s="88"/>
      <c r="E605" s="89"/>
      <c r="F605" s="90">
        <f>SUM(F589:F604)</f>
        <v>0</v>
      </c>
    </row>
    <row r="606" spans="1:6" ht="12.75" customHeight="1" x14ac:dyDescent="0.2">
      <c r="A606" s="3"/>
      <c r="B606" s="91" t="s">
        <v>70</v>
      </c>
      <c r="C606" s="15">
        <f>$D$8</f>
        <v>0</v>
      </c>
      <c r="D606" s="92"/>
      <c r="E606" s="93"/>
      <c r="F606" s="94">
        <f>ROUND(F605*C606,2)</f>
        <v>0</v>
      </c>
    </row>
    <row r="607" spans="1:6" ht="12.75" customHeight="1" x14ac:dyDescent="0.2">
      <c r="A607" s="95"/>
      <c r="B607" s="424" t="s">
        <v>259</v>
      </c>
      <c r="C607" s="425"/>
      <c r="D607" s="425"/>
      <c r="E607" s="426"/>
      <c r="F607" s="96">
        <f>F605+F606</f>
        <v>0</v>
      </c>
    </row>
    <row r="608" spans="1:6" ht="12.75" customHeight="1" x14ac:dyDescent="0.2">
      <c r="A608" s="1" t="s">
        <v>5</v>
      </c>
      <c r="B608" s="418" t="s">
        <v>267</v>
      </c>
      <c r="C608" s="419" t="s">
        <v>263</v>
      </c>
      <c r="D608" s="419" t="s">
        <v>264</v>
      </c>
      <c r="E608" s="420" t="s">
        <v>265</v>
      </c>
      <c r="F608" s="57" t="s">
        <v>266</v>
      </c>
    </row>
    <row r="609" spans="1:6" ht="12.75" customHeight="1" x14ac:dyDescent="0.2">
      <c r="A609" s="3" t="str">
        <f>'A VII.'!$A$151</f>
        <v>2.9</v>
      </c>
      <c r="B609" s="74" t="str">
        <f>VLOOKUP(A609,'A VII.'!$A$10:$D$199,2,FALSE)</f>
        <v>CAMINHÃO BASCULANTE, INCLUINDO CACAMBA METÁLICA DE 6 M3 - CHI</v>
      </c>
      <c r="C609" s="114">
        <v>0.25</v>
      </c>
      <c r="D609" s="54" t="str">
        <f>VLOOKUP(A609,'A VII.'!$A$10:$D$199,3,FALSE)</f>
        <v>CHI</v>
      </c>
      <c r="E609" s="85">
        <f>'A VII.'!$D$151</f>
        <v>0</v>
      </c>
      <c r="F609" s="59">
        <f t="shared" ref="F609:F618" si="30">ROUND(C609*E609,2)</f>
        <v>0</v>
      </c>
    </row>
    <row r="610" spans="1:6" ht="12.75" customHeight="1" x14ac:dyDescent="0.2">
      <c r="A610" s="3"/>
      <c r="C610" s="114"/>
      <c r="E610" s="85"/>
      <c r="F610" s="59">
        <f t="shared" si="30"/>
        <v>0</v>
      </c>
    </row>
    <row r="611" spans="1:6" ht="12.75" customHeight="1" x14ac:dyDescent="0.2">
      <c r="A611" s="3"/>
      <c r="C611" s="114"/>
      <c r="E611" s="85"/>
      <c r="F611" s="59">
        <f t="shared" si="30"/>
        <v>0</v>
      </c>
    </row>
    <row r="612" spans="1:6" ht="12.75" customHeight="1" x14ac:dyDescent="0.2">
      <c r="A612" s="3"/>
      <c r="C612" s="114"/>
      <c r="E612" s="85"/>
      <c r="F612" s="59">
        <f t="shared" si="30"/>
        <v>0</v>
      </c>
    </row>
    <row r="613" spans="1:6" ht="12.75" customHeight="1" x14ac:dyDescent="0.2">
      <c r="A613" s="3"/>
      <c r="C613" s="114"/>
      <c r="E613" s="85"/>
      <c r="F613" s="59">
        <f t="shared" si="30"/>
        <v>0</v>
      </c>
    </row>
    <row r="614" spans="1:6" ht="12.75" customHeight="1" x14ac:dyDescent="0.2">
      <c r="A614" s="3"/>
      <c r="C614" s="114"/>
      <c r="E614" s="85"/>
      <c r="F614" s="59">
        <f t="shared" si="30"/>
        <v>0</v>
      </c>
    </row>
    <row r="615" spans="1:6" ht="12.75" customHeight="1" x14ac:dyDescent="0.2">
      <c r="A615" s="3"/>
      <c r="C615" s="114"/>
      <c r="E615" s="85"/>
      <c r="F615" s="59">
        <f t="shared" si="30"/>
        <v>0</v>
      </c>
    </row>
    <row r="616" spans="1:6" ht="12.75" customHeight="1" x14ac:dyDescent="0.2">
      <c r="A616" s="3"/>
      <c r="C616" s="114"/>
      <c r="E616" s="85"/>
      <c r="F616" s="59">
        <f t="shared" si="30"/>
        <v>0</v>
      </c>
    </row>
    <row r="617" spans="1:6" ht="12.75" customHeight="1" x14ac:dyDescent="0.2">
      <c r="A617" s="3"/>
      <c r="C617" s="114"/>
      <c r="E617" s="85"/>
      <c r="F617" s="59">
        <f t="shared" si="30"/>
        <v>0</v>
      </c>
    </row>
    <row r="618" spans="1:6" ht="12.75" customHeight="1" x14ac:dyDescent="0.2">
      <c r="A618" s="3"/>
      <c r="C618" s="114"/>
      <c r="E618" s="85"/>
      <c r="F618" s="59">
        <f t="shared" si="30"/>
        <v>0</v>
      </c>
    </row>
    <row r="619" spans="1:6" ht="12.75" customHeight="1" x14ac:dyDescent="0.2">
      <c r="A619" s="3"/>
      <c r="B619" s="86" t="s">
        <v>258</v>
      </c>
      <c r="C619" s="87"/>
      <c r="D619" s="88"/>
      <c r="E619" s="89"/>
      <c r="F619" s="90">
        <f>SUM(F609:F618)</f>
        <v>0</v>
      </c>
    </row>
    <row r="620" spans="1:6" ht="12.75" customHeight="1" x14ac:dyDescent="0.2">
      <c r="A620" s="3"/>
      <c r="B620" s="91" t="s">
        <v>70</v>
      </c>
      <c r="C620" s="15">
        <f>$D$8</f>
        <v>0</v>
      </c>
      <c r="D620" s="92"/>
      <c r="E620" s="93"/>
      <c r="F620" s="94">
        <f>ROUND(C620*F619,2)</f>
        <v>0</v>
      </c>
    </row>
    <row r="621" spans="1:6" ht="12.75" customHeight="1" x14ac:dyDescent="0.2">
      <c r="A621" s="95"/>
      <c r="B621" s="424" t="s">
        <v>260</v>
      </c>
      <c r="C621" s="425"/>
      <c r="D621" s="425"/>
      <c r="E621" s="426"/>
      <c r="F621" s="96">
        <f>F619+F620</f>
        <v>0</v>
      </c>
    </row>
    <row r="622" spans="1:6" ht="12.75" customHeight="1" x14ac:dyDescent="0.2">
      <c r="A622" s="97" t="s">
        <v>54</v>
      </c>
      <c r="B622" s="427" t="s">
        <v>268</v>
      </c>
      <c r="C622" s="428" t="s">
        <v>263</v>
      </c>
      <c r="D622" s="429" t="s">
        <v>264</v>
      </c>
      <c r="E622" s="430" t="s">
        <v>265</v>
      </c>
      <c r="F622" s="57" t="s">
        <v>266</v>
      </c>
    </row>
    <row r="623" spans="1:6" ht="12.75" customHeight="1" x14ac:dyDescent="0.2">
      <c r="A623" s="3" t="str">
        <f>'A VII.'!$A$196</f>
        <v>3.16</v>
      </c>
      <c r="B623" s="74" t="str">
        <f>VLOOKUP(A623,'A VII.'!$A$10:$D$199,2,FALSE)</f>
        <v>SERVENTE COM ENCARGOS COMPLEMENTARES</v>
      </c>
      <c r="C623" s="114">
        <v>0.7</v>
      </c>
      <c r="D623" s="54" t="str">
        <f>VLOOKUP(A623,'A VII.'!$A$10:$D$199,3,FALSE)</f>
        <v>H</v>
      </c>
      <c r="E623" s="85">
        <f>'A VII.'!$D$196</f>
        <v>0</v>
      </c>
      <c r="F623" s="59">
        <f t="shared" ref="F623:F629" si="31">ROUND(C623*E623,2)</f>
        <v>0</v>
      </c>
    </row>
    <row r="624" spans="1:6" ht="12.75" customHeight="1" x14ac:dyDescent="0.2">
      <c r="A624" s="3"/>
      <c r="C624" s="114"/>
      <c r="E624" s="85"/>
      <c r="F624" s="59">
        <f t="shared" si="31"/>
        <v>0</v>
      </c>
    </row>
    <row r="625" spans="1:6" ht="12.75" customHeight="1" x14ac:dyDescent="0.2">
      <c r="A625" s="3"/>
      <c r="C625" s="114"/>
      <c r="E625" s="85"/>
      <c r="F625" s="59">
        <f t="shared" si="31"/>
        <v>0</v>
      </c>
    </row>
    <row r="626" spans="1:6" ht="12.75" customHeight="1" x14ac:dyDescent="0.2">
      <c r="A626" s="3"/>
      <c r="C626" s="114"/>
      <c r="E626" s="85"/>
      <c r="F626" s="59">
        <f t="shared" si="31"/>
        <v>0</v>
      </c>
    </row>
    <row r="627" spans="1:6" ht="12.75" customHeight="1" x14ac:dyDescent="0.2">
      <c r="A627" s="3"/>
      <c r="C627" s="114"/>
      <c r="E627" s="85"/>
      <c r="F627" s="59">
        <f t="shared" si="31"/>
        <v>0</v>
      </c>
    </row>
    <row r="628" spans="1:6" ht="12.75" customHeight="1" x14ac:dyDescent="0.2">
      <c r="A628" s="3"/>
      <c r="C628" s="114"/>
      <c r="E628" s="85"/>
      <c r="F628" s="59">
        <f t="shared" si="31"/>
        <v>0</v>
      </c>
    </row>
    <row r="629" spans="1:6" ht="12.75" customHeight="1" x14ac:dyDescent="0.2">
      <c r="A629" s="3"/>
      <c r="C629" s="114"/>
      <c r="E629" s="85"/>
      <c r="F629" s="59">
        <f t="shared" si="31"/>
        <v>0</v>
      </c>
    </row>
    <row r="630" spans="1:6" ht="12.75" customHeight="1" x14ac:dyDescent="0.2">
      <c r="A630" s="3"/>
      <c r="B630" s="86" t="s">
        <v>258</v>
      </c>
      <c r="C630" s="87"/>
      <c r="D630" s="88"/>
      <c r="E630" s="89"/>
      <c r="F630" s="90">
        <f>SUM(F623:F629)</f>
        <v>0</v>
      </c>
    </row>
    <row r="631" spans="1:6" ht="12.75" customHeight="1" x14ac:dyDescent="0.2">
      <c r="A631" s="3"/>
      <c r="B631" s="91" t="s">
        <v>261</v>
      </c>
      <c r="C631" s="15">
        <f>'A IX.'!$C$45</f>
        <v>0</v>
      </c>
      <c r="D631" s="92"/>
      <c r="E631" s="93"/>
      <c r="F631" s="94">
        <f>ROUND(F630*C631,2)</f>
        <v>0</v>
      </c>
    </row>
    <row r="632" spans="1:6" ht="12.75" customHeight="1" x14ac:dyDescent="0.2">
      <c r="A632" s="3"/>
      <c r="B632" s="91" t="s">
        <v>70</v>
      </c>
      <c r="C632" s="15">
        <f>$D$8</f>
        <v>0</v>
      </c>
      <c r="D632" s="92"/>
      <c r="E632" s="93"/>
      <c r="F632" s="94">
        <f>ROUND(SUM(F630:F631)*C632,2)</f>
        <v>0</v>
      </c>
    </row>
    <row r="633" spans="1:6" ht="12.75" customHeight="1" thickBot="1" x14ac:dyDescent="0.25">
      <c r="A633" s="98"/>
      <c r="B633" s="99" t="s">
        <v>262</v>
      </c>
      <c r="C633" s="100"/>
      <c r="D633" s="100"/>
      <c r="E633" s="101"/>
      <c r="F633" s="102">
        <f>SUM(F630:F632)</f>
        <v>0</v>
      </c>
    </row>
    <row r="634" spans="1:6" ht="12.75" customHeight="1" thickBot="1" x14ac:dyDescent="0.25">
      <c r="A634" s="81"/>
      <c r="B634" s="82"/>
      <c r="C634" s="83"/>
      <c r="D634" s="83"/>
      <c r="E634" s="84"/>
      <c r="F634" s="103"/>
    </row>
    <row r="635" spans="1:6" ht="30" customHeight="1" x14ac:dyDescent="0.2">
      <c r="A635" s="5" t="str">
        <f>'A IV.A'!$A$34</f>
        <v>2.2.2</v>
      </c>
      <c r="B635" s="416" t="str">
        <f>'A IV.A'!$B$34</f>
        <v>CARGA MECANIZADA DE MATERIAIS PROVENIENTES DE DEMOLIÇÕES EM GERAL</v>
      </c>
      <c r="C635" s="526" t="s">
        <v>269</v>
      </c>
      <c r="D635" s="527"/>
      <c r="E635" s="417" t="str">
        <f>'A IV.A'!$C$34</f>
        <v>M3</v>
      </c>
      <c r="F635" s="58">
        <f>ROUND(F655+F669+F681,2)</f>
        <v>0</v>
      </c>
    </row>
    <row r="636" spans="1:6" ht="12.75" customHeight="1" x14ac:dyDescent="0.2">
      <c r="A636" s="1" t="s">
        <v>17</v>
      </c>
      <c r="B636" s="418" t="s">
        <v>162</v>
      </c>
      <c r="C636" s="419" t="s">
        <v>263</v>
      </c>
      <c r="D636" s="419" t="s">
        <v>264</v>
      </c>
      <c r="E636" s="420" t="s">
        <v>265</v>
      </c>
      <c r="F636" s="57" t="s">
        <v>266</v>
      </c>
    </row>
    <row r="637" spans="1:6" ht="12.75" customHeight="1" x14ac:dyDescent="0.2">
      <c r="A637" s="6"/>
      <c r="B637" s="421"/>
      <c r="C637" s="114"/>
      <c r="D637" s="7"/>
      <c r="E637" s="85"/>
      <c r="F637" s="59">
        <f>ROUND(C637*E637,2)</f>
        <v>0</v>
      </c>
    </row>
    <row r="638" spans="1:6" ht="12.75" customHeight="1" x14ac:dyDescent="0.2">
      <c r="A638" s="6"/>
      <c r="B638" s="421"/>
      <c r="C638" s="114"/>
      <c r="D638" s="7"/>
      <c r="E638" s="85"/>
      <c r="F638" s="59">
        <f t="shared" ref="F638:F652" si="32">ROUND(C638*E638,2)</f>
        <v>0</v>
      </c>
    </row>
    <row r="639" spans="1:6" ht="12.75" customHeight="1" x14ac:dyDescent="0.2">
      <c r="A639" s="6"/>
      <c r="B639" s="421"/>
      <c r="C639" s="114"/>
      <c r="D639" s="7"/>
      <c r="E639" s="85"/>
      <c r="F639" s="59">
        <f t="shared" si="32"/>
        <v>0</v>
      </c>
    </row>
    <row r="640" spans="1:6" ht="12.75" customHeight="1" x14ac:dyDescent="0.2">
      <c r="A640" s="6"/>
      <c r="B640" s="421"/>
      <c r="C640" s="114"/>
      <c r="D640" s="7"/>
      <c r="E640" s="85"/>
      <c r="F640" s="59">
        <f t="shared" si="32"/>
        <v>0</v>
      </c>
    </row>
    <row r="641" spans="1:6" ht="12.75" customHeight="1" x14ac:dyDescent="0.2">
      <c r="A641" s="6"/>
      <c r="B641" s="421"/>
      <c r="C641" s="114"/>
      <c r="D641" s="7"/>
      <c r="E641" s="85"/>
      <c r="F641" s="59">
        <f t="shared" si="32"/>
        <v>0</v>
      </c>
    </row>
    <row r="642" spans="1:6" ht="12.75" customHeight="1" x14ac:dyDescent="0.2">
      <c r="A642" s="6"/>
      <c r="B642" s="421"/>
      <c r="C642" s="114"/>
      <c r="D642" s="7"/>
      <c r="E642" s="85"/>
      <c r="F642" s="59">
        <f t="shared" si="32"/>
        <v>0</v>
      </c>
    </row>
    <row r="643" spans="1:6" ht="12.75" customHeight="1" x14ac:dyDescent="0.2">
      <c r="A643" s="6"/>
      <c r="B643" s="421"/>
      <c r="C643" s="114"/>
      <c r="D643" s="7"/>
      <c r="E643" s="85"/>
      <c r="F643" s="59">
        <f t="shared" si="32"/>
        <v>0</v>
      </c>
    </row>
    <row r="644" spans="1:6" ht="12.75" customHeight="1" x14ac:dyDescent="0.2">
      <c r="A644" s="6"/>
      <c r="B644" s="421"/>
      <c r="C644" s="114"/>
      <c r="D644" s="7"/>
      <c r="E644" s="85"/>
      <c r="F644" s="59">
        <f t="shared" si="32"/>
        <v>0</v>
      </c>
    </row>
    <row r="645" spans="1:6" ht="12.75" customHeight="1" x14ac:dyDescent="0.2">
      <c r="A645" s="6"/>
      <c r="B645" s="421"/>
      <c r="C645" s="114"/>
      <c r="D645" s="7"/>
      <c r="E645" s="85"/>
      <c r="F645" s="59">
        <f t="shared" si="32"/>
        <v>0</v>
      </c>
    </row>
    <row r="646" spans="1:6" ht="12.75" customHeight="1" x14ac:dyDescent="0.2">
      <c r="A646" s="6"/>
      <c r="B646" s="421"/>
      <c r="C646" s="114"/>
      <c r="D646" s="7"/>
      <c r="E646" s="85"/>
      <c r="F646" s="59">
        <f t="shared" si="32"/>
        <v>0</v>
      </c>
    </row>
    <row r="647" spans="1:6" ht="12.75" customHeight="1" x14ac:dyDescent="0.2">
      <c r="A647" s="6"/>
      <c r="B647" s="421"/>
      <c r="C647" s="114"/>
      <c r="D647" s="7"/>
      <c r="E647" s="85"/>
      <c r="F647" s="59">
        <f t="shared" si="32"/>
        <v>0</v>
      </c>
    </row>
    <row r="648" spans="1:6" ht="12.75" customHeight="1" x14ac:dyDescent="0.2">
      <c r="A648" s="6"/>
      <c r="B648" s="421"/>
      <c r="C648" s="114"/>
      <c r="D648" s="423"/>
      <c r="E648" s="85"/>
      <c r="F648" s="59">
        <f t="shared" si="32"/>
        <v>0</v>
      </c>
    </row>
    <row r="649" spans="1:6" ht="12.75" customHeight="1" x14ac:dyDescent="0.2">
      <c r="A649" s="6"/>
      <c r="B649" s="421"/>
      <c r="C649" s="114"/>
      <c r="D649" s="423"/>
      <c r="E649" s="85"/>
      <c r="F649" s="59">
        <f t="shared" si="32"/>
        <v>0</v>
      </c>
    </row>
    <row r="650" spans="1:6" ht="12.75" customHeight="1" x14ac:dyDescent="0.2">
      <c r="A650" s="6"/>
      <c r="B650" s="421"/>
      <c r="C650" s="114"/>
      <c r="D650" s="423"/>
      <c r="E650" s="85"/>
      <c r="F650" s="59">
        <f t="shared" si="32"/>
        <v>0</v>
      </c>
    </row>
    <row r="651" spans="1:6" ht="12.75" customHeight="1" x14ac:dyDescent="0.2">
      <c r="A651" s="3"/>
      <c r="C651" s="114"/>
      <c r="E651" s="85"/>
      <c r="F651" s="59">
        <f t="shared" si="32"/>
        <v>0</v>
      </c>
    </row>
    <row r="652" spans="1:6" ht="12.75" customHeight="1" x14ac:dyDescent="0.2">
      <c r="A652" s="3"/>
      <c r="C652" s="114"/>
      <c r="E652" s="85"/>
      <c r="F652" s="59">
        <f t="shared" si="32"/>
        <v>0</v>
      </c>
    </row>
    <row r="653" spans="1:6" ht="12.75" customHeight="1" x14ac:dyDescent="0.2">
      <c r="A653" s="3"/>
      <c r="B653" s="86" t="s">
        <v>258</v>
      </c>
      <c r="C653" s="87"/>
      <c r="D653" s="88"/>
      <c r="E653" s="89"/>
      <c r="F653" s="90">
        <f>SUM(F637:F652)</f>
        <v>0</v>
      </c>
    </row>
    <row r="654" spans="1:6" ht="12.75" customHeight="1" x14ac:dyDescent="0.2">
      <c r="A654" s="3"/>
      <c r="B654" s="91" t="s">
        <v>70</v>
      </c>
      <c r="C654" s="15">
        <f>$D$8</f>
        <v>0</v>
      </c>
      <c r="D654" s="92"/>
      <c r="E654" s="93"/>
      <c r="F654" s="94">
        <f>ROUND(F653*C654,2)</f>
        <v>0</v>
      </c>
    </row>
    <row r="655" spans="1:6" ht="12.75" customHeight="1" x14ac:dyDescent="0.2">
      <c r="A655" s="95"/>
      <c r="B655" s="424" t="s">
        <v>259</v>
      </c>
      <c r="C655" s="425"/>
      <c r="D655" s="425"/>
      <c r="E655" s="426"/>
      <c r="F655" s="96">
        <f>F653+F654</f>
        <v>0</v>
      </c>
    </row>
    <row r="656" spans="1:6" ht="12.75" customHeight="1" x14ac:dyDescent="0.2">
      <c r="A656" s="1" t="s">
        <v>5</v>
      </c>
      <c r="B656" s="418" t="s">
        <v>267</v>
      </c>
      <c r="C656" s="419" t="s">
        <v>263</v>
      </c>
      <c r="D656" s="419" t="s">
        <v>264</v>
      </c>
      <c r="E656" s="420" t="s">
        <v>265</v>
      </c>
      <c r="F656" s="57" t="s">
        <v>266</v>
      </c>
    </row>
    <row r="657" spans="1:6" ht="12.75" customHeight="1" x14ac:dyDescent="0.2">
      <c r="A657" s="3" t="str">
        <f>'A VII.'!$A$165</f>
        <v>2.23</v>
      </c>
      <c r="B657" s="74" t="str">
        <f>VLOOKUP(A657,'A VII.'!$A$10:$D$199,2,FALSE)</f>
        <v>PÁ  CARREGADEIRA A DIESEL SOBRE PNEUS - CAÇAMBA DE 1,70 A 2,80 M3 - 128 HP - CHP</v>
      </c>
      <c r="C657" s="114">
        <v>1.7999999999999999E-2</v>
      </c>
      <c r="D657" s="54" t="str">
        <f>VLOOKUP(A657,'A VII.'!$A$10:$D$199,3,FALSE)</f>
        <v>CHP</v>
      </c>
      <c r="E657" s="85">
        <f>'A VII.'!$D$165</f>
        <v>0</v>
      </c>
      <c r="F657" s="59">
        <f t="shared" ref="F657:F666" si="33">ROUND(C657*E657,2)</f>
        <v>0</v>
      </c>
    </row>
    <row r="658" spans="1:6" ht="12.75" customHeight="1" x14ac:dyDescent="0.2">
      <c r="A658" s="3" t="str">
        <f>'A VII.'!$A$150</f>
        <v>2.8</v>
      </c>
      <c r="B658" s="74" t="str">
        <f>VLOOKUP(A658,'A VII.'!$A$10:$D$199,2,FALSE)</f>
        <v>CAMINHÃO BASCULANTE, INCLUINDO CACAMBA METÁLICA DE 6 M3 - CHP</v>
      </c>
      <c r="C658" s="114">
        <v>7.0000000000000001E-3</v>
      </c>
      <c r="D658" s="54" t="str">
        <f>VLOOKUP(A658,'A VII.'!$A$10:$D$199,3,FALSE)</f>
        <v>CHP</v>
      </c>
      <c r="E658" s="85">
        <f>'A VII.'!$D$150</f>
        <v>0</v>
      </c>
      <c r="F658" s="59">
        <f t="shared" si="33"/>
        <v>0</v>
      </c>
    </row>
    <row r="659" spans="1:6" ht="12.75" customHeight="1" x14ac:dyDescent="0.2">
      <c r="A659" s="3"/>
      <c r="C659" s="114"/>
      <c r="E659" s="85"/>
      <c r="F659" s="59">
        <f t="shared" si="33"/>
        <v>0</v>
      </c>
    </row>
    <row r="660" spans="1:6" ht="12.75" customHeight="1" x14ac:dyDescent="0.2">
      <c r="A660" s="3"/>
      <c r="C660" s="114"/>
      <c r="E660" s="85"/>
      <c r="F660" s="59">
        <f t="shared" si="33"/>
        <v>0</v>
      </c>
    </row>
    <row r="661" spans="1:6" ht="12.75" customHeight="1" x14ac:dyDescent="0.2">
      <c r="A661" s="3"/>
      <c r="C661" s="114"/>
      <c r="E661" s="85"/>
      <c r="F661" s="59">
        <f t="shared" si="33"/>
        <v>0</v>
      </c>
    </row>
    <row r="662" spans="1:6" ht="12.75" customHeight="1" x14ac:dyDescent="0.2">
      <c r="A662" s="3"/>
      <c r="C662" s="114"/>
      <c r="E662" s="85"/>
      <c r="F662" s="59">
        <f t="shared" si="33"/>
        <v>0</v>
      </c>
    </row>
    <row r="663" spans="1:6" ht="12.75" customHeight="1" x14ac:dyDescent="0.2">
      <c r="A663" s="3"/>
      <c r="C663" s="114"/>
      <c r="E663" s="85"/>
      <c r="F663" s="59">
        <f t="shared" si="33"/>
        <v>0</v>
      </c>
    </row>
    <row r="664" spans="1:6" ht="12.75" customHeight="1" x14ac:dyDescent="0.2">
      <c r="A664" s="3"/>
      <c r="C664" s="114"/>
      <c r="E664" s="85"/>
      <c r="F664" s="59">
        <f t="shared" si="33"/>
        <v>0</v>
      </c>
    </row>
    <row r="665" spans="1:6" ht="12.75" customHeight="1" x14ac:dyDescent="0.2">
      <c r="A665" s="3"/>
      <c r="C665" s="114"/>
      <c r="E665" s="85"/>
      <c r="F665" s="59">
        <f t="shared" si="33"/>
        <v>0</v>
      </c>
    </row>
    <row r="666" spans="1:6" ht="12.75" customHeight="1" x14ac:dyDescent="0.2">
      <c r="A666" s="3"/>
      <c r="C666" s="114"/>
      <c r="E666" s="85"/>
      <c r="F666" s="59">
        <f t="shared" si="33"/>
        <v>0</v>
      </c>
    </row>
    <row r="667" spans="1:6" ht="12.75" customHeight="1" x14ac:dyDescent="0.2">
      <c r="A667" s="3"/>
      <c r="B667" s="86" t="s">
        <v>258</v>
      </c>
      <c r="C667" s="87"/>
      <c r="D667" s="88"/>
      <c r="E667" s="89"/>
      <c r="F667" s="90">
        <f>SUM(F657:F666)</f>
        <v>0</v>
      </c>
    </row>
    <row r="668" spans="1:6" ht="12.75" customHeight="1" x14ac:dyDescent="0.2">
      <c r="A668" s="3"/>
      <c r="B668" s="91" t="s">
        <v>70</v>
      </c>
      <c r="C668" s="15">
        <f>$D$8</f>
        <v>0</v>
      </c>
      <c r="D668" s="92"/>
      <c r="E668" s="93"/>
      <c r="F668" s="94">
        <f>ROUND(C668*F667,2)</f>
        <v>0</v>
      </c>
    </row>
    <row r="669" spans="1:6" ht="12.75" customHeight="1" x14ac:dyDescent="0.2">
      <c r="A669" s="95"/>
      <c r="B669" s="424" t="s">
        <v>260</v>
      </c>
      <c r="C669" s="425"/>
      <c r="D669" s="425"/>
      <c r="E669" s="426"/>
      <c r="F669" s="96">
        <f>F667+F668</f>
        <v>0</v>
      </c>
    </row>
    <row r="670" spans="1:6" ht="12.75" customHeight="1" x14ac:dyDescent="0.2">
      <c r="A670" s="97" t="s">
        <v>54</v>
      </c>
      <c r="B670" s="427" t="s">
        <v>268</v>
      </c>
      <c r="C670" s="428" t="s">
        <v>263</v>
      </c>
      <c r="D670" s="429" t="s">
        <v>264</v>
      </c>
      <c r="E670" s="430" t="s">
        <v>265</v>
      </c>
      <c r="F670" s="57" t="s">
        <v>266</v>
      </c>
    </row>
    <row r="671" spans="1:6" ht="12.75" customHeight="1" x14ac:dyDescent="0.2">
      <c r="A671" s="3" t="str">
        <f>'A VII.'!$A$196</f>
        <v>3.16</v>
      </c>
      <c r="B671" s="74" t="s">
        <v>189</v>
      </c>
      <c r="C671" s="114">
        <v>1.7999999999999999E-2</v>
      </c>
      <c r="D671" s="54" t="str">
        <f>VLOOKUP(A671,'A VII.'!$A$10:$D$199,3,FALSE)</f>
        <v>H</v>
      </c>
      <c r="E671" s="85">
        <f>'A VII.'!$D$196</f>
        <v>0</v>
      </c>
      <c r="F671" s="59">
        <f t="shared" ref="F671:F677" si="34">ROUND(C671*E671,2)</f>
        <v>0</v>
      </c>
    </row>
    <row r="672" spans="1:6" ht="12.75" customHeight="1" x14ac:dyDescent="0.2">
      <c r="A672" s="3"/>
      <c r="C672" s="114"/>
      <c r="E672" s="85"/>
      <c r="F672" s="59">
        <f t="shared" si="34"/>
        <v>0</v>
      </c>
    </row>
    <row r="673" spans="1:6" ht="12.75" customHeight="1" x14ac:dyDescent="0.2">
      <c r="A673" s="3"/>
      <c r="C673" s="114"/>
      <c r="E673" s="85"/>
      <c r="F673" s="59">
        <f t="shared" si="34"/>
        <v>0</v>
      </c>
    </row>
    <row r="674" spans="1:6" ht="12.75" customHeight="1" x14ac:dyDescent="0.2">
      <c r="A674" s="3"/>
      <c r="C674" s="114"/>
      <c r="E674" s="85"/>
      <c r="F674" s="59">
        <f t="shared" si="34"/>
        <v>0</v>
      </c>
    </row>
    <row r="675" spans="1:6" ht="12.75" customHeight="1" x14ac:dyDescent="0.2">
      <c r="A675" s="3"/>
      <c r="C675" s="114"/>
      <c r="E675" s="85"/>
      <c r="F675" s="59">
        <f t="shared" si="34"/>
        <v>0</v>
      </c>
    </row>
    <row r="676" spans="1:6" ht="12.75" customHeight="1" x14ac:dyDescent="0.2">
      <c r="A676" s="3"/>
      <c r="C676" s="114"/>
      <c r="E676" s="85"/>
      <c r="F676" s="59">
        <f t="shared" si="34"/>
        <v>0</v>
      </c>
    </row>
    <row r="677" spans="1:6" ht="12.75" customHeight="1" x14ac:dyDescent="0.2">
      <c r="A677" s="3"/>
      <c r="C677" s="114"/>
      <c r="E677" s="85"/>
      <c r="F677" s="59">
        <f t="shared" si="34"/>
        <v>0</v>
      </c>
    </row>
    <row r="678" spans="1:6" ht="12.75" customHeight="1" x14ac:dyDescent="0.2">
      <c r="A678" s="3"/>
      <c r="B678" s="86" t="s">
        <v>258</v>
      </c>
      <c r="C678" s="87"/>
      <c r="D678" s="88"/>
      <c r="E678" s="89"/>
      <c r="F678" s="90">
        <f>SUM(F671:F677)</f>
        <v>0</v>
      </c>
    </row>
    <row r="679" spans="1:6" ht="12.75" customHeight="1" x14ac:dyDescent="0.2">
      <c r="A679" s="3"/>
      <c r="B679" s="91" t="s">
        <v>261</v>
      </c>
      <c r="C679" s="15">
        <f>'A IX.'!$C$45</f>
        <v>0</v>
      </c>
      <c r="D679" s="92"/>
      <c r="E679" s="93"/>
      <c r="F679" s="94">
        <f>ROUND(F678*C679,2)</f>
        <v>0</v>
      </c>
    </row>
    <row r="680" spans="1:6" ht="12.75" customHeight="1" x14ac:dyDescent="0.2">
      <c r="A680" s="3"/>
      <c r="B680" s="91" t="s">
        <v>70</v>
      </c>
      <c r="C680" s="15">
        <f>$D$8</f>
        <v>0</v>
      </c>
      <c r="D680" s="92"/>
      <c r="E680" s="93"/>
      <c r="F680" s="94">
        <f>ROUND(SUM(F678:F679)*C680,2)</f>
        <v>0</v>
      </c>
    </row>
    <row r="681" spans="1:6" ht="12.75" customHeight="1" thickBot="1" x14ac:dyDescent="0.25">
      <c r="A681" s="98"/>
      <c r="B681" s="99" t="s">
        <v>262</v>
      </c>
      <c r="C681" s="100"/>
      <c r="D681" s="100"/>
      <c r="E681" s="101"/>
      <c r="F681" s="102">
        <f>SUM(F678:F680)</f>
        <v>0</v>
      </c>
    </row>
    <row r="682" spans="1:6" ht="12.75" customHeight="1" thickBot="1" x14ac:dyDescent="0.25">
      <c r="A682" s="81"/>
      <c r="B682" s="82"/>
      <c r="C682" s="83"/>
      <c r="D682" s="83"/>
      <c r="E682" s="84"/>
      <c r="F682" s="103"/>
    </row>
    <row r="683" spans="1:6" ht="30" customHeight="1" x14ac:dyDescent="0.2">
      <c r="A683" s="5" t="str">
        <f>'A IV.A'!$A$35</f>
        <v>2.2.3</v>
      </c>
      <c r="B683" s="416" t="str">
        <f>'A IV.A'!$B$35</f>
        <v>BOTA-FORA E DESCARGA DE MATERIAIS PROVENIENTES DE DEMOLIÇÕES EM GERAL</v>
      </c>
      <c r="C683" s="526" t="s">
        <v>269</v>
      </c>
      <c r="D683" s="527"/>
      <c r="E683" s="417" t="str">
        <f>'A IV.A'!$C$35</f>
        <v>M3.KM</v>
      </c>
      <c r="F683" s="58">
        <f>ROUND(F703+F717+F729,2)</f>
        <v>0</v>
      </c>
    </row>
    <row r="684" spans="1:6" ht="12.75" customHeight="1" x14ac:dyDescent="0.2">
      <c r="A684" s="1" t="s">
        <v>17</v>
      </c>
      <c r="B684" s="418" t="s">
        <v>162</v>
      </c>
      <c r="C684" s="419" t="s">
        <v>263</v>
      </c>
      <c r="D684" s="419" t="s">
        <v>264</v>
      </c>
      <c r="E684" s="420" t="s">
        <v>265</v>
      </c>
      <c r="F684" s="57" t="s">
        <v>266</v>
      </c>
    </row>
    <row r="685" spans="1:6" ht="12.75" customHeight="1" x14ac:dyDescent="0.2">
      <c r="A685" s="6"/>
      <c r="B685" s="421"/>
      <c r="C685" s="114"/>
      <c r="D685" s="7"/>
      <c r="E685" s="85"/>
      <c r="F685" s="59">
        <f>ROUND(C685*E685,2)</f>
        <v>0</v>
      </c>
    </row>
    <row r="686" spans="1:6" ht="12.75" customHeight="1" x14ac:dyDescent="0.2">
      <c r="A686" s="6"/>
      <c r="B686" s="421"/>
      <c r="C686" s="114"/>
      <c r="D686" s="7"/>
      <c r="E686" s="85"/>
      <c r="F686" s="59">
        <f t="shared" ref="F686:F700" si="35">ROUND(C686*E686,2)</f>
        <v>0</v>
      </c>
    </row>
    <row r="687" spans="1:6" ht="12.75" customHeight="1" x14ac:dyDescent="0.2">
      <c r="A687" s="6"/>
      <c r="B687" s="421"/>
      <c r="C687" s="114"/>
      <c r="D687" s="7"/>
      <c r="E687" s="85"/>
      <c r="F687" s="59">
        <f t="shared" si="35"/>
        <v>0</v>
      </c>
    </row>
    <row r="688" spans="1:6" ht="12.75" customHeight="1" x14ac:dyDescent="0.2">
      <c r="A688" s="6"/>
      <c r="B688" s="421"/>
      <c r="C688" s="114"/>
      <c r="D688" s="7"/>
      <c r="E688" s="85"/>
      <c r="F688" s="59">
        <f t="shared" si="35"/>
        <v>0</v>
      </c>
    </row>
    <row r="689" spans="1:6" ht="12.75" customHeight="1" x14ac:dyDescent="0.2">
      <c r="A689" s="6"/>
      <c r="B689" s="421"/>
      <c r="C689" s="114"/>
      <c r="D689" s="7"/>
      <c r="E689" s="85"/>
      <c r="F689" s="59">
        <f t="shared" si="35"/>
        <v>0</v>
      </c>
    </row>
    <row r="690" spans="1:6" ht="12.75" customHeight="1" x14ac:dyDescent="0.2">
      <c r="A690" s="6"/>
      <c r="B690" s="421"/>
      <c r="C690" s="114"/>
      <c r="D690" s="7"/>
      <c r="E690" s="85"/>
      <c r="F690" s="59">
        <f t="shared" si="35"/>
        <v>0</v>
      </c>
    </row>
    <row r="691" spans="1:6" ht="12.75" customHeight="1" x14ac:dyDescent="0.2">
      <c r="A691" s="6"/>
      <c r="B691" s="421"/>
      <c r="C691" s="114"/>
      <c r="D691" s="7"/>
      <c r="E691" s="85"/>
      <c r="F691" s="59">
        <f t="shared" si="35"/>
        <v>0</v>
      </c>
    </row>
    <row r="692" spans="1:6" ht="12.75" customHeight="1" x14ac:dyDescent="0.2">
      <c r="A692" s="6"/>
      <c r="B692" s="421"/>
      <c r="C692" s="114"/>
      <c r="D692" s="7"/>
      <c r="E692" s="85"/>
      <c r="F692" s="59">
        <f t="shared" si="35"/>
        <v>0</v>
      </c>
    </row>
    <row r="693" spans="1:6" ht="12.75" customHeight="1" x14ac:dyDescent="0.2">
      <c r="A693" s="6"/>
      <c r="B693" s="421"/>
      <c r="C693" s="114"/>
      <c r="D693" s="7"/>
      <c r="E693" s="85"/>
      <c r="F693" s="59">
        <f t="shared" si="35"/>
        <v>0</v>
      </c>
    </row>
    <row r="694" spans="1:6" ht="12.75" customHeight="1" x14ac:dyDescent="0.2">
      <c r="A694" s="6"/>
      <c r="B694" s="421"/>
      <c r="C694" s="114"/>
      <c r="D694" s="7"/>
      <c r="E694" s="85"/>
      <c r="F694" s="59">
        <f t="shared" si="35"/>
        <v>0</v>
      </c>
    </row>
    <row r="695" spans="1:6" ht="12.75" customHeight="1" x14ac:dyDescent="0.2">
      <c r="A695" s="6"/>
      <c r="B695" s="421"/>
      <c r="C695" s="114"/>
      <c r="D695" s="7"/>
      <c r="E695" s="85"/>
      <c r="F695" s="59">
        <f t="shared" si="35"/>
        <v>0</v>
      </c>
    </row>
    <row r="696" spans="1:6" ht="12.75" customHeight="1" x14ac:dyDescent="0.2">
      <c r="A696" s="6"/>
      <c r="B696" s="421"/>
      <c r="C696" s="114"/>
      <c r="D696" s="423"/>
      <c r="E696" s="85"/>
      <c r="F696" s="59">
        <f t="shared" si="35"/>
        <v>0</v>
      </c>
    </row>
    <row r="697" spans="1:6" ht="12.75" customHeight="1" x14ac:dyDescent="0.2">
      <c r="A697" s="6"/>
      <c r="B697" s="421"/>
      <c r="C697" s="114"/>
      <c r="D697" s="423"/>
      <c r="E697" s="85"/>
      <c r="F697" s="59">
        <f t="shared" si="35"/>
        <v>0</v>
      </c>
    </row>
    <row r="698" spans="1:6" ht="12.75" customHeight="1" x14ac:dyDescent="0.2">
      <c r="A698" s="6"/>
      <c r="B698" s="421"/>
      <c r="C698" s="114"/>
      <c r="D698" s="423"/>
      <c r="E698" s="85"/>
      <c r="F698" s="59">
        <f t="shared" si="35"/>
        <v>0</v>
      </c>
    </row>
    <row r="699" spans="1:6" ht="12.75" customHeight="1" x14ac:dyDescent="0.2">
      <c r="A699" s="3"/>
      <c r="C699" s="114"/>
      <c r="E699" s="85"/>
      <c r="F699" s="59">
        <f t="shared" si="35"/>
        <v>0</v>
      </c>
    </row>
    <row r="700" spans="1:6" ht="12.75" customHeight="1" x14ac:dyDescent="0.2">
      <c r="A700" s="3"/>
      <c r="C700" s="114"/>
      <c r="E700" s="85"/>
      <c r="F700" s="59">
        <f t="shared" si="35"/>
        <v>0</v>
      </c>
    </row>
    <row r="701" spans="1:6" ht="12.75" customHeight="1" x14ac:dyDescent="0.2">
      <c r="A701" s="3"/>
      <c r="B701" s="86" t="s">
        <v>258</v>
      </c>
      <c r="C701" s="87"/>
      <c r="D701" s="88"/>
      <c r="E701" s="89"/>
      <c r="F701" s="90">
        <f>SUM(F685:F700)</f>
        <v>0</v>
      </c>
    </row>
    <row r="702" spans="1:6" ht="12.75" customHeight="1" x14ac:dyDescent="0.2">
      <c r="A702" s="3"/>
      <c r="B702" s="91" t="s">
        <v>70</v>
      </c>
      <c r="C702" s="15">
        <f>$D$8</f>
        <v>0</v>
      </c>
      <c r="D702" s="92"/>
      <c r="E702" s="93"/>
      <c r="F702" s="94">
        <f>ROUND(F701*C702,2)</f>
        <v>0</v>
      </c>
    </row>
    <row r="703" spans="1:6" ht="12.75" customHeight="1" x14ac:dyDescent="0.2">
      <c r="A703" s="95"/>
      <c r="B703" s="424" t="s">
        <v>259</v>
      </c>
      <c r="C703" s="425"/>
      <c r="D703" s="425"/>
      <c r="E703" s="426"/>
      <c r="F703" s="96">
        <f>F701+F702</f>
        <v>0</v>
      </c>
    </row>
    <row r="704" spans="1:6" ht="12.75" customHeight="1" x14ac:dyDescent="0.2">
      <c r="A704" s="1" t="s">
        <v>5</v>
      </c>
      <c r="B704" s="418" t="s">
        <v>267</v>
      </c>
      <c r="C704" s="419" t="s">
        <v>263</v>
      </c>
      <c r="D704" s="419" t="s">
        <v>264</v>
      </c>
      <c r="E704" s="420" t="s">
        <v>265</v>
      </c>
      <c r="F704" s="57" t="s">
        <v>266</v>
      </c>
    </row>
    <row r="705" spans="1:6" ht="12.75" customHeight="1" x14ac:dyDescent="0.2">
      <c r="A705" s="3" t="str">
        <f>'A VII.'!$A$150</f>
        <v>2.8</v>
      </c>
      <c r="B705" s="74" t="str">
        <f>VLOOKUP(A705,'A VII.'!$A$10:$D$199,2,FALSE)</f>
        <v>CAMINHÃO BASCULANTE, INCLUINDO CACAMBA METÁLICA DE 6 M3 - CHP</v>
      </c>
      <c r="C705" s="114">
        <v>8.9999999999999993E-3</v>
      </c>
      <c r="D705" s="54" t="str">
        <f>VLOOKUP(A705,'A VII.'!$A$10:$D$199,3,FALSE)</f>
        <v>CHP</v>
      </c>
      <c r="E705" s="85">
        <f>'A VII.'!$D$150</f>
        <v>0</v>
      </c>
      <c r="F705" s="59">
        <f t="shared" ref="F705:F714" si="36">ROUND(C705*E705,2)</f>
        <v>0</v>
      </c>
    </row>
    <row r="706" spans="1:6" ht="12.75" customHeight="1" x14ac:dyDescent="0.2">
      <c r="A706" s="3"/>
      <c r="C706" s="114"/>
      <c r="E706" s="85"/>
      <c r="F706" s="59">
        <f t="shared" si="36"/>
        <v>0</v>
      </c>
    </row>
    <row r="707" spans="1:6" ht="12.75" customHeight="1" x14ac:dyDescent="0.2">
      <c r="A707" s="3"/>
      <c r="C707" s="114"/>
      <c r="E707" s="85"/>
      <c r="F707" s="59">
        <f t="shared" si="36"/>
        <v>0</v>
      </c>
    </row>
    <row r="708" spans="1:6" ht="12.75" customHeight="1" x14ac:dyDescent="0.2">
      <c r="A708" s="3"/>
      <c r="C708" s="114"/>
      <c r="E708" s="85"/>
      <c r="F708" s="59">
        <f t="shared" si="36"/>
        <v>0</v>
      </c>
    </row>
    <row r="709" spans="1:6" ht="12.75" customHeight="1" x14ac:dyDescent="0.2">
      <c r="A709" s="3"/>
      <c r="C709" s="114"/>
      <c r="E709" s="85"/>
      <c r="F709" s="59">
        <f t="shared" si="36"/>
        <v>0</v>
      </c>
    </row>
    <row r="710" spans="1:6" ht="12.75" customHeight="1" x14ac:dyDescent="0.2">
      <c r="A710" s="3"/>
      <c r="C710" s="114"/>
      <c r="E710" s="85"/>
      <c r="F710" s="59">
        <f t="shared" si="36"/>
        <v>0</v>
      </c>
    </row>
    <row r="711" spans="1:6" ht="12.75" customHeight="1" x14ac:dyDescent="0.2">
      <c r="A711" s="3"/>
      <c r="C711" s="114"/>
      <c r="E711" s="85"/>
      <c r="F711" s="59">
        <f t="shared" si="36"/>
        <v>0</v>
      </c>
    </row>
    <row r="712" spans="1:6" ht="12.75" customHeight="1" x14ac:dyDescent="0.2">
      <c r="A712" s="3"/>
      <c r="C712" s="114"/>
      <c r="E712" s="85"/>
      <c r="F712" s="59">
        <f t="shared" si="36"/>
        <v>0</v>
      </c>
    </row>
    <row r="713" spans="1:6" ht="12.75" customHeight="1" x14ac:dyDescent="0.2">
      <c r="A713" s="3"/>
      <c r="C713" s="114"/>
      <c r="E713" s="85"/>
      <c r="F713" s="59">
        <f t="shared" si="36"/>
        <v>0</v>
      </c>
    </row>
    <row r="714" spans="1:6" ht="12.75" customHeight="1" x14ac:dyDescent="0.2">
      <c r="A714" s="3"/>
      <c r="C714" s="114"/>
      <c r="E714" s="85"/>
      <c r="F714" s="59">
        <f t="shared" si="36"/>
        <v>0</v>
      </c>
    </row>
    <row r="715" spans="1:6" ht="12.75" customHeight="1" x14ac:dyDescent="0.2">
      <c r="A715" s="3"/>
      <c r="B715" s="86" t="s">
        <v>258</v>
      </c>
      <c r="C715" s="87"/>
      <c r="D715" s="88"/>
      <c r="E715" s="89"/>
      <c r="F715" s="90">
        <f>SUM(F705:F714)</f>
        <v>0</v>
      </c>
    </row>
    <row r="716" spans="1:6" ht="12.75" customHeight="1" x14ac:dyDescent="0.2">
      <c r="A716" s="3"/>
      <c r="B716" s="91" t="s">
        <v>70</v>
      </c>
      <c r="C716" s="15">
        <f>$D$8</f>
        <v>0</v>
      </c>
      <c r="D716" s="92"/>
      <c r="E716" s="93"/>
      <c r="F716" s="94">
        <f>ROUND(C716*F715,2)</f>
        <v>0</v>
      </c>
    </row>
    <row r="717" spans="1:6" ht="12.75" customHeight="1" x14ac:dyDescent="0.2">
      <c r="A717" s="95"/>
      <c r="B717" s="424" t="s">
        <v>260</v>
      </c>
      <c r="C717" s="425"/>
      <c r="D717" s="425"/>
      <c r="E717" s="426"/>
      <c r="F717" s="96">
        <f>F715+F716</f>
        <v>0</v>
      </c>
    </row>
    <row r="718" spans="1:6" ht="12.75" customHeight="1" x14ac:dyDescent="0.2">
      <c r="A718" s="97" t="s">
        <v>54</v>
      </c>
      <c r="B718" s="427" t="s">
        <v>268</v>
      </c>
      <c r="C718" s="428" t="s">
        <v>263</v>
      </c>
      <c r="D718" s="429" t="s">
        <v>264</v>
      </c>
      <c r="E718" s="430" t="s">
        <v>265</v>
      </c>
      <c r="F718" s="57" t="s">
        <v>266</v>
      </c>
    </row>
    <row r="719" spans="1:6" ht="12.75" customHeight="1" x14ac:dyDescent="0.2">
      <c r="A719" s="3"/>
      <c r="C719" s="114"/>
      <c r="E719" s="85"/>
      <c r="F719" s="59">
        <f t="shared" ref="F719:F725" si="37">ROUND(C719*E719,2)</f>
        <v>0</v>
      </c>
    </row>
    <row r="720" spans="1:6" ht="12.75" customHeight="1" x14ac:dyDescent="0.2">
      <c r="A720" s="3"/>
      <c r="C720" s="114"/>
      <c r="E720" s="85"/>
      <c r="F720" s="59">
        <f t="shared" si="37"/>
        <v>0</v>
      </c>
    </row>
    <row r="721" spans="1:6" ht="12.75" customHeight="1" x14ac:dyDescent="0.2">
      <c r="A721" s="3"/>
      <c r="C721" s="114"/>
      <c r="E721" s="85"/>
      <c r="F721" s="59">
        <f t="shared" si="37"/>
        <v>0</v>
      </c>
    </row>
    <row r="722" spans="1:6" ht="12.75" customHeight="1" x14ac:dyDescent="0.2">
      <c r="A722" s="3"/>
      <c r="C722" s="114"/>
      <c r="E722" s="85"/>
      <c r="F722" s="59">
        <f t="shared" si="37"/>
        <v>0</v>
      </c>
    </row>
    <row r="723" spans="1:6" ht="12.75" customHeight="1" x14ac:dyDescent="0.2">
      <c r="A723" s="3"/>
      <c r="C723" s="114"/>
      <c r="E723" s="85"/>
      <c r="F723" s="59">
        <f t="shared" si="37"/>
        <v>0</v>
      </c>
    </row>
    <row r="724" spans="1:6" ht="12.75" customHeight="1" x14ac:dyDescent="0.2">
      <c r="A724" s="3"/>
      <c r="C724" s="114"/>
      <c r="E724" s="85"/>
      <c r="F724" s="59">
        <f t="shared" si="37"/>
        <v>0</v>
      </c>
    </row>
    <row r="725" spans="1:6" ht="12.75" customHeight="1" x14ac:dyDescent="0.2">
      <c r="A725" s="3"/>
      <c r="C725" s="114"/>
      <c r="E725" s="85"/>
      <c r="F725" s="59">
        <f t="shared" si="37"/>
        <v>0</v>
      </c>
    </row>
    <row r="726" spans="1:6" ht="12.75" customHeight="1" x14ac:dyDescent="0.2">
      <c r="A726" s="3"/>
      <c r="B726" s="86" t="s">
        <v>258</v>
      </c>
      <c r="C726" s="87"/>
      <c r="D726" s="88"/>
      <c r="E726" s="89"/>
      <c r="F726" s="90">
        <f>SUM(F719:F725)</f>
        <v>0</v>
      </c>
    </row>
    <row r="727" spans="1:6" ht="12.75" customHeight="1" x14ac:dyDescent="0.2">
      <c r="A727" s="3"/>
      <c r="B727" s="91" t="s">
        <v>261</v>
      </c>
      <c r="C727" s="15">
        <f>'A IX.'!$C$45</f>
        <v>0</v>
      </c>
      <c r="D727" s="92"/>
      <c r="E727" s="93"/>
      <c r="F727" s="94">
        <f>ROUND(F726*C727,2)</f>
        <v>0</v>
      </c>
    </row>
    <row r="728" spans="1:6" ht="12.75" customHeight="1" x14ac:dyDescent="0.2">
      <c r="A728" s="3"/>
      <c r="B728" s="91" t="s">
        <v>70</v>
      </c>
      <c r="C728" s="15">
        <f>$D$8</f>
        <v>0</v>
      </c>
      <c r="D728" s="92"/>
      <c r="E728" s="93"/>
      <c r="F728" s="94">
        <f>ROUND(SUM(F726:F727)*C728,2)</f>
        <v>0</v>
      </c>
    </row>
    <row r="729" spans="1:6" ht="12.75" customHeight="1" thickBot="1" x14ac:dyDescent="0.25">
      <c r="A729" s="98"/>
      <c r="B729" s="99" t="s">
        <v>262</v>
      </c>
      <c r="C729" s="100"/>
      <c r="D729" s="100"/>
      <c r="E729" s="101"/>
      <c r="F729" s="102">
        <f>SUM(F726:F728)</f>
        <v>0</v>
      </c>
    </row>
    <row r="730" spans="1:6" ht="12.75" customHeight="1" thickBot="1" x14ac:dyDescent="0.25">
      <c r="A730" s="81"/>
      <c r="B730" s="82"/>
      <c r="C730" s="83"/>
      <c r="D730" s="83"/>
      <c r="E730" s="84"/>
      <c r="F730" s="103"/>
    </row>
    <row r="731" spans="1:6" ht="30" customHeight="1" x14ac:dyDescent="0.2">
      <c r="A731" s="5" t="str">
        <f>'A IV.A'!$A$36</f>
        <v>2.2.4</v>
      </c>
      <c r="B731" s="416" t="str">
        <f>'A IV.A'!$B$36</f>
        <v>LOCAL LICENCIADO PARA DEPÓSITO DE BOTA FORA</v>
      </c>
      <c r="C731" s="526" t="s">
        <v>269</v>
      </c>
      <c r="D731" s="527"/>
      <c r="E731" s="417" t="str">
        <f>'A IV.A'!$C$36</f>
        <v>M3</v>
      </c>
      <c r="F731" s="58">
        <f>ROUND(F751+F765+F777,2)</f>
        <v>0</v>
      </c>
    </row>
    <row r="732" spans="1:6" ht="12.75" customHeight="1" x14ac:dyDescent="0.2">
      <c r="A732" s="1" t="s">
        <v>17</v>
      </c>
      <c r="B732" s="418" t="s">
        <v>162</v>
      </c>
      <c r="C732" s="419" t="s">
        <v>263</v>
      </c>
      <c r="D732" s="419" t="s">
        <v>264</v>
      </c>
      <c r="E732" s="420" t="s">
        <v>265</v>
      </c>
      <c r="F732" s="57" t="s">
        <v>266</v>
      </c>
    </row>
    <row r="733" spans="1:6" ht="12.75" customHeight="1" x14ac:dyDescent="0.2">
      <c r="A733" s="6"/>
      <c r="B733" s="421"/>
      <c r="C733" s="114"/>
      <c r="D733" s="7"/>
      <c r="E733" s="85"/>
      <c r="F733" s="59">
        <f>ROUND(C733*E733,2)</f>
        <v>0</v>
      </c>
    </row>
    <row r="734" spans="1:6" ht="12.75" customHeight="1" x14ac:dyDescent="0.2">
      <c r="A734" s="6"/>
      <c r="B734" s="421"/>
      <c r="C734" s="114"/>
      <c r="D734" s="7"/>
      <c r="E734" s="85"/>
      <c r="F734" s="59">
        <f t="shared" ref="F734:F748" si="38">ROUND(C734*E734,2)</f>
        <v>0</v>
      </c>
    </row>
    <row r="735" spans="1:6" ht="12.75" customHeight="1" x14ac:dyDescent="0.2">
      <c r="A735" s="6"/>
      <c r="B735" s="421"/>
      <c r="C735" s="114"/>
      <c r="D735" s="7"/>
      <c r="E735" s="85"/>
      <c r="F735" s="59">
        <f t="shared" si="38"/>
        <v>0</v>
      </c>
    </row>
    <row r="736" spans="1:6" ht="12.75" customHeight="1" x14ac:dyDescent="0.2">
      <c r="A736" s="6"/>
      <c r="B736" s="421"/>
      <c r="C736" s="114"/>
      <c r="D736" s="7"/>
      <c r="E736" s="85"/>
      <c r="F736" s="59">
        <f t="shared" si="38"/>
        <v>0</v>
      </c>
    </row>
    <row r="737" spans="1:6" ht="12.75" customHeight="1" x14ac:dyDescent="0.2">
      <c r="A737" s="6"/>
      <c r="B737" s="421"/>
      <c r="C737" s="114"/>
      <c r="D737" s="7"/>
      <c r="E737" s="85"/>
      <c r="F737" s="59">
        <f t="shared" si="38"/>
        <v>0</v>
      </c>
    </row>
    <row r="738" spans="1:6" ht="12.75" customHeight="1" x14ac:dyDescent="0.2">
      <c r="A738" s="6"/>
      <c r="B738" s="421"/>
      <c r="C738" s="114"/>
      <c r="D738" s="7"/>
      <c r="E738" s="85"/>
      <c r="F738" s="59">
        <f t="shared" si="38"/>
        <v>0</v>
      </c>
    </row>
    <row r="739" spans="1:6" ht="12.75" customHeight="1" x14ac:dyDescent="0.2">
      <c r="A739" s="6"/>
      <c r="B739" s="421"/>
      <c r="C739" s="114"/>
      <c r="D739" s="7"/>
      <c r="E739" s="85"/>
      <c r="F739" s="59">
        <f t="shared" si="38"/>
        <v>0</v>
      </c>
    </row>
    <row r="740" spans="1:6" ht="12.75" customHeight="1" x14ac:dyDescent="0.2">
      <c r="A740" s="6"/>
      <c r="B740" s="421"/>
      <c r="C740" s="114"/>
      <c r="D740" s="7"/>
      <c r="E740" s="85"/>
      <c r="F740" s="59">
        <f t="shared" si="38"/>
        <v>0</v>
      </c>
    </row>
    <row r="741" spans="1:6" ht="12.75" customHeight="1" x14ac:dyDescent="0.2">
      <c r="A741" s="6"/>
      <c r="B741" s="421"/>
      <c r="C741" s="114"/>
      <c r="D741" s="7"/>
      <c r="E741" s="85"/>
      <c r="F741" s="59">
        <f t="shared" si="38"/>
        <v>0</v>
      </c>
    </row>
    <row r="742" spans="1:6" ht="12.75" customHeight="1" x14ac:dyDescent="0.2">
      <c r="A742" s="6"/>
      <c r="B742" s="421"/>
      <c r="C742" s="114"/>
      <c r="D742" s="7"/>
      <c r="E742" s="85"/>
      <c r="F742" s="59">
        <f t="shared" si="38"/>
        <v>0</v>
      </c>
    </row>
    <row r="743" spans="1:6" ht="12.75" customHeight="1" x14ac:dyDescent="0.2">
      <c r="A743" s="6"/>
      <c r="B743" s="421"/>
      <c r="C743" s="114"/>
      <c r="D743" s="7"/>
      <c r="E743" s="85"/>
      <c r="F743" s="59">
        <f t="shared" si="38"/>
        <v>0</v>
      </c>
    </row>
    <row r="744" spans="1:6" ht="12.75" customHeight="1" x14ac:dyDescent="0.2">
      <c r="A744" s="6"/>
      <c r="B744" s="421"/>
      <c r="C744" s="114"/>
      <c r="D744" s="423"/>
      <c r="E744" s="85"/>
      <c r="F744" s="59">
        <f t="shared" si="38"/>
        <v>0</v>
      </c>
    </row>
    <row r="745" spans="1:6" ht="12.75" customHeight="1" x14ac:dyDescent="0.2">
      <c r="A745" s="6"/>
      <c r="B745" s="421"/>
      <c r="C745" s="114"/>
      <c r="D745" s="423"/>
      <c r="E745" s="85"/>
      <c r="F745" s="59">
        <f t="shared" si="38"/>
        <v>0</v>
      </c>
    </row>
    <row r="746" spans="1:6" ht="12.75" customHeight="1" x14ac:dyDescent="0.2">
      <c r="A746" s="6"/>
      <c r="B746" s="421"/>
      <c r="C746" s="114"/>
      <c r="D746" s="423"/>
      <c r="E746" s="85"/>
      <c r="F746" s="59">
        <f t="shared" si="38"/>
        <v>0</v>
      </c>
    </row>
    <row r="747" spans="1:6" ht="12.75" customHeight="1" x14ac:dyDescent="0.2">
      <c r="A747" s="3"/>
      <c r="C747" s="114"/>
      <c r="E747" s="85"/>
      <c r="F747" s="59">
        <f t="shared" si="38"/>
        <v>0</v>
      </c>
    </row>
    <row r="748" spans="1:6" ht="12.75" customHeight="1" x14ac:dyDescent="0.2">
      <c r="A748" s="3"/>
      <c r="C748" s="114"/>
      <c r="E748" s="85"/>
      <c r="F748" s="59">
        <f t="shared" si="38"/>
        <v>0</v>
      </c>
    </row>
    <row r="749" spans="1:6" ht="12.75" customHeight="1" x14ac:dyDescent="0.2">
      <c r="A749" s="3"/>
      <c r="B749" s="86" t="s">
        <v>258</v>
      </c>
      <c r="C749" s="87"/>
      <c r="D749" s="88"/>
      <c r="E749" s="89"/>
      <c r="F749" s="90">
        <f>SUM(F733:F748)</f>
        <v>0</v>
      </c>
    </row>
    <row r="750" spans="1:6" ht="12.75" customHeight="1" x14ac:dyDescent="0.2">
      <c r="A750" s="3"/>
      <c r="B750" s="91" t="s">
        <v>70</v>
      </c>
      <c r="C750" s="15">
        <f>$D$8</f>
        <v>0</v>
      </c>
      <c r="D750" s="92"/>
      <c r="E750" s="93"/>
      <c r="F750" s="94">
        <f>ROUND(F749*C750,2)</f>
        <v>0</v>
      </c>
    </row>
    <row r="751" spans="1:6" ht="12.75" customHeight="1" x14ac:dyDescent="0.2">
      <c r="A751" s="95"/>
      <c r="B751" s="424" t="s">
        <v>259</v>
      </c>
      <c r="C751" s="425"/>
      <c r="D751" s="425"/>
      <c r="E751" s="426"/>
      <c r="F751" s="96">
        <f>F749+F750</f>
        <v>0</v>
      </c>
    </row>
    <row r="752" spans="1:6" ht="12.75" customHeight="1" x14ac:dyDescent="0.2">
      <c r="A752" s="1" t="s">
        <v>5</v>
      </c>
      <c r="B752" s="418" t="s">
        <v>267</v>
      </c>
      <c r="C752" s="419" t="s">
        <v>263</v>
      </c>
      <c r="D752" s="419" t="s">
        <v>264</v>
      </c>
      <c r="E752" s="420" t="s">
        <v>265</v>
      </c>
      <c r="F752" s="57" t="s">
        <v>266</v>
      </c>
    </row>
    <row r="753" spans="1:6" ht="12.75" customHeight="1" x14ac:dyDescent="0.2">
      <c r="A753" s="3" t="str">
        <f>'A VII.'!$A$171</f>
        <v>2.29</v>
      </c>
      <c r="B753" s="74" t="str">
        <f>VLOOKUP(A753,'A VII.'!$A$10:$D$199,2,FALSE)</f>
        <v>LOCAL LICENCIADO PARA DEPÓSITO DE BOTA FORA</v>
      </c>
      <c r="C753" s="114">
        <v>1</v>
      </c>
      <c r="D753" s="54" t="str">
        <f>VLOOKUP(A753,'A VII.'!$A$10:$D$199,3,FALSE)</f>
        <v>M3</v>
      </c>
      <c r="E753" s="85">
        <f>'A VII.'!$D$171</f>
        <v>0</v>
      </c>
      <c r="F753" s="59">
        <f t="shared" ref="F753:F762" si="39">ROUND(C753*E753,2)</f>
        <v>0</v>
      </c>
    </row>
    <row r="754" spans="1:6" ht="12.75" customHeight="1" x14ac:dyDescent="0.2">
      <c r="A754" s="3"/>
      <c r="C754" s="114"/>
      <c r="E754" s="85"/>
      <c r="F754" s="59">
        <f>ROUND(C754*E754,2)</f>
        <v>0</v>
      </c>
    </row>
    <row r="755" spans="1:6" ht="12.75" customHeight="1" x14ac:dyDescent="0.2">
      <c r="A755" s="3"/>
      <c r="C755" s="114"/>
      <c r="E755" s="85"/>
      <c r="F755" s="59">
        <f t="shared" si="39"/>
        <v>0</v>
      </c>
    </row>
    <row r="756" spans="1:6" ht="12.75" customHeight="1" x14ac:dyDescent="0.2">
      <c r="A756" s="3"/>
      <c r="C756" s="114"/>
      <c r="E756" s="85"/>
      <c r="F756" s="59">
        <f t="shared" si="39"/>
        <v>0</v>
      </c>
    </row>
    <row r="757" spans="1:6" ht="12.75" customHeight="1" x14ac:dyDescent="0.2">
      <c r="A757" s="3"/>
      <c r="C757" s="114"/>
      <c r="E757" s="85"/>
      <c r="F757" s="59">
        <f t="shared" si="39"/>
        <v>0</v>
      </c>
    </row>
    <row r="758" spans="1:6" ht="12.75" customHeight="1" x14ac:dyDescent="0.2">
      <c r="A758" s="3"/>
      <c r="C758" s="114"/>
      <c r="E758" s="85"/>
      <c r="F758" s="59">
        <f t="shared" si="39"/>
        <v>0</v>
      </c>
    </row>
    <row r="759" spans="1:6" ht="12.75" customHeight="1" x14ac:dyDescent="0.2">
      <c r="A759" s="3"/>
      <c r="C759" s="114"/>
      <c r="E759" s="85"/>
      <c r="F759" s="59">
        <f t="shared" si="39"/>
        <v>0</v>
      </c>
    </row>
    <row r="760" spans="1:6" ht="12.75" customHeight="1" x14ac:dyDescent="0.2">
      <c r="A760" s="3"/>
      <c r="C760" s="114"/>
      <c r="E760" s="85"/>
      <c r="F760" s="59">
        <f t="shared" si="39"/>
        <v>0</v>
      </c>
    </row>
    <row r="761" spans="1:6" ht="12.75" customHeight="1" x14ac:dyDescent="0.2">
      <c r="A761" s="3"/>
      <c r="C761" s="114"/>
      <c r="E761" s="85"/>
      <c r="F761" s="59">
        <f t="shared" si="39"/>
        <v>0</v>
      </c>
    </row>
    <row r="762" spans="1:6" ht="12.75" customHeight="1" x14ac:dyDescent="0.2">
      <c r="A762" s="3"/>
      <c r="C762" s="114"/>
      <c r="E762" s="85"/>
      <c r="F762" s="59">
        <f t="shared" si="39"/>
        <v>0</v>
      </c>
    </row>
    <row r="763" spans="1:6" ht="12.75" customHeight="1" x14ac:dyDescent="0.2">
      <c r="A763" s="3"/>
      <c r="B763" s="86" t="s">
        <v>258</v>
      </c>
      <c r="C763" s="87"/>
      <c r="D763" s="88"/>
      <c r="E763" s="89"/>
      <c r="F763" s="90">
        <f>SUM(F753:F762)</f>
        <v>0</v>
      </c>
    </row>
    <row r="764" spans="1:6" ht="12.75" customHeight="1" x14ac:dyDescent="0.2">
      <c r="A764" s="3"/>
      <c r="B764" s="91" t="s">
        <v>70</v>
      </c>
      <c r="C764" s="15">
        <f>$D$8</f>
        <v>0</v>
      </c>
      <c r="D764" s="92"/>
      <c r="E764" s="93"/>
      <c r="F764" s="94">
        <f>ROUND(C764*F763,2)</f>
        <v>0</v>
      </c>
    </row>
    <row r="765" spans="1:6" ht="12.75" customHeight="1" x14ac:dyDescent="0.2">
      <c r="A765" s="95"/>
      <c r="B765" s="424" t="s">
        <v>260</v>
      </c>
      <c r="C765" s="425"/>
      <c r="D765" s="425"/>
      <c r="E765" s="426"/>
      <c r="F765" s="96">
        <f>F763+F764</f>
        <v>0</v>
      </c>
    </row>
    <row r="766" spans="1:6" ht="12.75" customHeight="1" x14ac:dyDescent="0.2">
      <c r="A766" s="97" t="s">
        <v>54</v>
      </c>
      <c r="B766" s="427" t="s">
        <v>268</v>
      </c>
      <c r="C766" s="428" t="s">
        <v>263</v>
      </c>
      <c r="D766" s="429" t="s">
        <v>264</v>
      </c>
      <c r="E766" s="430" t="s">
        <v>265</v>
      </c>
      <c r="F766" s="57" t="s">
        <v>266</v>
      </c>
    </row>
    <row r="767" spans="1:6" ht="12.75" customHeight="1" x14ac:dyDescent="0.2">
      <c r="A767" s="3"/>
      <c r="C767" s="114"/>
      <c r="E767" s="85"/>
      <c r="F767" s="59">
        <f t="shared" ref="F767:F773" si="40">ROUND(C767*E767,2)</f>
        <v>0</v>
      </c>
    </row>
    <row r="768" spans="1:6" ht="12.75" customHeight="1" x14ac:dyDescent="0.2">
      <c r="A768" s="3"/>
      <c r="C768" s="114"/>
      <c r="E768" s="85"/>
      <c r="F768" s="59">
        <f t="shared" si="40"/>
        <v>0</v>
      </c>
    </row>
    <row r="769" spans="1:6" ht="12.75" customHeight="1" x14ac:dyDescent="0.2">
      <c r="A769" s="3"/>
      <c r="C769" s="114"/>
      <c r="E769" s="85"/>
      <c r="F769" s="59">
        <f t="shared" si="40"/>
        <v>0</v>
      </c>
    </row>
    <row r="770" spans="1:6" ht="12.75" customHeight="1" x14ac:dyDescent="0.2">
      <c r="A770" s="3"/>
      <c r="C770" s="114"/>
      <c r="E770" s="85"/>
      <c r="F770" s="59">
        <f t="shared" si="40"/>
        <v>0</v>
      </c>
    </row>
    <row r="771" spans="1:6" ht="12.75" customHeight="1" x14ac:dyDescent="0.2">
      <c r="A771" s="3"/>
      <c r="C771" s="114"/>
      <c r="E771" s="85"/>
      <c r="F771" s="59">
        <f t="shared" si="40"/>
        <v>0</v>
      </c>
    </row>
    <row r="772" spans="1:6" ht="12.75" customHeight="1" x14ac:dyDescent="0.2">
      <c r="A772" s="3"/>
      <c r="C772" s="114"/>
      <c r="E772" s="85"/>
      <c r="F772" s="59">
        <f t="shared" si="40"/>
        <v>0</v>
      </c>
    </row>
    <row r="773" spans="1:6" ht="12.75" customHeight="1" x14ac:dyDescent="0.2">
      <c r="A773" s="3"/>
      <c r="C773" s="114"/>
      <c r="E773" s="85"/>
      <c r="F773" s="59">
        <f t="shared" si="40"/>
        <v>0</v>
      </c>
    </row>
    <row r="774" spans="1:6" ht="12.75" customHeight="1" x14ac:dyDescent="0.2">
      <c r="A774" s="3"/>
      <c r="B774" s="86" t="s">
        <v>258</v>
      </c>
      <c r="C774" s="87"/>
      <c r="D774" s="88"/>
      <c r="E774" s="89"/>
      <c r="F774" s="90">
        <f>SUM(F767:F773)</f>
        <v>0</v>
      </c>
    </row>
    <row r="775" spans="1:6" ht="12.75" customHeight="1" x14ac:dyDescent="0.2">
      <c r="A775" s="3"/>
      <c r="B775" s="91" t="s">
        <v>261</v>
      </c>
      <c r="C775" s="15">
        <f>'A IX.'!$C$45</f>
        <v>0</v>
      </c>
      <c r="D775" s="92"/>
      <c r="E775" s="93"/>
      <c r="F775" s="94">
        <f>ROUND(F774*C775,2)</f>
        <v>0</v>
      </c>
    </row>
    <row r="776" spans="1:6" ht="12.75" customHeight="1" x14ac:dyDescent="0.2">
      <c r="A776" s="3"/>
      <c r="B776" s="91" t="s">
        <v>70</v>
      </c>
      <c r="C776" s="15">
        <f>$D$8</f>
        <v>0</v>
      </c>
      <c r="D776" s="92"/>
      <c r="E776" s="93"/>
      <c r="F776" s="94">
        <f>ROUND(SUM(F774:F775)*C776,2)</f>
        <v>0</v>
      </c>
    </row>
    <row r="777" spans="1:6" ht="12.75" customHeight="1" thickBot="1" x14ac:dyDescent="0.25">
      <c r="A777" s="98"/>
      <c r="B777" s="99" t="s">
        <v>262</v>
      </c>
      <c r="C777" s="100"/>
      <c r="D777" s="100"/>
      <c r="E777" s="101"/>
      <c r="F777" s="102">
        <f>SUM(F774:F776)</f>
        <v>0</v>
      </c>
    </row>
    <row r="778" spans="1:6" ht="12.75" customHeight="1" thickBot="1" x14ac:dyDescent="0.25">
      <c r="A778" s="252"/>
      <c r="B778" s="253"/>
      <c r="C778" s="254"/>
      <c r="D778" s="254"/>
      <c r="E778" s="255"/>
      <c r="F778" s="256"/>
    </row>
    <row r="779" spans="1:6" ht="30" customHeight="1" x14ac:dyDescent="0.2">
      <c r="A779" s="5" t="str">
        <f>'A IV.A'!A38</f>
        <v>2.3.1</v>
      </c>
      <c r="B779" s="416" t="str">
        <f>'A IV.A'!B38</f>
        <v>SINALIZAÇÃO DE OBRA COM CONE DE PVC COM PINTURA REFLEXIVA H = 0,70 M</v>
      </c>
      <c r="C779" s="526" t="s">
        <v>269</v>
      </c>
      <c r="D779" s="527"/>
      <c r="E779" s="417" t="str">
        <f>'A IV.A'!C38</f>
        <v>UN</v>
      </c>
      <c r="F779" s="58">
        <f>ROUND(F799+F813+F825,2)</f>
        <v>0</v>
      </c>
    </row>
    <row r="780" spans="1:6" ht="12.75" customHeight="1" x14ac:dyDescent="0.2">
      <c r="A780" s="1" t="s">
        <v>17</v>
      </c>
      <c r="B780" s="418" t="s">
        <v>162</v>
      </c>
      <c r="C780" s="419" t="s">
        <v>263</v>
      </c>
      <c r="D780" s="419" t="s">
        <v>264</v>
      </c>
      <c r="E780" s="420" t="s">
        <v>265</v>
      </c>
      <c r="F780" s="57" t="s">
        <v>266</v>
      </c>
    </row>
    <row r="781" spans="1:6" ht="12.75" customHeight="1" x14ac:dyDescent="0.2">
      <c r="A781" s="6" t="str">
        <f>'A VII.'!$A$42</f>
        <v>1.33</v>
      </c>
      <c r="B781" s="421" t="str">
        <f>'A VII.'!B42</f>
        <v>CONE DE SINALIZACAO EM PVC RIGIDO COM FAIXA REFLETIVA, H = 70 / 76 CM</v>
      </c>
      <c r="C781" s="114">
        <v>1</v>
      </c>
      <c r="D781" s="7" t="str">
        <f>'A VII.'!C42</f>
        <v xml:space="preserve">UN </v>
      </c>
      <c r="E781" s="85">
        <f>'A VII.'!$D$42</f>
        <v>0</v>
      </c>
      <c r="F781" s="59">
        <f>ROUND(C781*E781,2)</f>
        <v>0</v>
      </c>
    </row>
    <row r="782" spans="1:6" ht="12.75" customHeight="1" x14ac:dyDescent="0.2">
      <c r="A782" s="6"/>
      <c r="B782" s="421"/>
      <c r="C782" s="114"/>
      <c r="D782" s="7"/>
      <c r="E782" s="85"/>
      <c r="F782" s="59">
        <f t="shared" ref="F782:F796" si="41">ROUND(C782*E782,2)</f>
        <v>0</v>
      </c>
    </row>
    <row r="783" spans="1:6" ht="12.75" customHeight="1" x14ac:dyDescent="0.2">
      <c r="A783" s="6"/>
      <c r="B783" s="421"/>
      <c r="C783" s="114"/>
      <c r="D783" s="7"/>
      <c r="E783" s="85"/>
      <c r="F783" s="59">
        <f t="shared" si="41"/>
        <v>0</v>
      </c>
    </row>
    <row r="784" spans="1:6" ht="12.75" customHeight="1" x14ac:dyDescent="0.2">
      <c r="A784" s="6"/>
      <c r="B784" s="421"/>
      <c r="C784" s="114"/>
      <c r="D784" s="7"/>
      <c r="E784" s="85"/>
      <c r="F784" s="59">
        <f t="shared" si="41"/>
        <v>0</v>
      </c>
    </row>
    <row r="785" spans="1:6" ht="12.75" customHeight="1" x14ac:dyDescent="0.2">
      <c r="A785" s="6"/>
      <c r="B785" s="421"/>
      <c r="C785" s="114"/>
      <c r="D785" s="7"/>
      <c r="E785" s="85"/>
      <c r="F785" s="59">
        <f t="shared" si="41"/>
        <v>0</v>
      </c>
    </row>
    <row r="786" spans="1:6" ht="12.75" customHeight="1" x14ac:dyDescent="0.2">
      <c r="A786" s="6"/>
      <c r="B786" s="421"/>
      <c r="C786" s="114"/>
      <c r="D786" s="7"/>
      <c r="E786" s="85"/>
      <c r="F786" s="59">
        <f t="shared" si="41"/>
        <v>0</v>
      </c>
    </row>
    <row r="787" spans="1:6" ht="12.75" customHeight="1" x14ac:dyDescent="0.2">
      <c r="A787" s="6"/>
      <c r="B787" s="421"/>
      <c r="C787" s="114"/>
      <c r="D787" s="7"/>
      <c r="E787" s="85"/>
      <c r="F787" s="59">
        <f t="shared" si="41"/>
        <v>0</v>
      </c>
    </row>
    <row r="788" spans="1:6" ht="12.75" customHeight="1" x14ac:dyDescent="0.2">
      <c r="A788" s="6"/>
      <c r="B788" s="421"/>
      <c r="C788" s="114"/>
      <c r="D788" s="7"/>
      <c r="E788" s="85"/>
      <c r="F788" s="59">
        <f t="shared" si="41"/>
        <v>0</v>
      </c>
    </row>
    <row r="789" spans="1:6" ht="12.75" customHeight="1" x14ac:dyDescent="0.2">
      <c r="A789" s="6"/>
      <c r="B789" s="421"/>
      <c r="C789" s="114"/>
      <c r="D789" s="7"/>
      <c r="E789" s="85"/>
      <c r="F789" s="59">
        <f t="shared" si="41"/>
        <v>0</v>
      </c>
    </row>
    <row r="790" spans="1:6" ht="12.75" customHeight="1" x14ac:dyDescent="0.2">
      <c r="A790" s="6"/>
      <c r="B790" s="421"/>
      <c r="C790" s="114"/>
      <c r="D790" s="7"/>
      <c r="E790" s="85"/>
      <c r="F790" s="59">
        <f t="shared" si="41"/>
        <v>0</v>
      </c>
    </row>
    <row r="791" spans="1:6" ht="12.75" customHeight="1" x14ac:dyDescent="0.2">
      <c r="A791" s="6"/>
      <c r="B791" s="421"/>
      <c r="C791" s="114"/>
      <c r="D791" s="7"/>
      <c r="E791" s="85"/>
      <c r="F791" s="59">
        <f t="shared" si="41"/>
        <v>0</v>
      </c>
    </row>
    <row r="792" spans="1:6" ht="12.75" customHeight="1" x14ac:dyDescent="0.2">
      <c r="A792" s="6"/>
      <c r="B792" s="421"/>
      <c r="C792" s="114"/>
      <c r="D792" s="423"/>
      <c r="E792" s="85"/>
      <c r="F792" s="59">
        <f t="shared" si="41"/>
        <v>0</v>
      </c>
    </row>
    <row r="793" spans="1:6" ht="12.75" customHeight="1" x14ac:dyDescent="0.2">
      <c r="A793" s="6"/>
      <c r="B793" s="421"/>
      <c r="C793" s="114"/>
      <c r="D793" s="423"/>
      <c r="E793" s="85"/>
      <c r="F793" s="59">
        <f t="shared" si="41"/>
        <v>0</v>
      </c>
    </row>
    <row r="794" spans="1:6" ht="12.75" customHeight="1" x14ac:dyDescent="0.2">
      <c r="A794" s="6"/>
      <c r="B794" s="421"/>
      <c r="C794" s="114"/>
      <c r="D794" s="423"/>
      <c r="E794" s="85"/>
      <c r="F794" s="59">
        <f t="shared" si="41"/>
        <v>0</v>
      </c>
    </row>
    <row r="795" spans="1:6" ht="12.75" customHeight="1" x14ac:dyDescent="0.2">
      <c r="A795" s="3"/>
      <c r="C795" s="114"/>
      <c r="E795" s="85"/>
      <c r="F795" s="59">
        <f t="shared" si="41"/>
        <v>0</v>
      </c>
    </row>
    <row r="796" spans="1:6" ht="12.75" customHeight="1" x14ac:dyDescent="0.2">
      <c r="A796" s="3"/>
      <c r="C796" s="114"/>
      <c r="E796" s="85"/>
      <c r="F796" s="59">
        <f t="shared" si="41"/>
        <v>0</v>
      </c>
    </row>
    <row r="797" spans="1:6" ht="12.75" customHeight="1" x14ac:dyDescent="0.2">
      <c r="A797" s="3"/>
      <c r="B797" s="86" t="s">
        <v>258</v>
      </c>
      <c r="C797" s="87"/>
      <c r="D797" s="88"/>
      <c r="E797" s="89"/>
      <c r="F797" s="90">
        <f>SUM(F781:F796)</f>
        <v>0</v>
      </c>
    </row>
    <row r="798" spans="1:6" ht="12.75" customHeight="1" x14ac:dyDescent="0.2">
      <c r="A798" s="3"/>
      <c r="B798" s="91" t="s">
        <v>70</v>
      </c>
      <c r="C798" s="15">
        <f>$D$8</f>
        <v>0</v>
      </c>
      <c r="D798" s="92"/>
      <c r="E798" s="93"/>
      <c r="F798" s="94">
        <f>ROUND(F797*C798,2)</f>
        <v>0</v>
      </c>
    </row>
    <row r="799" spans="1:6" ht="12.75" customHeight="1" x14ac:dyDescent="0.2">
      <c r="A799" s="95"/>
      <c r="B799" s="424" t="s">
        <v>259</v>
      </c>
      <c r="C799" s="425"/>
      <c r="D799" s="425"/>
      <c r="E799" s="426"/>
      <c r="F799" s="96">
        <f>F797+F798</f>
        <v>0</v>
      </c>
    </row>
    <row r="800" spans="1:6" ht="12.75" customHeight="1" x14ac:dyDescent="0.2">
      <c r="A800" s="1" t="s">
        <v>5</v>
      </c>
      <c r="B800" s="418" t="s">
        <v>267</v>
      </c>
      <c r="C800" s="419" t="s">
        <v>263</v>
      </c>
      <c r="D800" s="419" t="s">
        <v>264</v>
      </c>
      <c r="E800" s="420" t="s">
        <v>265</v>
      </c>
      <c r="F800" s="57" t="s">
        <v>266</v>
      </c>
    </row>
    <row r="801" spans="1:6" ht="12.75" customHeight="1" x14ac:dyDescent="0.2">
      <c r="A801" s="3"/>
      <c r="C801" s="114"/>
      <c r="E801" s="85"/>
      <c r="F801" s="59">
        <f t="shared" ref="F801:F810" si="42">ROUND(C801*E801,2)</f>
        <v>0</v>
      </c>
    </row>
    <row r="802" spans="1:6" ht="12.75" customHeight="1" x14ac:dyDescent="0.2">
      <c r="A802" s="3"/>
      <c r="C802" s="114"/>
      <c r="E802" s="85"/>
      <c r="F802" s="59">
        <f t="shared" si="42"/>
        <v>0</v>
      </c>
    </row>
    <row r="803" spans="1:6" ht="12.75" customHeight="1" x14ac:dyDescent="0.2">
      <c r="A803" s="3"/>
      <c r="C803" s="114"/>
      <c r="E803" s="85"/>
      <c r="F803" s="59">
        <f t="shared" si="42"/>
        <v>0</v>
      </c>
    </row>
    <row r="804" spans="1:6" ht="12.75" customHeight="1" x14ac:dyDescent="0.2">
      <c r="A804" s="3"/>
      <c r="C804" s="114"/>
      <c r="E804" s="85"/>
      <c r="F804" s="59">
        <f t="shared" si="42"/>
        <v>0</v>
      </c>
    </row>
    <row r="805" spans="1:6" ht="12.75" customHeight="1" x14ac:dyDescent="0.2">
      <c r="A805" s="3"/>
      <c r="C805" s="114"/>
      <c r="E805" s="85"/>
      <c r="F805" s="59">
        <f t="shared" si="42"/>
        <v>0</v>
      </c>
    </row>
    <row r="806" spans="1:6" ht="12.75" customHeight="1" x14ac:dyDescent="0.2">
      <c r="A806" s="3"/>
      <c r="C806" s="114"/>
      <c r="E806" s="85"/>
      <c r="F806" s="59">
        <f t="shared" si="42"/>
        <v>0</v>
      </c>
    </row>
    <row r="807" spans="1:6" ht="12.75" customHeight="1" x14ac:dyDescent="0.2">
      <c r="A807" s="3"/>
      <c r="C807" s="114"/>
      <c r="E807" s="85"/>
      <c r="F807" s="59">
        <f t="shared" si="42"/>
        <v>0</v>
      </c>
    </row>
    <row r="808" spans="1:6" ht="12.75" customHeight="1" x14ac:dyDescent="0.2">
      <c r="A808" s="3"/>
      <c r="C808" s="114"/>
      <c r="E808" s="85"/>
      <c r="F808" s="59">
        <f t="shared" si="42"/>
        <v>0</v>
      </c>
    </row>
    <row r="809" spans="1:6" ht="12.75" customHeight="1" x14ac:dyDescent="0.2">
      <c r="A809" s="3"/>
      <c r="C809" s="114"/>
      <c r="E809" s="85"/>
      <c r="F809" s="59">
        <f t="shared" si="42"/>
        <v>0</v>
      </c>
    </row>
    <row r="810" spans="1:6" ht="12.75" customHeight="1" x14ac:dyDescent="0.2">
      <c r="A810" s="3"/>
      <c r="C810" s="114"/>
      <c r="E810" s="85"/>
      <c r="F810" s="59">
        <f t="shared" si="42"/>
        <v>0</v>
      </c>
    </row>
    <row r="811" spans="1:6" ht="12.75" customHeight="1" x14ac:dyDescent="0.2">
      <c r="A811" s="3"/>
      <c r="B811" s="86" t="s">
        <v>258</v>
      </c>
      <c r="C811" s="87"/>
      <c r="D811" s="88"/>
      <c r="E811" s="89"/>
      <c r="F811" s="90">
        <f>SUM(F801:F810)</f>
        <v>0</v>
      </c>
    </row>
    <row r="812" spans="1:6" ht="12.75" customHeight="1" x14ac:dyDescent="0.2">
      <c r="A812" s="3"/>
      <c r="B812" s="91" t="s">
        <v>70</v>
      </c>
      <c r="C812" s="15">
        <f>$D$8</f>
        <v>0</v>
      </c>
      <c r="D812" s="92"/>
      <c r="E812" s="93"/>
      <c r="F812" s="94">
        <f>ROUND(C812*F811,2)</f>
        <v>0</v>
      </c>
    </row>
    <row r="813" spans="1:6" ht="12.75" customHeight="1" x14ac:dyDescent="0.2">
      <c r="A813" s="95"/>
      <c r="B813" s="424" t="s">
        <v>260</v>
      </c>
      <c r="C813" s="425"/>
      <c r="D813" s="425"/>
      <c r="E813" s="426"/>
      <c r="F813" s="96">
        <f>F811+F812</f>
        <v>0</v>
      </c>
    </row>
    <row r="814" spans="1:6" ht="12.75" customHeight="1" x14ac:dyDescent="0.2">
      <c r="A814" s="97" t="s">
        <v>54</v>
      </c>
      <c r="B814" s="427" t="s">
        <v>268</v>
      </c>
      <c r="C814" s="428" t="s">
        <v>263</v>
      </c>
      <c r="D814" s="429" t="s">
        <v>264</v>
      </c>
      <c r="E814" s="430" t="s">
        <v>265</v>
      </c>
      <c r="F814" s="57" t="s">
        <v>266</v>
      </c>
    </row>
    <row r="815" spans="1:6" ht="12.75" customHeight="1" x14ac:dyDescent="0.2">
      <c r="A815" s="3"/>
      <c r="C815" s="114"/>
      <c r="E815" s="85"/>
      <c r="F815" s="59">
        <f t="shared" ref="F815:F821" si="43">ROUND(C815*E815,2)</f>
        <v>0</v>
      </c>
    </row>
    <row r="816" spans="1:6" ht="12.75" customHeight="1" x14ac:dyDescent="0.2">
      <c r="A816" s="3"/>
      <c r="C816" s="114"/>
      <c r="E816" s="85"/>
      <c r="F816" s="59">
        <f t="shared" si="43"/>
        <v>0</v>
      </c>
    </row>
    <row r="817" spans="1:6" ht="12.75" customHeight="1" x14ac:dyDescent="0.2">
      <c r="A817" s="3"/>
      <c r="C817" s="114"/>
      <c r="E817" s="85"/>
      <c r="F817" s="59">
        <f t="shared" si="43"/>
        <v>0</v>
      </c>
    </row>
    <row r="818" spans="1:6" ht="12.75" customHeight="1" x14ac:dyDescent="0.2">
      <c r="A818" s="3"/>
      <c r="C818" s="114"/>
      <c r="E818" s="85"/>
      <c r="F818" s="59">
        <f t="shared" si="43"/>
        <v>0</v>
      </c>
    </row>
    <row r="819" spans="1:6" ht="12.75" customHeight="1" x14ac:dyDescent="0.2">
      <c r="A819" s="3"/>
      <c r="C819" s="114"/>
      <c r="E819" s="85"/>
      <c r="F819" s="59">
        <f t="shared" si="43"/>
        <v>0</v>
      </c>
    </row>
    <row r="820" spans="1:6" ht="12.75" customHeight="1" x14ac:dyDescent="0.2">
      <c r="A820" s="3"/>
      <c r="C820" s="114"/>
      <c r="E820" s="85"/>
      <c r="F820" s="59">
        <f t="shared" si="43"/>
        <v>0</v>
      </c>
    </row>
    <row r="821" spans="1:6" ht="12.75" customHeight="1" x14ac:dyDescent="0.2">
      <c r="A821" s="3"/>
      <c r="C821" s="114"/>
      <c r="E821" s="85"/>
      <c r="F821" s="59">
        <f t="shared" si="43"/>
        <v>0</v>
      </c>
    </row>
    <row r="822" spans="1:6" ht="12.75" customHeight="1" x14ac:dyDescent="0.2">
      <c r="A822" s="3"/>
      <c r="B822" s="86" t="s">
        <v>258</v>
      </c>
      <c r="C822" s="87"/>
      <c r="D822" s="88"/>
      <c r="E822" s="89"/>
      <c r="F822" s="90">
        <f>SUM(F815:F821)</f>
        <v>0</v>
      </c>
    </row>
    <row r="823" spans="1:6" ht="12.75" customHeight="1" x14ac:dyDescent="0.2">
      <c r="A823" s="3"/>
      <c r="B823" s="91" t="s">
        <v>261</v>
      </c>
      <c r="C823" s="15">
        <f>'A IX.'!$C$45</f>
        <v>0</v>
      </c>
      <c r="D823" s="92"/>
      <c r="E823" s="93"/>
      <c r="F823" s="94">
        <f>ROUND(F822*C823,2)</f>
        <v>0</v>
      </c>
    </row>
    <row r="824" spans="1:6" ht="12.75" customHeight="1" x14ac:dyDescent="0.2">
      <c r="A824" s="3"/>
      <c r="B824" s="91" t="s">
        <v>70</v>
      </c>
      <c r="C824" s="15">
        <f>$D$8</f>
        <v>0</v>
      </c>
      <c r="D824" s="92"/>
      <c r="E824" s="93"/>
      <c r="F824" s="94">
        <f>ROUND(SUM(F822:F823)*C824,2)</f>
        <v>0</v>
      </c>
    </row>
    <row r="825" spans="1:6" ht="12.75" customHeight="1" thickBot="1" x14ac:dyDescent="0.25">
      <c r="A825" s="98"/>
      <c r="B825" s="99" t="s">
        <v>262</v>
      </c>
      <c r="C825" s="100"/>
      <c r="D825" s="100"/>
      <c r="E825" s="101"/>
      <c r="F825" s="102">
        <f>SUM(F822:F824)</f>
        <v>0</v>
      </c>
    </row>
    <row r="826" spans="1:6" ht="12.75" customHeight="1" thickBot="1" x14ac:dyDescent="0.25">
      <c r="A826" s="81"/>
      <c r="B826" s="82"/>
      <c r="C826" s="83"/>
      <c r="D826" s="83"/>
      <c r="E826" s="84"/>
      <c r="F826" s="103"/>
    </row>
    <row r="827" spans="1:6" ht="30" customHeight="1" x14ac:dyDescent="0.2">
      <c r="A827" s="5" t="str">
        <f>'A IV.A'!$A$39</f>
        <v>2.3.2</v>
      </c>
      <c r="B827" s="416" t="str">
        <f>'A IV.A'!B39</f>
        <v>ISOLAMENTO DE OBRA COM TELA PLÁSTICA COM MALHA DE 5 MM</v>
      </c>
      <c r="C827" s="526" t="s">
        <v>269</v>
      </c>
      <c r="D827" s="527"/>
      <c r="E827" s="417" t="str">
        <f>'A IV.A'!C39</f>
        <v>M</v>
      </c>
      <c r="F827" s="58">
        <f>ROUND(F847+F861+F873,2)</f>
        <v>0</v>
      </c>
    </row>
    <row r="828" spans="1:6" ht="12.75" customHeight="1" x14ac:dyDescent="0.2">
      <c r="A828" s="1" t="s">
        <v>17</v>
      </c>
      <c r="B828" s="418" t="s">
        <v>162</v>
      </c>
      <c r="C828" s="419" t="s">
        <v>263</v>
      </c>
      <c r="D828" s="419" t="s">
        <v>264</v>
      </c>
      <c r="E828" s="420" t="s">
        <v>265</v>
      </c>
      <c r="F828" s="57" t="s">
        <v>266</v>
      </c>
    </row>
    <row r="829" spans="1:6" ht="12.75" customHeight="1" x14ac:dyDescent="0.2">
      <c r="A829" s="6" t="str">
        <f>'A VII.'!$A$10</f>
        <v>1.1</v>
      </c>
      <c r="B829" s="421" t="str">
        <f>'A VII.'!$B$10</f>
        <v>AÇO CA-50 (MÉDIA DAS BITOLAS)</v>
      </c>
      <c r="C829" s="114">
        <f>0.25/4</f>
        <v>6.25E-2</v>
      </c>
      <c r="D829" s="7" t="str">
        <f>'A VII.'!$C$10</f>
        <v>KG</v>
      </c>
      <c r="E829" s="85">
        <f>'A VII.'!$D$10</f>
        <v>0</v>
      </c>
      <c r="F829" s="59">
        <f>ROUND(C829*E829,2)</f>
        <v>0</v>
      </c>
    </row>
    <row r="830" spans="1:6" ht="12.75" customHeight="1" x14ac:dyDescent="0.2">
      <c r="A830" s="6" t="str">
        <f>'A VII.'!$A$18</f>
        <v>1.9</v>
      </c>
      <c r="B830" s="421" t="str">
        <f>'A VII.'!$B$18</f>
        <v>ARAME RECOZIDO 18 BWG - 1,25MM - 9,60 G/M</v>
      </c>
      <c r="C830" s="114">
        <v>0.02</v>
      </c>
      <c r="D830" s="7" t="str">
        <f>'A VII.'!$C$18</f>
        <v>KG</v>
      </c>
      <c r="E830" s="85">
        <f>'A VII.'!$D$18</f>
        <v>0</v>
      </c>
      <c r="F830" s="59">
        <f t="shared" ref="F830:F844" si="44">ROUND(C830*E830,2)</f>
        <v>0</v>
      </c>
    </row>
    <row r="831" spans="1:6" ht="12.75" customHeight="1" x14ac:dyDescent="0.2">
      <c r="A831" s="6" t="str">
        <f>'A VII.'!$A$53</f>
        <v>1.44</v>
      </c>
      <c r="B831" s="421" t="str">
        <f>'A VII.'!$B$53</f>
        <v>FITA PLASTICA ZEBRADA PARA DEMARCACAO DE AREAS, LARGURA = 7 CM</v>
      </c>
      <c r="C831" s="114">
        <v>2</v>
      </c>
      <c r="D831" s="7" t="str">
        <f>'A VII.'!$C$53</f>
        <v>M</v>
      </c>
      <c r="E831" s="85">
        <f>'A VII.'!$D$53</f>
        <v>0</v>
      </c>
      <c r="F831" s="59">
        <f t="shared" si="44"/>
        <v>0</v>
      </c>
    </row>
    <row r="832" spans="1:6" ht="12.75" customHeight="1" x14ac:dyDescent="0.2">
      <c r="A832" s="6" t="str">
        <f>'A VII.'!$A$79</f>
        <v>1.70</v>
      </c>
      <c r="B832" s="421" t="str">
        <f>'A VII.'!$B$79</f>
        <v>PONTALETE DE MADEIRA NAO APARELHADA - 7,5 X 7,5 CM (3 X 3 ")</v>
      </c>
      <c r="C832" s="114">
        <f>0.5/4</f>
        <v>0.125</v>
      </c>
      <c r="D832" s="7" t="str">
        <f>'A VII.'!$C$79</f>
        <v>M</v>
      </c>
      <c r="E832" s="85">
        <f>'A VII.'!$D$79</f>
        <v>0</v>
      </c>
      <c r="F832" s="59">
        <f t="shared" si="44"/>
        <v>0</v>
      </c>
    </row>
    <row r="833" spans="1:6" ht="12.75" customHeight="1" x14ac:dyDescent="0.2">
      <c r="A833" s="6" t="str">
        <f>'A VII.'!$A$105</f>
        <v>1.95</v>
      </c>
      <c r="B833" s="421" t="str">
        <f>'A VII.'!$B$105</f>
        <v>TELA PLASTICA TECIDA LISTRADA BRANCA E LARANJA, TIPO GUARDA CORPO, EM POLIETILENO MONOFILADO, ROLO 1,20 X 50 M (L X C)</v>
      </c>
      <c r="C833" s="114">
        <v>1</v>
      </c>
      <c r="D833" s="7" t="str">
        <f>'A VII.'!$C$105</f>
        <v>M</v>
      </c>
      <c r="E833" s="85">
        <f>'A VII.'!$D$105</f>
        <v>0</v>
      </c>
      <c r="F833" s="59">
        <f t="shared" si="44"/>
        <v>0</v>
      </c>
    </row>
    <row r="834" spans="1:6" ht="12.75" customHeight="1" x14ac:dyDescent="0.2">
      <c r="A834" s="6"/>
      <c r="B834" s="421"/>
      <c r="C834" s="114"/>
      <c r="D834" s="7"/>
      <c r="E834" s="85"/>
      <c r="F834" s="59">
        <f t="shared" si="44"/>
        <v>0</v>
      </c>
    </row>
    <row r="835" spans="1:6" ht="12.75" customHeight="1" x14ac:dyDescent="0.2">
      <c r="A835" s="6"/>
      <c r="B835" s="421"/>
      <c r="C835" s="114"/>
      <c r="D835" s="7"/>
      <c r="E835" s="85"/>
      <c r="F835" s="59">
        <f t="shared" si="44"/>
        <v>0</v>
      </c>
    </row>
    <row r="836" spans="1:6" ht="12.75" customHeight="1" x14ac:dyDescent="0.2">
      <c r="A836" s="6"/>
      <c r="B836" s="421"/>
      <c r="C836" s="114"/>
      <c r="D836" s="7"/>
      <c r="E836" s="85"/>
      <c r="F836" s="59">
        <f t="shared" si="44"/>
        <v>0</v>
      </c>
    </row>
    <row r="837" spans="1:6" ht="12.75" customHeight="1" x14ac:dyDescent="0.2">
      <c r="A837" s="6"/>
      <c r="B837" s="421"/>
      <c r="C837" s="114"/>
      <c r="D837" s="7"/>
      <c r="E837" s="85"/>
      <c r="F837" s="59">
        <f t="shared" si="44"/>
        <v>0</v>
      </c>
    </row>
    <row r="838" spans="1:6" ht="12.75" customHeight="1" x14ac:dyDescent="0.2">
      <c r="A838" s="6"/>
      <c r="B838" s="421"/>
      <c r="C838" s="114"/>
      <c r="D838" s="7"/>
      <c r="E838" s="85"/>
      <c r="F838" s="59">
        <f t="shared" si="44"/>
        <v>0</v>
      </c>
    </row>
    <row r="839" spans="1:6" ht="12.75" customHeight="1" x14ac:dyDescent="0.2">
      <c r="A839" s="6"/>
      <c r="B839" s="421"/>
      <c r="C839" s="114"/>
      <c r="D839" s="7"/>
      <c r="E839" s="85"/>
      <c r="F839" s="59">
        <f t="shared" si="44"/>
        <v>0</v>
      </c>
    </row>
    <row r="840" spans="1:6" ht="12.75" customHeight="1" x14ac:dyDescent="0.2">
      <c r="A840" s="6"/>
      <c r="B840" s="421"/>
      <c r="C840" s="114"/>
      <c r="D840" s="423"/>
      <c r="E840" s="85"/>
      <c r="F840" s="59">
        <f t="shared" si="44"/>
        <v>0</v>
      </c>
    </row>
    <row r="841" spans="1:6" ht="12.75" customHeight="1" x14ac:dyDescent="0.2">
      <c r="A841" s="6"/>
      <c r="B841" s="421"/>
      <c r="C841" s="114"/>
      <c r="D841" s="423"/>
      <c r="E841" s="85"/>
      <c r="F841" s="59">
        <f t="shared" si="44"/>
        <v>0</v>
      </c>
    </row>
    <row r="842" spans="1:6" ht="12.75" customHeight="1" x14ac:dyDescent="0.2">
      <c r="A842" s="6"/>
      <c r="B842" s="421"/>
      <c r="C842" s="114"/>
      <c r="D842" s="423"/>
      <c r="E842" s="85"/>
      <c r="F842" s="59">
        <f t="shared" si="44"/>
        <v>0</v>
      </c>
    </row>
    <row r="843" spans="1:6" ht="12.75" customHeight="1" x14ac:dyDescent="0.2">
      <c r="A843" s="3"/>
      <c r="C843" s="114"/>
      <c r="E843" s="85"/>
      <c r="F843" s="59">
        <f t="shared" si="44"/>
        <v>0</v>
      </c>
    </row>
    <row r="844" spans="1:6" ht="12.75" customHeight="1" x14ac:dyDescent="0.2">
      <c r="A844" s="3"/>
      <c r="C844" s="114"/>
      <c r="E844" s="85"/>
      <c r="F844" s="59">
        <f t="shared" si="44"/>
        <v>0</v>
      </c>
    </row>
    <row r="845" spans="1:6" ht="12.75" customHeight="1" x14ac:dyDescent="0.2">
      <c r="A845" s="3"/>
      <c r="B845" s="86" t="s">
        <v>258</v>
      </c>
      <c r="C845" s="87"/>
      <c r="D845" s="88"/>
      <c r="E845" s="89"/>
      <c r="F845" s="90">
        <f>SUM(F829:F844)</f>
        <v>0</v>
      </c>
    </row>
    <row r="846" spans="1:6" ht="12.75" customHeight="1" x14ac:dyDescent="0.2">
      <c r="A846" s="3"/>
      <c r="B846" s="91" t="s">
        <v>70</v>
      </c>
      <c r="C846" s="15">
        <f>$D$8</f>
        <v>0</v>
      </c>
      <c r="D846" s="92"/>
      <c r="E846" s="93"/>
      <c r="F846" s="94">
        <f>ROUND(F845*C846,2)</f>
        <v>0</v>
      </c>
    </row>
    <row r="847" spans="1:6" ht="12.75" customHeight="1" x14ac:dyDescent="0.2">
      <c r="A847" s="95"/>
      <c r="B847" s="424" t="s">
        <v>259</v>
      </c>
      <c r="C847" s="425"/>
      <c r="D847" s="425"/>
      <c r="E847" s="426"/>
      <c r="F847" s="96">
        <f>F845+F846</f>
        <v>0</v>
      </c>
    </row>
    <row r="848" spans="1:6" ht="12.75" customHeight="1" x14ac:dyDescent="0.2">
      <c r="A848" s="1" t="s">
        <v>5</v>
      </c>
      <c r="B848" s="418" t="s">
        <v>267</v>
      </c>
      <c r="C848" s="419" t="s">
        <v>263</v>
      </c>
      <c r="D848" s="419" t="s">
        <v>264</v>
      </c>
      <c r="E848" s="420" t="s">
        <v>265</v>
      </c>
      <c r="F848" s="57" t="s">
        <v>266</v>
      </c>
    </row>
    <row r="849" spans="1:6" ht="12.75" customHeight="1" x14ac:dyDescent="0.2">
      <c r="A849" s="3"/>
      <c r="C849" s="114"/>
      <c r="E849" s="85"/>
      <c r="F849" s="59">
        <f t="shared" ref="F849:F858" si="45">ROUND(C849*E849,2)</f>
        <v>0</v>
      </c>
    </row>
    <row r="850" spans="1:6" ht="12.75" customHeight="1" x14ac:dyDescent="0.2">
      <c r="A850" s="3"/>
      <c r="C850" s="114"/>
      <c r="E850" s="85"/>
      <c r="F850" s="59">
        <f t="shared" si="45"/>
        <v>0</v>
      </c>
    </row>
    <row r="851" spans="1:6" ht="12.75" customHeight="1" x14ac:dyDescent="0.2">
      <c r="A851" s="3"/>
      <c r="C851" s="114"/>
      <c r="E851" s="85"/>
      <c r="F851" s="59">
        <f t="shared" si="45"/>
        <v>0</v>
      </c>
    </row>
    <row r="852" spans="1:6" ht="12.75" customHeight="1" x14ac:dyDescent="0.2">
      <c r="A852" s="3"/>
      <c r="C852" s="114"/>
      <c r="E852" s="85"/>
      <c r="F852" s="59">
        <f t="shared" si="45"/>
        <v>0</v>
      </c>
    </row>
    <row r="853" spans="1:6" ht="12.75" customHeight="1" x14ac:dyDescent="0.2">
      <c r="A853" s="3"/>
      <c r="C853" s="114"/>
      <c r="E853" s="85"/>
      <c r="F853" s="59">
        <f t="shared" si="45"/>
        <v>0</v>
      </c>
    </row>
    <row r="854" spans="1:6" ht="12.75" customHeight="1" x14ac:dyDescent="0.2">
      <c r="A854" s="3"/>
      <c r="C854" s="114"/>
      <c r="E854" s="85"/>
      <c r="F854" s="59">
        <f t="shared" si="45"/>
        <v>0</v>
      </c>
    </row>
    <row r="855" spans="1:6" ht="12.75" customHeight="1" x14ac:dyDescent="0.2">
      <c r="A855" s="3"/>
      <c r="C855" s="114"/>
      <c r="E855" s="85"/>
      <c r="F855" s="59">
        <f t="shared" si="45"/>
        <v>0</v>
      </c>
    </row>
    <row r="856" spans="1:6" ht="12.75" customHeight="1" x14ac:dyDescent="0.2">
      <c r="A856" s="3"/>
      <c r="C856" s="114"/>
      <c r="E856" s="85"/>
      <c r="F856" s="59">
        <f t="shared" si="45"/>
        <v>0</v>
      </c>
    </row>
    <row r="857" spans="1:6" ht="12.75" customHeight="1" x14ac:dyDescent="0.2">
      <c r="A857" s="3"/>
      <c r="C857" s="114"/>
      <c r="E857" s="85"/>
      <c r="F857" s="59">
        <f t="shared" si="45"/>
        <v>0</v>
      </c>
    </row>
    <row r="858" spans="1:6" ht="12.75" customHeight="1" x14ac:dyDescent="0.2">
      <c r="A858" s="3"/>
      <c r="C858" s="114"/>
      <c r="E858" s="85"/>
      <c r="F858" s="59">
        <f t="shared" si="45"/>
        <v>0</v>
      </c>
    </row>
    <row r="859" spans="1:6" ht="12.75" customHeight="1" x14ac:dyDescent="0.2">
      <c r="A859" s="3"/>
      <c r="B859" s="86" t="s">
        <v>258</v>
      </c>
      <c r="C859" s="87"/>
      <c r="D859" s="88"/>
      <c r="E859" s="89"/>
      <c r="F859" s="90">
        <f>SUM(F849:F858)</f>
        <v>0</v>
      </c>
    </row>
    <row r="860" spans="1:6" ht="12.75" customHeight="1" x14ac:dyDescent="0.2">
      <c r="A860" s="3"/>
      <c r="B860" s="91" t="s">
        <v>70</v>
      </c>
      <c r="C860" s="15">
        <f>$D$8</f>
        <v>0</v>
      </c>
      <c r="D860" s="92"/>
      <c r="E860" s="93"/>
      <c r="F860" s="94">
        <f>ROUND(C860*F859,2)</f>
        <v>0</v>
      </c>
    </row>
    <row r="861" spans="1:6" ht="12.75" customHeight="1" x14ac:dyDescent="0.2">
      <c r="A861" s="95"/>
      <c r="B861" s="424" t="s">
        <v>260</v>
      </c>
      <c r="C861" s="425"/>
      <c r="D861" s="425"/>
      <c r="E861" s="426"/>
      <c r="F861" s="96">
        <f>F859+F860</f>
        <v>0</v>
      </c>
    </row>
    <row r="862" spans="1:6" ht="12.75" customHeight="1" x14ac:dyDescent="0.2">
      <c r="A862" s="97" t="s">
        <v>54</v>
      </c>
      <c r="B862" s="427" t="s">
        <v>268</v>
      </c>
      <c r="C862" s="428" t="s">
        <v>263</v>
      </c>
      <c r="D862" s="429" t="s">
        <v>264</v>
      </c>
      <c r="E862" s="430" t="s">
        <v>265</v>
      </c>
      <c r="F862" s="57" t="s">
        <v>266</v>
      </c>
    </row>
    <row r="863" spans="1:6" ht="12.75" customHeight="1" x14ac:dyDescent="0.2">
      <c r="A863" s="3" t="str">
        <f>'A VII.'!$A$181</f>
        <v>3.1</v>
      </c>
      <c r="B863" s="74" t="str">
        <f>'A VII.'!$B$181</f>
        <v>AJUDANTE COM ENCARGOS COMPLEMENTARES</v>
      </c>
      <c r="C863" s="114">
        <f>5/60</f>
        <v>8.3333333333333329E-2</v>
      </c>
      <c r="D863" s="54" t="str">
        <f>'A VII.'!$C$181</f>
        <v>H</v>
      </c>
      <c r="E863" s="85">
        <f>'A VII.'!$D$181</f>
        <v>0</v>
      </c>
      <c r="F863" s="59">
        <f t="shared" ref="F863:F869" si="46">ROUND(C863*E863,2)</f>
        <v>0</v>
      </c>
    </row>
    <row r="864" spans="1:6" ht="12.75" customHeight="1" x14ac:dyDescent="0.2">
      <c r="A864" s="3"/>
      <c r="C864" s="114"/>
      <c r="E864" s="85"/>
      <c r="F864" s="59">
        <f t="shared" si="46"/>
        <v>0</v>
      </c>
    </row>
    <row r="865" spans="1:6" ht="12.75" customHeight="1" x14ac:dyDescent="0.2">
      <c r="A865" s="3"/>
      <c r="C865" s="114"/>
      <c r="E865" s="85"/>
      <c r="F865" s="59">
        <f t="shared" si="46"/>
        <v>0</v>
      </c>
    </row>
    <row r="866" spans="1:6" ht="12.75" customHeight="1" x14ac:dyDescent="0.2">
      <c r="A866" s="3"/>
      <c r="C866" s="114"/>
      <c r="E866" s="85"/>
      <c r="F866" s="59">
        <f t="shared" si="46"/>
        <v>0</v>
      </c>
    </row>
    <row r="867" spans="1:6" ht="12.75" customHeight="1" x14ac:dyDescent="0.2">
      <c r="A867" s="3"/>
      <c r="C867" s="114"/>
      <c r="E867" s="85"/>
      <c r="F867" s="59">
        <f t="shared" si="46"/>
        <v>0</v>
      </c>
    </row>
    <row r="868" spans="1:6" ht="12.75" customHeight="1" x14ac:dyDescent="0.2">
      <c r="A868" s="3"/>
      <c r="C868" s="114"/>
      <c r="E868" s="85"/>
      <c r="F868" s="59">
        <f t="shared" si="46"/>
        <v>0</v>
      </c>
    </row>
    <row r="869" spans="1:6" ht="12.75" customHeight="1" x14ac:dyDescent="0.2">
      <c r="A869" s="3"/>
      <c r="C869" s="114"/>
      <c r="E869" s="85"/>
      <c r="F869" s="59">
        <f t="shared" si="46"/>
        <v>0</v>
      </c>
    </row>
    <row r="870" spans="1:6" ht="12.75" customHeight="1" x14ac:dyDescent="0.2">
      <c r="A870" s="3"/>
      <c r="B870" s="86" t="s">
        <v>258</v>
      </c>
      <c r="C870" s="87"/>
      <c r="D870" s="88"/>
      <c r="E870" s="89"/>
      <c r="F870" s="90">
        <f>SUM(F863:F869)</f>
        <v>0</v>
      </c>
    </row>
    <row r="871" spans="1:6" ht="12.75" customHeight="1" x14ac:dyDescent="0.2">
      <c r="A871" s="3"/>
      <c r="B871" s="91" t="s">
        <v>261</v>
      </c>
      <c r="C871" s="15">
        <f>'A IX.'!$C$45</f>
        <v>0</v>
      </c>
      <c r="D871" s="92"/>
      <c r="E871" s="93"/>
      <c r="F871" s="94">
        <f>ROUND(F870*C871,2)</f>
        <v>0</v>
      </c>
    </row>
    <row r="872" spans="1:6" ht="12.75" customHeight="1" x14ac:dyDescent="0.2">
      <c r="A872" s="3"/>
      <c r="B872" s="91" t="s">
        <v>70</v>
      </c>
      <c r="C872" s="15">
        <f>$D$8</f>
        <v>0</v>
      </c>
      <c r="D872" s="92"/>
      <c r="E872" s="93"/>
      <c r="F872" s="94">
        <f>ROUND(SUM(F870:F871)*C872,2)</f>
        <v>0</v>
      </c>
    </row>
    <row r="873" spans="1:6" ht="12.75" customHeight="1" thickBot="1" x14ac:dyDescent="0.25">
      <c r="A873" s="98"/>
      <c r="B873" s="99" t="s">
        <v>262</v>
      </c>
      <c r="C873" s="100"/>
      <c r="D873" s="100"/>
      <c r="E873" s="101"/>
      <c r="F873" s="102">
        <f>SUM(F870:F872)</f>
        <v>0</v>
      </c>
    </row>
    <row r="874" spans="1:6" ht="12.75" customHeight="1" thickBot="1" x14ac:dyDescent="0.25">
      <c r="A874" s="81"/>
      <c r="B874" s="82"/>
      <c r="C874" s="83"/>
      <c r="D874" s="83"/>
      <c r="E874" s="84"/>
      <c r="F874" s="103"/>
    </row>
    <row r="875" spans="1:6" ht="30" customHeight="1" x14ac:dyDescent="0.2">
      <c r="A875" s="5" t="str">
        <f>'A IV.A'!$A$40</f>
        <v>2.3.3</v>
      </c>
      <c r="B875" s="416" t="str">
        <f>'A IV.A'!B40</f>
        <v>FORNECIMENTO E MONTAGEM/INSTALAÇÃO DE PLACAS DE SINALIZAÇÃO COM PINTURA REFLETIVA PARA APROVEITAMENTO</v>
      </c>
      <c r="C875" s="526" t="s">
        <v>269</v>
      </c>
      <c r="D875" s="527"/>
      <c r="E875" s="417" t="str">
        <f>'A IV.A'!C40</f>
        <v>M2</v>
      </c>
      <c r="F875" s="58">
        <f>ROUND(F895+F909+F921,2)</f>
        <v>0</v>
      </c>
    </row>
    <row r="876" spans="1:6" ht="12.75" customHeight="1" x14ac:dyDescent="0.2">
      <c r="A876" s="1" t="s">
        <v>17</v>
      </c>
      <c r="B876" s="418" t="s">
        <v>162</v>
      </c>
      <c r="C876" s="419" t="s">
        <v>263</v>
      </c>
      <c r="D876" s="419" t="s">
        <v>264</v>
      </c>
      <c r="E876" s="420" t="s">
        <v>265</v>
      </c>
      <c r="F876" s="57" t="s">
        <v>266</v>
      </c>
    </row>
    <row r="877" spans="1:6" ht="12.75" customHeight="1" x14ac:dyDescent="0.2">
      <c r="A877" s="6" t="str">
        <f>'A VII.'!$A$77</f>
        <v>1.68</v>
      </c>
      <c r="B877" s="421" t="str">
        <f>'A VII.'!$B$77</f>
        <v>PARAFUSO FRANCES ZINCADO, DIAMETRO 1/2", COMPRIMENTO 4", COM PORCA E ARRUELA</v>
      </c>
      <c r="C877" s="114">
        <v>10</v>
      </c>
      <c r="D877" s="7" t="str">
        <f>'A VII.'!$C$77</f>
        <v>UN</v>
      </c>
      <c r="E877" s="85">
        <f>'A VII.'!$D$77</f>
        <v>0</v>
      </c>
      <c r="F877" s="59">
        <f>ROUND(C877*E877,2)</f>
        <v>0</v>
      </c>
    </row>
    <row r="878" spans="1:6" ht="12.75" customHeight="1" x14ac:dyDescent="0.2">
      <c r="A878" s="6" t="str">
        <f>'A VII.'!$A$79</f>
        <v>1.70</v>
      </c>
      <c r="B878" s="421" t="str">
        <f>'A VII.'!$B$79</f>
        <v>PONTALETE DE MADEIRA NAO APARELHADA - 7,5 X 7,5 CM (3 X 3 ")</v>
      </c>
      <c r="C878" s="114">
        <f>1*4</f>
        <v>4</v>
      </c>
      <c r="D878" s="7" t="str">
        <f>'A VII.'!$C$79</f>
        <v>M</v>
      </c>
      <c r="E878" s="85">
        <f>'A VII.'!$D$79</f>
        <v>0</v>
      </c>
      <c r="F878" s="59">
        <f t="shared" ref="F878:F892" si="47">ROUND(C878*E878,2)</f>
        <v>0</v>
      </c>
    </row>
    <row r="879" spans="1:6" ht="12.75" customHeight="1" x14ac:dyDescent="0.2">
      <c r="A879" s="6" t="str">
        <f>'A VII.'!$A$96</f>
        <v>1.86</v>
      </c>
      <c r="B879" s="421" t="str">
        <f>'A VII.'!$B$96</f>
        <v xml:space="preserve">SARRAFO 3A. CONSTRUÇÃO (SEÇÃO TRANSVERSAL: 1X2" - 2,5CM X 5,0CM) </v>
      </c>
      <c r="C879" s="114">
        <f>4*1</f>
        <v>4</v>
      </c>
      <c r="D879" s="7" t="str">
        <f>'A VII.'!$C$96</f>
        <v>M</v>
      </c>
      <c r="E879" s="85">
        <f>'A VII.'!$D$96</f>
        <v>0</v>
      </c>
      <c r="F879" s="59">
        <f t="shared" si="47"/>
        <v>0</v>
      </c>
    </row>
    <row r="880" spans="1:6" ht="12.75" customHeight="1" x14ac:dyDescent="0.2">
      <c r="A880" s="6" t="str">
        <f>'A VII.'!$A$97</f>
        <v>1.87</v>
      </c>
      <c r="B880" s="421" t="str">
        <f>'A VII.'!$B$97</f>
        <v xml:space="preserve">SARRAFO 3A. CONSTRUÇÃO (SEÇÃO TRANSVERSAL: 1X4" - 2,5CM X 10,0CM) </v>
      </c>
      <c r="C880" s="114">
        <f>4.5</f>
        <v>4.5</v>
      </c>
      <c r="D880" s="7" t="str">
        <f>'A VII.'!$C$97</f>
        <v>M</v>
      </c>
      <c r="E880" s="85">
        <f>'A VII.'!$D$97</f>
        <v>0</v>
      </c>
      <c r="F880" s="59">
        <f t="shared" si="47"/>
        <v>0</v>
      </c>
    </row>
    <row r="881" spans="1:6" ht="12.75" customHeight="1" x14ac:dyDescent="0.2">
      <c r="A881" s="6" t="str">
        <f>'A VII.'!$A$87</f>
        <v>1.77</v>
      </c>
      <c r="B881" s="421" t="str">
        <f>'A VII.'!$B$87</f>
        <v>PLACA DE SINALIZACAO EM CHAPA DE AÇO Nº 16 COM PINTURA REFLETIVA</v>
      </c>
      <c r="C881" s="114">
        <v>1</v>
      </c>
      <c r="D881" s="7" t="str">
        <f>'A VII.'!$C$87</f>
        <v>M2</v>
      </c>
      <c r="E881" s="85">
        <f>'A VII.'!$D$87</f>
        <v>0</v>
      </c>
      <c r="F881" s="59">
        <f t="shared" si="47"/>
        <v>0</v>
      </c>
    </row>
    <row r="882" spans="1:6" ht="12.75" customHeight="1" x14ac:dyDescent="0.2">
      <c r="A882" s="6"/>
      <c r="B882" s="421"/>
      <c r="C882" s="114"/>
      <c r="D882" s="7"/>
      <c r="E882" s="85"/>
      <c r="F882" s="59">
        <f t="shared" si="47"/>
        <v>0</v>
      </c>
    </row>
    <row r="883" spans="1:6" ht="12.75" customHeight="1" x14ac:dyDescent="0.2">
      <c r="A883" s="6"/>
      <c r="B883" s="421"/>
      <c r="C883" s="114"/>
      <c r="D883" s="7"/>
      <c r="E883" s="85"/>
      <c r="F883" s="59">
        <f t="shared" si="47"/>
        <v>0</v>
      </c>
    </row>
    <row r="884" spans="1:6" ht="12.75" customHeight="1" x14ac:dyDescent="0.2">
      <c r="A884" s="6"/>
      <c r="B884" s="421"/>
      <c r="C884" s="114"/>
      <c r="D884" s="7"/>
      <c r="E884" s="85"/>
      <c r="F884" s="59">
        <f t="shared" si="47"/>
        <v>0</v>
      </c>
    </row>
    <row r="885" spans="1:6" ht="12.75" customHeight="1" x14ac:dyDescent="0.2">
      <c r="A885" s="6"/>
      <c r="B885" s="421"/>
      <c r="C885" s="114"/>
      <c r="D885" s="7"/>
      <c r="E885" s="85"/>
      <c r="F885" s="59">
        <f t="shared" si="47"/>
        <v>0</v>
      </c>
    </row>
    <row r="886" spans="1:6" ht="12.75" customHeight="1" x14ac:dyDescent="0.2">
      <c r="A886" s="6"/>
      <c r="B886" s="421"/>
      <c r="C886" s="114"/>
      <c r="D886" s="7"/>
      <c r="E886" s="85"/>
      <c r="F886" s="59">
        <f t="shared" si="47"/>
        <v>0</v>
      </c>
    </row>
    <row r="887" spans="1:6" ht="12.75" customHeight="1" x14ac:dyDescent="0.2">
      <c r="A887" s="6"/>
      <c r="B887" s="421"/>
      <c r="C887" s="114"/>
      <c r="D887" s="7"/>
      <c r="E887" s="85"/>
      <c r="F887" s="59">
        <f t="shared" si="47"/>
        <v>0</v>
      </c>
    </row>
    <row r="888" spans="1:6" ht="12.75" customHeight="1" x14ac:dyDescent="0.2">
      <c r="A888" s="6"/>
      <c r="B888" s="421"/>
      <c r="C888" s="114"/>
      <c r="D888" s="423"/>
      <c r="E888" s="85"/>
      <c r="F888" s="59">
        <f t="shared" si="47"/>
        <v>0</v>
      </c>
    </row>
    <row r="889" spans="1:6" ht="12.75" customHeight="1" x14ac:dyDescent="0.2">
      <c r="A889" s="6"/>
      <c r="B889" s="421"/>
      <c r="C889" s="114"/>
      <c r="D889" s="423"/>
      <c r="E889" s="85"/>
      <c r="F889" s="59">
        <f t="shared" si="47"/>
        <v>0</v>
      </c>
    </row>
    <row r="890" spans="1:6" ht="12.75" customHeight="1" x14ac:dyDescent="0.2">
      <c r="A890" s="6"/>
      <c r="B890" s="421"/>
      <c r="C890" s="114"/>
      <c r="D890" s="423"/>
      <c r="E890" s="85"/>
      <c r="F890" s="59">
        <f t="shared" si="47"/>
        <v>0</v>
      </c>
    </row>
    <row r="891" spans="1:6" ht="12.75" customHeight="1" x14ac:dyDescent="0.2">
      <c r="A891" s="3"/>
      <c r="C891" s="114"/>
      <c r="E891" s="85"/>
      <c r="F891" s="59">
        <f t="shared" si="47"/>
        <v>0</v>
      </c>
    </row>
    <row r="892" spans="1:6" ht="12.75" customHeight="1" x14ac:dyDescent="0.2">
      <c r="A892" s="3"/>
      <c r="C892" s="114"/>
      <c r="E892" s="85"/>
      <c r="F892" s="59">
        <f t="shared" si="47"/>
        <v>0</v>
      </c>
    </row>
    <row r="893" spans="1:6" ht="12.75" customHeight="1" x14ac:dyDescent="0.2">
      <c r="A893" s="3"/>
      <c r="B893" s="86" t="s">
        <v>258</v>
      </c>
      <c r="C893" s="87"/>
      <c r="D893" s="88"/>
      <c r="E893" s="89"/>
      <c r="F893" s="90">
        <f>SUM(F877:F892)</f>
        <v>0</v>
      </c>
    </row>
    <row r="894" spans="1:6" ht="12.75" customHeight="1" x14ac:dyDescent="0.2">
      <c r="A894" s="3"/>
      <c r="B894" s="91" t="s">
        <v>70</v>
      </c>
      <c r="C894" s="15">
        <f>$D$8</f>
        <v>0</v>
      </c>
      <c r="D894" s="92"/>
      <c r="E894" s="93"/>
      <c r="F894" s="94">
        <f>ROUND(F893*C894,2)</f>
        <v>0</v>
      </c>
    </row>
    <row r="895" spans="1:6" ht="12.75" customHeight="1" x14ac:dyDescent="0.2">
      <c r="A895" s="95"/>
      <c r="B895" s="424" t="s">
        <v>259</v>
      </c>
      <c r="C895" s="425"/>
      <c r="D895" s="425"/>
      <c r="E895" s="426"/>
      <c r="F895" s="96">
        <f>F893+F894</f>
        <v>0</v>
      </c>
    </row>
    <row r="896" spans="1:6" ht="12.75" customHeight="1" x14ac:dyDescent="0.2">
      <c r="A896" s="1" t="s">
        <v>5</v>
      </c>
      <c r="B896" s="418" t="s">
        <v>267</v>
      </c>
      <c r="C896" s="419" t="s">
        <v>263</v>
      </c>
      <c r="D896" s="419" t="s">
        <v>264</v>
      </c>
      <c r="E896" s="420" t="s">
        <v>265</v>
      </c>
      <c r="F896" s="57" t="s">
        <v>266</v>
      </c>
    </row>
    <row r="897" spans="1:6" ht="12.75" customHeight="1" x14ac:dyDescent="0.2">
      <c r="A897" s="3"/>
      <c r="C897" s="114"/>
      <c r="E897" s="85"/>
      <c r="F897" s="59">
        <f t="shared" ref="F897:F906" si="48">ROUND(C897*E897,2)</f>
        <v>0</v>
      </c>
    </row>
    <row r="898" spans="1:6" ht="12.75" customHeight="1" x14ac:dyDescent="0.2">
      <c r="A898" s="3"/>
      <c r="C898" s="114"/>
      <c r="E898" s="85"/>
      <c r="F898" s="59">
        <f t="shared" si="48"/>
        <v>0</v>
      </c>
    </row>
    <row r="899" spans="1:6" ht="12.75" customHeight="1" x14ac:dyDescent="0.2">
      <c r="A899" s="3"/>
      <c r="C899" s="114"/>
      <c r="E899" s="85"/>
      <c r="F899" s="59">
        <f t="shared" si="48"/>
        <v>0</v>
      </c>
    </row>
    <row r="900" spans="1:6" ht="12.75" customHeight="1" x14ac:dyDescent="0.2">
      <c r="A900" s="3"/>
      <c r="C900" s="114"/>
      <c r="E900" s="85"/>
      <c r="F900" s="59">
        <f t="shared" si="48"/>
        <v>0</v>
      </c>
    </row>
    <row r="901" spans="1:6" ht="12.75" customHeight="1" x14ac:dyDescent="0.2">
      <c r="A901" s="3"/>
      <c r="C901" s="114"/>
      <c r="E901" s="85"/>
      <c r="F901" s="59">
        <f t="shared" si="48"/>
        <v>0</v>
      </c>
    </row>
    <row r="902" spans="1:6" ht="12.75" customHeight="1" x14ac:dyDescent="0.2">
      <c r="A902" s="3"/>
      <c r="C902" s="114"/>
      <c r="E902" s="85"/>
      <c r="F902" s="59">
        <f t="shared" si="48"/>
        <v>0</v>
      </c>
    </row>
    <row r="903" spans="1:6" ht="12.75" customHeight="1" x14ac:dyDescent="0.2">
      <c r="A903" s="3"/>
      <c r="C903" s="114"/>
      <c r="E903" s="85"/>
      <c r="F903" s="59">
        <f t="shared" si="48"/>
        <v>0</v>
      </c>
    </row>
    <row r="904" spans="1:6" ht="12.75" customHeight="1" x14ac:dyDescent="0.2">
      <c r="A904" s="3"/>
      <c r="C904" s="114"/>
      <c r="E904" s="85"/>
      <c r="F904" s="59">
        <f t="shared" si="48"/>
        <v>0</v>
      </c>
    </row>
    <row r="905" spans="1:6" ht="12.75" customHeight="1" x14ac:dyDescent="0.2">
      <c r="A905" s="3"/>
      <c r="C905" s="114"/>
      <c r="E905" s="85"/>
      <c r="F905" s="59">
        <f t="shared" si="48"/>
        <v>0</v>
      </c>
    </row>
    <row r="906" spans="1:6" ht="12.75" customHeight="1" x14ac:dyDescent="0.2">
      <c r="A906" s="3"/>
      <c r="C906" s="114"/>
      <c r="E906" s="85"/>
      <c r="F906" s="59">
        <f t="shared" si="48"/>
        <v>0</v>
      </c>
    </row>
    <row r="907" spans="1:6" ht="12.75" customHeight="1" x14ac:dyDescent="0.2">
      <c r="A907" s="3"/>
      <c r="B907" s="86" t="s">
        <v>258</v>
      </c>
      <c r="C907" s="87"/>
      <c r="D907" s="88"/>
      <c r="E907" s="89"/>
      <c r="F907" s="90">
        <f>SUM(F897:F906)</f>
        <v>0</v>
      </c>
    </row>
    <row r="908" spans="1:6" ht="12.75" customHeight="1" x14ac:dyDescent="0.2">
      <c r="A908" s="3"/>
      <c r="B908" s="91" t="s">
        <v>70</v>
      </c>
      <c r="C908" s="15">
        <f>$D$8</f>
        <v>0</v>
      </c>
      <c r="D908" s="92"/>
      <c r="E908" s="93"/>
      <c r="F908" s="94">
        <f>ROUND(C908*F907,2)</f>
        <v>0</v>
      </c>
    </row>
    <row r="909" spans="1:6" ht="12.75" customHeight="1" x14ac:dyDescent="0.2">
      <c r="A909" s="95"/>
      <c r="B909" s="424" t="s">
        <v>260</v>
      </c>
      <c r="C909" s="425"/>
      <c r="D909" s="425"/>
      <c r="E909" s="426"/>
      <c r="F909" s="96">
        <f>F907+F908</f>
        <v>0</v>
      </c>
    </row>
    <row r="910" spans="1:6" ht="12.75" customHeight="1" x14ac:dyDescent="0.2">
      <c r="A910" s="97" t="s">
        <v>54</v>
      </c>
      <c r="B910" s="427" t="s">
        <v>268</v>
      </c>
      <c r="C910" s="428" t="s">
        <v>263</v>
      </c>
      <c r="D910" s="429" t="s">
        <v>264</v>
      </c>
      <c r="E910" s="430" t="s">
        <v>265</v>
      </c>
      <c r="F910" s="57" t="s">
        <v>266</v>
      </c>
    </row>
    <row r="911" spans="1:6" ht="12.75" customHeight="1" x14ac:dyDescent="0.2">
      <c r="A911" s="3" t="str">
        <f>'A VII.'!$A$186</f>
        <v>3.6</v>
      </c>
      <c r="B911" s="74" t="str">
        <f>'A VII.'!$B$186</f>
        <v>CARPINTEIRO COM ENCARGOS COMPLEMENTARES</v>
      </c>
      <c r="C911" s="114">
        <v>0.6</v>
      </c>
      <c r="D911" s="54" t="str">
        <f>'A VII.'!$C$186</f>
        <v>H</v>
      </c>
      <c r="E911" s="85">
        <f>'A VII.'!$D$186</f>
        <v>0</v>
      </c>
      <c r="F911" s="59">
        <f t="shared" ref="F911:F917" si="49">ROUND(C911*E911,2)</f>
        <v>0</v>
      </c>
    </row>
    <row r="912" spans="1:6" ht="12.75" customHeight="1" x14ac:dyDescent="0.2">
      <c r="A912" s="3" t="str">
        <f>'A VII.'!$A$196</f>
        <v>3.16</v>
      </c>
      <c r="B912" s="74" t="str">
        <f>'A VII.'!$B$196</f>
        <v>SERVENTE COM ENCARGOS COMPLEMENTARES</v>
      </c>
      <c r="C912" s="114">
        <v>0.6</v>
      </c>
      <c r="D912" s="54" t="str">
        <f>'A VII.'!$C$196</f>
        <v>H</v>
      </c>
      <c r="E912" s="85">
        <f>'A VII.'!$D$196</f>
        <v>0</v>
      </c>
      <c r="F912" s="59">
        <f t="shared" si="49"/>
        <v>0</v>
      </c>
    </row>
    <row r="913" spans="1:6" ht="12.75" customHeight="1" x14ac:dyDescent="0.2">
      <c r="A913" s="3"/>
      <c r="C913" s="114"/>
      <c r="E913" s="85"/>
      <c r="F913" s="59">
        <f t="shared" si="49"/>
        <v>0</v>
      </c>
    </row>
    <row r="914" spans="1:6" ht="12.75" customHeight="1" x14ac:dyDescent="0.2">
      <c r="A914" s="3"/>
      <c r="C914" s="114"/>
      <c r="E914" s="85"/>
      <c r="F914" s="59">
        <f t="shared" si="49"/>
        <v>0</v>
      </c>
    </row>
    <row r="915" spans="1:6" ht="12.75" customHeight="1" x14ac:dyDescent="0.2">
      <c r="A915" s="3"/>
      <c r="C915" s="114"/>
      <c r="E915" s="85"/>
      <c r="F915" s="59">
        <f t="shared" si="49"/>
        <v>0</v>
      </c>
    </row>
    <row r="916" spans="1:6" ht="12.75" customHeight="1" x14ac:dyDescent="0.2">
      <c r="A916" s="3"/>
      <c r="C916" s="114"/>
      <c r="E916" s="85"/>
      <c r="F916" s="59">
        <f t="shared" si="49"/>
        <v>0</v>
      </c>
    </row>
    <row r="917" spans="1:6" ht="12.75" customHeight="1" x14ac:dyDescent="0.2">
      <c r="A917" s="3"/>
      <c r="C917" s="114"/>
      <c r="E917" s="85"/>
      <c r="F917" s="59">
        <f t="shared" si="49"/>
        <v>0</v>
      </c>
    </row>
    <row r="918" spans="1:6" ht="12.75" customHeight="1" x14ac:dyDescent="0.2">
      <c r="A918" s="3"/>
      <c r="B918" s="86" t="s">
        <v>258</v>
      </c>
      <c r="C918" s="87"/>
      <c r="D918" s="88"/>
      <c r="E918" s="89"/>
      <c r="F918" s="90">
        <f>SUM(F911:F917)</f>
        <v>0</v>
      </c>
    </row>
    <row r="919" spans="1:6" ht="12.75" customHeight="1" x14ac:dyDescent="0.2">
      <c r="A919" s="3"/>
      <c r="B919" s="91" t="s">
        <v>261</v>
      </c>
      <c r="C919" s="15">
        <f>'A IX.'!$C$45</f>
        <v>0</v>
      </c>
      <c r="D919" s="92"/>
      <c r="E919" s="93"/>
      <c r="F919" s="94">
        <f>ROUND(F918*C919,2)</f>
        <v>0</v>
      </c>
    </row>
    <row r="920" spans="1:6" ht="12.75" customHeight="1" x14ac:dyDescent="0.2">
      <c r="A920" s="3"/>
      <c r="B920" s="91" t="s">
        <v>70</v>
      </c>
      <c r="C920" s="15">
        <f>$D$8</f>
        <v>0</v>
      </c>
      <c r="D920" s="92"/>
      <c r="E920" s="93"/>
      <c r="F920" s="94">
        <f>ROUND(SUM(F918:F919)*C920,2)</f>
        <v>0</v>
      </c>
    </row>
    <row r="921" spans="1:6" ht="12.75" customHeight="1" thickBot="1" x14ac:dyDescent="0.25">
      <c r="A921" s="98"/>
      <c r="B921" s="99" t="s">
        <v>262</v>
      </c>
      <c r="C921" s="100"/>
      <c r="D921" s="100"/>
      <c r="E921" s="101"/>
      <c r="F921" s="102">
        <f>SUM(F918:F920)</f>
        <v>0</v>
      </c>
    </row>
    <row r="922" spans="1:6" ht="12.75" customHeight="1" thickBot="1" x14ac:dyDescent="0.25">
      <c r="A922" s="81"/>
      <c r="B922" s="82"/>
      <c r="C922" s="83"/>
      <c r="D922" s="83"/>
      <c r="E922" s="84"/>
      <c r="F922" s="103"/>
    </row>
    <row r="923" spans="1:6" ht="30" customHeight="1" x14ac:dyDescent="0.2">
      <c r="A923" s="5" t="str">
        <f>'A IV.A'!A41</f>
        <v>2.3.4</v>
      </c>
      <c r="B923" s="416" t="str">
        <f>'A IV.A'!B41</f>
        <v>SINALIZAÇÃO DE TRÂNSITO COM CAVALETE DE MADEIRA SIMPLES</v>
      </c>
      <c r="C923" s="526" t="s">
        <v>269</v>
      </c>
      <c r="D923" s="527"/>
      <c r="E923" s="417" t="str">
        <f>'A IV.A'!C41</f>
        <v>UN</v>
      </c>
      <c r="F923" s="58">
        <f>ROUND(F943+F957+F969,2)</f>
        <v>0</v>
      </c>
    </row>
    <row r="924" spans="1:6" ht="12.75" customHeight="1" x14ac:dyDescent="0.2">
      <c r="A924" s="1" t="s">
        <v>17</v>
      </c>
      <c r="B924" s="418" t="s">
        <v>162</v>
      </c>
      <c r="C924" s="419" t="s">
        <v>263</v>
      </c>
      <c r="D924" s="419" t="s">
        <v>264</v>
      </c>
      <c r="E924" s="420" t="s">
        <v>265</v>
      </c>
      <c r="F924" s="57" t="s">
        <v>266</v>
      </c>
    </row>
    <row r="925" spans="1:6" ht="12.75" customHeight="1" x14ac:dyDescent="0.2">
      <c r="A925" s="6" t="str">
        <f>'A VII.'!$A$44</f>
        <v>1.35</v>
      </c>
      <c r="B925" s="421" t="str">
        <f>'A VII.'!$B$44</f>
        <v>DOBRADICA EM AÇO/FERRO, 3" X 2 1/2", CROMADO OU ZINCADO, COM PARAFUSOS</v>
      </c>
      <c r="C925" s="114">
        <v>2</v>
      </c>
      <c r="D925" s="7" t="str">
        <f>'A VII.'!$C$44</f>
        <v>UN</v>
      </c>
      <c r="E925" s="85">
        <f>'A VII.'!$D$44</f>
        <v>0</v>
      </c>
      <c r="F925" s="59">
        <f>ROUND(C925*E925,2)</f>
        <v>0</v>
      </c>
    </row>
    <row r="926" spans="1:6" ht="12.75" customHeight="1" x14ac:dyDescent="0.2">
      <c r="A926" s="6" t="str">
        <f>'A VII.'!$A$90</f>
        <v>1.80</v>
      </c>
      <c r="B926" s="421" t="str">
        <f>'A VII.'!$B$90</f>
        <v>PREGO EM AÇO POLIDO COM CABEÇA (MEDIA DAS BITOLAS)</v>
      </c>
      <c r="C926" s="114">
        <v>0.1</v>
      </c>
      <c r="D926" s="7" t="str">
        <f>'A VII.'!$C$90</f>
        <v>KG</v>
      </c>
      <c r="E926" s="85">
        <f>'A VII.'!$D$90</f>
        <v>0</v>
      </c>
      <c r="F926" s="59">
        <f t="shared" ref="F926:F940" si="50">ROUND(C926*E926,2)</f>
        <v>0</v>
      </c>
    </row>
    <row r="927" spans="1:6" ht="12.75" customHeight="1" x14ac:dyDescent="0.2">
      <c r="A927" s="6" t="str">
        <f>'A VII.'!$A$96</f>
        <v>1.86</v>
      </c>
      <c r="B927" s="421" t="str">
        <f>'A VII.'!$B$96</f>
        <v xml:space="preserve">SARRAFO 3A. CONSTRUÇÃO (SEÇÃO TRANSVERSAL: 1X2" - 2,5CM X 5,0CM) </v>
      </c>
      <c r="C927" s="114">
        <f>1*4</f>
        <v>4</v>
      </c>
      <c r="D927" s="7" t="str">
        <f>'A VII.'!$C$96</f>
        <v>M</v>
      </c>
      <c r="E927" s="85">
        <f>'A VII.'!$D$96</f>
        <v>0</v>
      </c>
      <c r="F927" s="59">
        <f t="shared" si="50"/>
        <v>0</v>
      </c>
    </row>
    <row r="928" spans="1:6" ht="12.75" customHeight="1" x14ac:dyDescent="0.2">
      <c r="A928" s="6" t="str">
        <f>'A VII.'!$A$97</f>
        <v>1.87</v>
      </c>
      <c r="B928" s="421" t="str">
        <f>'A VII.'!$B$97</f>
        <v xml:space="preserve">SARRAFO 3A. CONSTRUÇÃO (SEÇÃO TRANSVERSAL: 1X4" - 2,5CM X 10,0CM) </v>
      </c>
      <c r="C928" s="114">
        <f>1.1*2</f>
        <v>2.2000000000000002</v>
      </c>
      <c r="D928" s="7" t="str">
        <f>'A VII.'!$C$97</f>
        <v>M</v>
      </c>
      <c r="E928" s="85">
        <f>'A VII.'!$D$97</f>
        <v>0</v>
      </c>
      <c r="F928" s="59">
        <f t="shared" si="50"/>
        <v>0</v>
      </c>
    </row>
    <row r="929" spans="1:6" ht="12.75" customHeight="1" x14ac:dyDescent="0.2">
      <c r="A929" s="6" t="str">
        <f>'A VII.'!$A$101</f>
        <v>1.91</v>
      </c>
      <c r="B929" s="421" t="str">
        <f>'A VII.'!$B$101</f>
        <v>TÁBUA MADEIRA 3A QUALIDADE 2,5 X 30CM (1X12") NÃO APARELHADA</v>
      </c>
      <c r="C929" s="114">
        <f>1.1*2</f>
        <v>2.2000000000000002</v>
      </c>
      <c r="D929" s="7" t="str">
        <f>'A VII.'!$C$101</f>
        <v>M</v>
      </c>
      <c r="E929" s="85">
        <f>'A VII.'!$D$101</f>
        <v>0</v>
      </c>
      <c r="F929" s="59">
        <f t="shared" si="50"/>
        <v>0</v>
      </c>
    </row>
    <row r="930" spans="1:6" ht="12.75" customHeight="1" x14ac:dyDescent="0.2">
      <c r="A930" s="6" t="str">
        <f>'A VII.'!$A$112</f>
        <v>1.102</v>
      </c>
      <c r="B930" s="421" t="str">
        <f>'A VII.'!$B$112</f>
        <v>TINTA LÁTEX ACRÍLICA - 1ª LINHA</v>
      </c>
      <c r="C930" s="114">
        <v>0.1</v>
      </c>
      <c r="D930" s="7" t="str">
        <f>'A VII.'!$C$112</f>
        <v>L</v>
      </c>
      <c r="E930" s="85">
        <f>'A VII.'!$D$112</f>
        <v>0</v>
      </c>
      <c r="F930" s="59">
        <f t="shared" si="50"/>
        <v>0</v>
      </c>
    </row>
    <row r="931" spans="1:6" ht="12.75" customHeight="1" x14ac:dyDescent="0.2">
      <c r="A931" s="6"/>
      <c r="B931" s="421"/>
      <c r="C931" s="114"/>
      <c r="D931" s="7"/>
      <c r="E931" s="85"/>
      <c r="F931" s="59">
        <f t="shared" si="50"/>
        <v>0</v>
      </c>
    </row>
    <row r="932" spans="1:6" ht="12.75" customHeight="1" x14ac:dyDescent="0.2">
      <c r="A932" s="6"/>
      <c r="B932" s="421"/>
      <c r="C932" s="114"/>
      <c r="D932" s="7"/>
      <c r="E932" s="85"/>
      <c r="F932" s="59">
        <f t="shared" si="50"/>
        <v>0</v>
      </c>
    </row>
    <row r="933" spans="1:6" ht="12.75" customHeight="1" x14ac:dyDescent="0.2">
      <c r="A933" s="6"/>
      <c r="B933" s="421"/>
      <c r="C933" s="114"/>
      <c r="D933" s="7"/>
      <c r="E933" s="85"/>
      <c r="F933" s="59">
        <f t="shared" si="50"/>
        <v>0</v>
      </c>
    </row>
    <row r="934" spans="1:6" ht="12.75" customHeight="1" x14ac:dyDescent="0.2">
      <c r="A934" s="6"/>
      <c r="B934" s="421"/>
      <c r="C934" s="114"/>
      <c r="D934" s="7"/>
      <c r="E934" s="85"/>
      <c r="F934" s="59">
        <f t="shared" si="50"/>
        <v>0</v>
      </c>
    </row>
    <row r="935" spans="1:6" ht="12.75" customHeight="1" x14ac:dyDescent="0.2">
      <c r="A935" s="6"/>
      <c r="B935" s="421"/>
      <c r="C935" s="114"/>
      <c r="D935" s="7"/>
      <c r="E935" s="85"/>
      <c r="F935" s="59">
        <f t="shared" si="50"/>
        <v>0</v>
      </c>
    </row>
    <row r="936" spans="1:6" ht="12.75" customHeight="1" x14ac:dyDescent="0.2">
      <c r="A936" s="6"/>
      <c r="B936" s="421"/>
      <c r="C936" s="114"/>
      <c r="D936" s="423"/>
      <c r="E936" s="85"/>
      <c r="F936" s="59">
        <f t="shared" si="50"/>
        <v>0</v>
      </c>
    </row>
    <row r="937" spans="1:6" ht="12.75" customHeight="1" x14ac:dyDescent="0.2">
      <c r="A937" s="6"/>
      <c r="B937" s="421"/>
      <c r="C937" s="114"/>
      <c r="D937" s="423"/>
      <c r="E937" s="85"/>
      <c r="F937" s="59">
        <f t="shared" si="50"/>
        <v>0</v>
      </c>
    </row>
    <row r="938" spans="1:6" ht="12.75" customHeight="1" x14ac:dyDescent="0.2">
      <c r="A938" s="6"/>
      <c r="B938" s="421"/>
      <c r="C938" s="114"/>
      <c r="D938" s="423"/>
      <c r="E938" s="85"/>
      <c r="F938" s="59">
        <f t="shared" si="50"/>
        <v>0</v>
      </c>
    </row>
    <row r="939" spans="1:6" ht="12.75" customHeight="1" x14ac:dyDescent="0.2">
      <c r="A939" s="3"/>
      <c r="C939" s="114"/>
      <c r="E939" s="85"/>
      <c r="F939" s="59">
        <f t="shared" si="50"/>
        <v>0</v>
      </c>
    </row>
    <row r="940" spans="1:6" ht="12.75" customHeight="1" x14ac:dyDescent="0.2">
      <c r="A940" s="3"/>
      <c r="C940" s="114"/>
      <c r="E940" s="85"/>
      <c r="F940" s="59">
        <f t="shared" si="50"/>
        <v>0</v>
      </c>
    </row>
    <row r="941" spans="1:6" ht="12.75" customHeight="1" x14ac:dyDescent="0.2">
      <c r="A941" s="3"/>
      <c r="B941" s="86" t="s">
        <v>258</v>
      </c>
      <c r="C941" s="87"/>
      <c r="D941" s="88"/>
      <c r="E941" s="89"/>
      <c r="F941" s="90">
        <f>SUM(F925:F940)</f>
        <v>0</v>
      </c>
    </row>
    <row r="942" spans="1:6" ht="12.75" customHeight="1" x14ac:dyDescent="0.2">
      <c r="A942" s="3"/>
      <c r="B942" s="91" t="s">
        <v>70</v>
      </c>
      <c r="C942" s="15">
        <f>$D$8</f>
        <v>0</v>
      </c>
      <c r="D942" s="92"/>
      <c r="E942" s="93"/>
      <c r="F942" s="94">
        <f>ROUND(F941*C942,2)</f>
        <v>0</v>
      </c>
    </row>
    <row r="943" spans="1:6" ht="12.75" customHeight="1" x14ac:dyDescent="0.2">
      <c r="A943" s="95"/>
      <c r="B943" s="424" t="s">
        <v>259</v>
      </c>
      <c r="C943" s="425"/>
      <c r="D943" s="425"/>
      <c r="E943" s="426"/>
      <c r="F943" s="96">
        <f>F941+F942</f>
        <v>0</v>
      </c>
    </row>
    <row r="944" spans="1:6" ht="12.75" customHeight="1" x14ac:dyDescent="0.2">
      <c r="A944" s="1" t="s">
        <v>5</v>
      </c>
      <c r="B944" s="418" t="s">
        <v>267</v>
      </c>
      <c r="C944" s="419" t="s">
        <v>263</v>
      </c>
      <c r="D944" s="419" t="s">
        <v>264</v>
      </c>
      <c r="E944" s="420" t="s">
        <v>265</v>
      </c>
      <c r="F944" s="57" t="s">
        <v>266</v>
      </c>
    </row>
    <row r="945" spans="1:6" ht="12.75" customHeight="1" x14ac:dyDescent="0.2">
      <c r="A945" s="3"/>
      <c r="C945" s="114"/>
      <c r="E945" s="85"/>
      <c r="F945" s="59">
        <f t="shared" ref="F945:F954" si="51">ROUND(C945*E945,2)</f>
        <v>0</v>
      </c>
    </row>
    <row r="946" spans="1:6" ht="12.75" customHeight="1" x14ac:dyDescent="0.2">
      <c r="A946" s="3"/>
      <c r="C946" s="114"/>
      <c r="E946" s="85"/>
      <c r="F946" s="59">
        <f t="shared" si="51"/>
        <v>0</v>
      </c>
    </row>
    <row r="947" spans="1:6" ht="12.75" customHeight="1" x14ac:dyDescent="0.2">
      <c r="A947" s="3"/>
      <c r="C947" s="114"/>
      <c r="E947" s="85"/>
      <c r="F947" s="59">
        <f t="shared" si="51"/>
        <v>0</v>
      </c>
    </row>
    <row r="948" spans="1:6" ht="12.75" customHeight="1" x14ac:dyDescent="0.2">
      <c r="A948" s="3"/>
      <c r="C948" s="114"/>
      <c r="E948" s="85"/>
      <c r="F948" s="59">
        <f t="shared" si="51"/>
        <v>0</v>
      </c>
    </row>
    <row r="949" spans="1:6" ht="12.75" customHeight="1" x14ac:dyDescent="0.2">
      <c r="A949" s="3"/>
      <c r="C949" s="114"/>
      <c r="E949" s="85"/>
      <c r="F949" s="59">
        <f t="shared" si="51"/>
        <v>0</v>
      </c>
    </row>
    <row r="950" spans="1:6" ht="12.75" customHeight="1" x14ac:dyDescent="0.2">
      <c r="A950" s="3"/>
      <c r="C950" s="114"/>
      <c r="E950" s="85"/>
      <c r="F950" s="59">
        <f t="shared" si="51"/>
        <v>0</v>
      </c>
    </row>
    <row r="951" spans="1:6" ht="12.75" customHeight="1" x14ac:dyDescent="0.2">
      <c r="A951" s="3"/>
      <c r="C951" s="114"/>
      <c r="E951" s="85"/>
      <c r="F951" s="59">
        <f t="shared" si="51"/>
        <v>0</v>
      </c>
    </row>
    <row r="952" spans="1:6" ht="12.75" customHeight="1" x14ac:dyDescent="0.2">
      <c r="A952" s="3"/>
      <c r="C952" s="114"/>
      <c r="E952" s="85"/>
      <c r="F952" s="59">
        <f t="shared" si="51"/>
        <v>0</v>
      </c>
    </row>
    <row r="953" spans="1:6" ht="12.75" customHeight="1" x14ac:dyDescent="0.2">
      <c r="A953" s="3"/>
      <c r="C953" s="114"/>
      <c r="E953" s="85"/>
      <c r="F953" s="59">
        <f t="shared" si="51"/>
        <v>0</v>
      </c>
    </row>
    <row r="954" spans="1:6" ht="12.75" customHeight="1" x14ac:dyDescent="0.2">
      <c r="A954" s="3"/>
      <c r="C954" s="114"/>
      <c r="E954" s="85"/>
      <c r="F954" s="59">
        <f t="shared" si="51"/>
        <v>0</v>
      </c>
    </row>
    <row r="955" spans="1:6" ht="12.75" customHeight="1" x14ac:dyDescent="0.2">
      <c r="A955" s="3"/>
      <c r="B955" s="86" t="s">
        <v>258</v>
      </c>
      <c r="C955" s="87"/>
      <c r="D955" s="88"/>
      <c r="E955" s="89"/>
      <c r="F955" s="90">
        <f>SUM(F945:F954)</f>
        <v>0</v>
      </c>
    </row>
    <row r="956" spans="1:6" ht="12.75" customHeight="1" x14ac:dyDescent="0.2">
      <c r="A956" s="3"/>
      <c r="B956" s="91" t="s">
        <v>70</v>
      </c>
      <c r="C956" s="15">
        <f>$D$8</f>
        <v>0</v>
      </c>
      <c r="D956" s="92"/>
      <c r="E956" s="93"/>
      <c r="F956" s="94">
        <f>ROUND(C956*F955,2)</f>
        <v>0</v>
      </c>
    </row>
    <row r="957" spans="1:6" ht="12.75" customHeight="1" x14ac:dyDescent="0.2">
      <c r="A957" s="95"/>
      <c r="B957" s="424" t="s">
        <v>260</v>
      </c>
      <c r="C957" s="425"/>
      <c r="D957" s="425"/>
      <c r="E957" s="426"/>
      <c r="F957" s="96">
        <f>F955+F956</f>
        <v>0</v>
      </c>
    </row>
    <row r="958" spans="1:6" ht="12.75" customHeight="1" x14ac:dyDescent="0.2">
      <c r="A958" s="97" t="s">
        <v>54</v>
      </c>
      <c r="B958" s="427" t="s">
        <v>268</v>
      </c>
      <c r="C958" s="428" t="s">
        <v>263</v>
      </c>
      <c r="D958" s="429" t="s">
        <v>264</v>
      </c>
      <c r="E958" s="430" t="s">
        <v>265</v>
      </c>
      <c r="F958" s="57" t="s">
        <v>266</v>
      </c>
    </row>
    <row r="959" spans="1:6" ht="12.75" customHeight="1" x14ac:dyDescent="0.2">
      <c r="A959" s="3" t="str">
        <f>'A VII.'!$A$181</f>
        <v>3.1</v>
      </c>
      <c r="B959" s="74" t="str">
        <f>'A VII.'!$B$181</f>
        <v>AJUDANTE COM ENCARGOS COMPLEMENTARES</v>
      </c>
      <c r="C959" s="114">
        <v>0.5</v>
      </c>
      <c r="D959" s="54" t="str">
        <f>'A VII.'!$C$181</f>
        <v>H</v>
      </c>
      <c r="E959" s="85">
        <f>'A VII.'!$D$181</f>
        <v>0</v>
      </c>
      <c r="F959" s="59">
        <f t="shared" ref="F959:F965" si="52">ROUND(C959*E959,2)</f>
        <v>0</v>
      </c>
    </row>
    <row r="960" spans="1:6" ht="12.75" customHeight="1" x14ac:dyDescent="0.2">
      <c r="A960" s="3"/>
      <c r="C960" s="114"/>
      <c r="E960" s="85"/>
      <c r="F960" s="59">
        <f t="shared" si="52"/>
        <v>0</v>
      </c>
    </row>
    <row r="961" spans="1:6" ht="12.75" customHeight="1" x14ac:dyDescent="0.2">
      <c r="A961" s="3"/>
      <c r="C961" s="114"/>
      <c r="E961" s="85"/>
      <c r="F961" s="59">
        <f t="shared" si="52"/>
        <v>0</v>
      </c>
    </row>
    <row r="962" spans="1:6" ht="12.75" customHeight="1" x14ac:dyDescent="0.2">
      <c r="A962" s="3"/>
      <c r="C962" s="114"/>
      <c r="E962" s="85"/>
      <c r="F962" s="59">
        <f t="shared" si="52"/>
        <v>0</v>
      </c>
    </row>
    <row r="963" spans="1:6" ht="12.75" customHeight="1" x14ac:dyDescent="0.2">
      <c r="A963" s="3"/>
      <c r="C963" s="114"/>
      <c r="E963" s="85"/>
      <c r="F963" s="59">
        <f t="shared" si="52"/>
        <v>0</v>
      </c>
    </row>
    <row r="964" spans="1:6" ht="12.75" customHeight="1" x14ac:dyDescent="0.2">
      <c r="A964" s="3"/>
      <c r="C964" s="114"/>
      <c r="E964" s="85"/>
      <c r="F964" s="59">
        <f t="shared" si="52"/>
        <v>0</v>
      </c>
    </row>
    <row r="965" spans="1:6" ht="12.75" customHeight="1" x14ac:dyDescent="0.2">
      <c r="A965" s="3"/>
      <c r="C965" s="114"/>
      <c r="E965" s="85"/>
      <c r="F965" s="59">
        <f t="shared" si="52"/>
        <v>0</v>
      </c>
    </row>
    <row r="966" spans="1:6" ht="12.75" customHeight="1" x14ac:dyDescent="0.2">
      <c r="A966" s="3"/>
      <c r="B966" s="86" t="s">
        <v>258</v>
      </c>
      <c r="C966" s="87"/>
      <c r="D966" s="88"/>
      <c r="E966" s="89"/>
      <c r="F966" s="90">
        <f>SUM(F959:F965)</f>
        <v>0</v>
      </c>
    </row>
    <row r="967" spans="1:6" ht="12.75" customHeight="1" x14ac:dyDescent="0.2">
      <c r="A967" s="3"/>
      <c r="B967" s="91" t="s">
        <v>261</v>
      </c>
      <c r="C967" s="15">
        <f>'A IX.'!$C$45</f>
        <v>0</v>
      </c>
      <c r="D967" s="92"/>
      <c r="E967" s="93"/>
      <c r="F967" s="94">
        <f>ROUND(F966*C967,2)</f>
        <v>0</v>
      </c>
    </row>
    <row r="968" spans="1:6" ht="12.75" customHeight="1" x14ac:dyDescent="0.2">
      <c r="A968" s="3"/>
      <c r="B968" s="91" t="s">
        <v>70</v>
      </c>
      <c r="C968" s="15">
        <f>$D$8</f>
        <v>0</v>
      </c>
      <c r="D968" s="92"/>
      <c r="E968" s="93"/>
      <c r="F968" s="94">
        <f>ROUND(SUM(F966:F967)*C968,2)</f>
        <v>0</v>
      </c>
    </row>
    <row r="969" spans="1:6" ht="12.75" customHeight="1" thickBot="1" x14ac:dyDescent="0.25">
      <c r="A969" s="98"/>
      <c r="B969" s="99" t="s">
        <v>262</v>
      </c>
      <c r="C969" s="100"/>
      <c r="D969" s="100"/>
      <c r="E969" s="101"/>
      <c r="F969" s="102">
        <f>SUM(F966:F968)</f>
        <v>0</v>
      </c>
    </row>
    <row r="970" spans="1:6" ht="12.75" customHeight="1" thickBot="1" x14ac:dyDescent="0.25">
      <c r="A970" s="252"/>
      <c r="B970" s="253"/>
      <c r="C970" s="254"/>
      <c r="D970" s="254"/>
      <c r="E970" s="255"/>
      <c r="F970" s="256"/>
    </row>
    <row r="971" spans="1:6" ht="30" customHeight="1" x14ac:dyDescent="0.2">
      <c r="A971" s="5" t="str">
        <f>'A IV.A'!$A$46</f>
        <v>3.1.1</v>
      </c>
      <c r="B971" s="416" t="str">
        <f>'A IV.A'!$B$46</f>
        <v>ALAMBRADO COM TELA DE ARAME GALVANIZADO, FIXADA EM MOURÃO DE CONCRETO ARMADO, INCLUINDO MURETA DE CONCRETO</v>
      </c>
      <c r="C971" s="526" t="s">
        <v>269</v>
      </c>
      <c r="D971" s="527"/>
      <c r="E971" s="417" t="str">
        <f>'A IV.A'!$C$46</f>
        <v>M</v>
      </c>
      <c r="F971" s="58">
        <f>ROUND(F991+F1005+F1017,2)</f>
        <v>0</v>
      </c>
    </row>
    <row r="972" spans="1:6" ht="12.75" customHeight="1" x14ac:dyDescent="0.2">
      <c r="A972" s="1" t="s">
        <v>17</v>
      </c>
      <c r="B972" s="418" t="s">
        <v>162</v>
      </c>
      <c r="C972" s="419" t="s">
        <v>263</v>
      </c>
      <c r="D972" s="419" t="s">
        <v>264</v>
      </c>
      <c r="E972" s="420" t="s">
        <v>265</v>
      </c>
      <c r="F972" s="57" t="s">
        <v>266</v>
      </c>
    </row>
    <row r="973" spans="1:6" ht="12.75" customHeight="1" x14ac:dyDescent="0.2">
      <c r="A973" s="6" t="str">
        <f>'A VII.'!$A$16</f>
        <v>1.7</v>
      </c>
      <c r="B973" s="74" t="str">
        <f>VLOOKUP(A973,'A VII.'!$A$10:$D$199,2,FALSE)</f>
        <v>ARAME GALVANIZADO 14 BWG (0,026 KG/M)</v>
      </c>
      <c r="C973" s="114">
        <v>0.15</v>
      </c>
      <c r="D973" s="7" t="str">
        <f>VLOOKUP(A973,'A VII.'!$A$10:$D$199,3,FALSE)</f>
        <v>KG</v>
      </c>
      <c r="E973" s="85">
        <f>'A VII.'!$D$16</f>
        <v>0</v>
      </c>
      <c r="F973" s="59">
        <f>ROUND(C973*E973,2)</f>
        <v>0</v>
      </c>
    </row>
    <row r="974" spans="1:6" ht="12.75" customHeight="1" x14ac:dyDescent="0.2">
      <c r="A974" s="6" t="str">
        <f>'A VII.'!$A$17</f>
        <v>1.8</v>
      </c>
      <c r="B974" s="74" t="str">
        <f>VLOOKUP(A974,'A VII.'!$A$10:$D$199,2,FALSE)</f>
        <v>ARAME GALVANIZADO 10 BWG (0,0713 KG/M)</v>
      </c>
      <c r="C974" s="114">
        <v>5.9839999999999997E-2</v>
      </c>
      <c r="D974" s="7" t="str">
        <f>VLOOKUP(A974,'A VII.'!$A$10:$D$199,3,FALSE)</f>
        <v>KG</v>
      </c>
      <c r="E974" s="85">
        <f>'A VII.'!$D$17</f>
        <v>0</v>
      </c>
      <c r="F974" s="59">
        <f t="shared" ref="F974:F988" si="53">ROUND(C974*E974,2)</f>
        <v>0</v>
      </c>
    </row>
    <row r="975" spans="1:6" ht="12.75" customHeight="1" x14ac:dyDescent="0.2">
      <c r="A975" s="6" t="str">
        <f>'A VII.'!$A$19</f>
        <v>1.10</v>
      </c>
      <c r="B975" s="74" t="str">
        <f>VLOOKUP(A975,'A VII.'!$A$10:$D$199,2,FALSE)</f>
        <v>AREIA MÉDIA LAVADA</v>
      </c>
      <c r="C975" s="114">
        <v>1.6799999999999999E-2</v>
      </c>
      <c r="D975" s="7" t="str">
        <f>VLOOKUP(A975,'A VII.'!$A$10:$D$199,3,FALSE)</f>
        <v>M3</v>
      </c>
      <c r="E975" s="85">
        <f>'A VII.'!$D$19</f>
        <v>0</v>
      </c>
      <c r="F975" s="59">
        <f t="shared" si="53"/>
        <v>0</v>
      </c>
    </row>
    <row r="976" spans="1:6" ht="12.75" customHeight="1" x14ac:dyDescent="0.2">
      <c r="A976" s="6" t="str">
        <f>'A VII.'!$A$38</f>
        <v>1.29</v>
      </c>
      <c r="B976" s="74" t="str">
        <f>VLOOKUP(A976,'A VII.'!$A$10:$D$199,2,FALSE)</f>
        <v>CIMENTO PORTLAND CP II-E-32</v>
      </c>
      <c r="C976" s="114">
        <v>4.6399999999999997</v>
      </c>
      <c r="D976" s="7" t="str">
        <f>VLOOKUP(A976,'A VII.'!$A$10:$D$199,3,FALSE)</f>
        <v>KG</v>
      </c>
      <c r="E976" s="85">
        <f>'A VII.'!$D$38</f>
        <v>0</v>
      </c>
      <c r="F976" s="59">
        <f t="shared" si="53"/>
        <v>0</v>
      </c>
    </row>
    <row r="977" spans="1:6" ht="12.75" customHeight="1" x14ac:dyDescent="0.2">
      <c r="A977" s="6" t="str">
        <f>'A VII.'!$A$75</f>
        <v>1.66</v>
      </c>
      <c r="B977" s="74" t="str">
        <f>VLOOKUP(A977,'A VII.'!$A$10:$D$199,2,FALSE)</f>
        <v>MOURÃO DE CONCRETO CURVO, 10X10CM, *H = 2,50* M + CURVA COM 0,40* M</v>
      </c>
      <c r="C977" s="114">
        <v>0.4</v>
      </c>
      <c r="D977" s="7" t="str">
        <f>VLOOKUP(A977,'A VII.'!$A$10:$D$199,3,FALSE)</f>
        <v>UN</v>
      </c>
      <c r="E977" s="85">
        <f>'A VII.'!$D$75</f>
        <v>0</v>
      </c>
      <c r="F977" s="59">
        <f t="shared" si="53"/>
        <v>0</v>
      </c>
    </row>
    <row r="978" spans="1:6" ht="12.75" customHeight="1" x14ac:dyDescent="0.2">
      <c r="A978" s="6" t="str">
        <f>'A VII.'!$A$84</f>
        <v>1.74</v>
      </c>
      <c r="B978" s="74" t="str">
        <f>VLOOKUP(A978,'A VII.'!$A$10:$D$199,2,FALSE)</f>
        <v>PEDRA BRITADA Nº 2 GRANULOMETRIA ENTRE (21,0 E 32,0 MM)</v>
      </c>
      <c r="C978" s="114">
        <v>1.2999999999999999E-2</v>
      </c>
      <c r="D978" s="7" t="str">
        <f>VLOOKUP(A978,'A VII.'!$A$10:$D$199,3,FALSE)</f>
        <v>M3</v>
      </c>
      <c r="E978" s="85">
        <f>'A VII.'!$D$84</f>
        <v>0</v>
      </c>
      <c r="F978" s="59">
        <f t="shared" si="53"/>
        <v>0</v>
      </c>
    </row>
    <row r="979" spans="1:6" ht="12.75" customHeight="1" x14ac:dyDescent="0.2">
      <c r="A979" s="6" t="str">
        <f>'A VII.'!$A$82</f>
        <v>1.73</v>
      </c>
      <c r="B979" s="74" t="str">
        <f>VLOOKUP(A979,'A VII.'!$A$10:$D$199,2,FALSE)</f>
        <v>PEDRA BRITADA Nº 1 GRANULOMETRIA ENTRE (9,5 E 25,00 MM)</v>
      </c>
      <c r="C979" s="114">
        <v>1.2999999999999999E-2</v>
      </c>
      <c r="D979" s="7" t="str">
        <f>VLOOKUP(A979,'A VII.'!$A$10:$D$199,3,FALSE)</f>
        <v>M3</v>
      </c>
      <c r="E979" s="85">
        <f>'A VII.'!$D$82</f>
        <v>0</v>
      </c>
      <c r="F979" s="59">
        <f t="shared" si="53"/>
        <v>0</v>
      </c>
    </row>
    <row r="980" spans="1:6" ht="12.75" customHeight="1" x14ac:dyDescent="0.2">
      <c r="A980" s="6" t="str">
        <f>'A VII.'!$A$102</f>
        <v>1.92</v>
      </c>
      <c r="B980" s="74" t="str">
        <f>VLOOKUP(A980,'A VII.'!$A$10:$D$199,2,FALSE)</f>
        <v>TELA ARAME GALVANIZADO FIO 12 BWG (2,77MM) MALHA 5 X 5CM, H=2M</v>
      </c>
      <c r="C980" s="114">
        <v>1.9</v>
      </c>
      <c r="D980" s="7" t="str">
        <f>VLOOKUP(A980,'A VII.'!$A$10:$D$199,3,FALSE)</f>
        <v>M2</v>
      </c>
      <c r="E980" s="85">
        <f>'A VII.'!$D$102</f>
        <v>0</v>
      </c>
      <c r="F980" s="59">
        <f t="shared" si="53"/>
        <v>0</v>
      </c>
    </row>
    <row r="981" spans="1:6" ht="12.75" customHeight="1" x14ac:dyDescent="0.2">
      <c r="A981" s="6" t="str">
        <f>'A VII.'!$A$15</f>
        <v>1.6</v>
      </c>
      <c r="B981" s="74" t="str">
        <f>VLOOKUP(A981,'A VII.'!$A$10:$D$199,2,FALSE)</f>
        <v>ARAME FARPADO GALVANIZADO 16 BWG, CLASSE 250</v>
      </c>
      <c r="C981" s="114">
        <v>3</v>
      </c>
      <c r="D981" s="7" t="str">
        <f>VLOOKUP(A981,'A VII.'!$A$10:$D$199,3,FALSE)</f>
        <v>M</v>
      </c>
      <c r="E981" s="85">
        <f>'A VII.'!$D$15</f>
        <v>0</v>
      </c>
      <c r="F981" s="59">
        <f t="shared" si="53"/>
        <v>0</v>
      </c>
    </row>
    <row r="982" spans="1:6" ht="12.75" customHeight="1" x14ac:dyDescent="0.2">
      <c r="A982" s="6"/>
      <c r="B982" s="421"/>
      <c r="C982" s="114"/>
      <c r="D982" s="7"/>
      <c r="E982" s="85"/>
      <c r="F982" s="59">
        <f t="shared" si="53"/>
        <v>0</v>
      </c>
    </row>
    <row r="983" spans="1:6" ht="12.75" customHeight="1" x14ac:dyDescent="0.2">
      <c r="A983" s="6"/>
      <c r="B983" s="421"/>
      <c r="C983" s="114"/>
      <c r="D983" s="7"/>
      <c r="E983" s="85"/>
      <c r="F983" s="59">
        <f t="shared" si="53"/>
        <v>0</v>
      </c>
    </row>
    <row r="984" spans="1:6" ht="12.75" customHeight="1" x14ac:dyDescent="0.2">
      <c r="A984" s="6"/>
      <c r="B984" s="421"/>
      <c r="C984" s="114"/>
      <c r="D984" s="423"/>
      <c r="E984" s="85"/>
      <c r="F984" s="59">
        <f t="shared" si="53"/>
        <v>0</v>
      </c>
    </row>
    <row r="985" spans="1:6" ht="12.75" customHeight="1" x14ac:dyDescent="0.2">
      <c r="A985" s="6"/>
      <c r="B985" s="421"/>
      <c r="C985" s="114"/>
      <c r="D985" s="423"/>
      <c r="E985" s="85"/>
      <c r="F985" s="59">
        <f t="shared" si="53"/>
        <v>0</v>
      </c>
    </row>
    <row r="986" spans="1:6" ht="12.75" customHeight="1" x14ac:dyDescent="0.2">
      <c r="A986" s="6"/>
      <c r="B986" s="421"/>
      <c r="C986" s="114"/>
      <c r="D986" s="423"/>
      <c r="E986" s="85"/>
      <c r="F986" s="59">
        <f t="shared" si="53"/>
        <v>0</v>
      </c>
    </row>
    <row r="987" spans="1:6" ht="12.75" customHeight="1" x14ac:dyDescent="0.2">
      <c r="A987" s="3"/>
      <c r="C987" s="114"/>
      <c r="E987" s="85"/>
      <c r="F987" s="59">
        <f t="shared" si="53"/>
        <v>0</v>
      </c>
    </row>
    <row r="988" spans="1:6" ht="12.75" customHeight="1" x14ac:dyDescent="0.2">
      <c r="A988" s="3"/>
      <c r="C988" s="114"/>
      <c r="E988" s="85"/>
      <c r="F988" s="59">
        <f t="shared" si="53"/>
        <v>0</v>
      </c>
    </row>
    <row r="989" spans="1:6" ht="12.75" customHeight="1" x14ac:dyDescent="0.2">
      <c r="A989" s="3"/>
      <c r="B989" s="86" t="s">
        <v>258</v>
      </c>
      <c r="C989" s="87"/>
      <c r="D989" s="88"/>
      <c r="E989" s="89"/>
      <c r="F989" s="90">
        <f>SUM(F973:F988)</f>
        <v>0</v>
      </c>
    </row>
    <row r="990" spans="1:6" ht="12.75" customHeight="1" x14ac:dyDescent="0.2">
      <c r="A990" s="3"/>
      <c r="B990" s="91" t="s">
        <v>70</v>
      </c>
      <c r="C990" s="15">
        <f>$D$8</f>
        <v>0</v>
      </c>
      <c r="D990" s="92"/>
      <c r="E990" s="93"/>
      <c r="F990" s="94">
        <f>ROUND(F989*C990,2)</f>
        <v>0</v>
      </c>
    </row>
    <row r="991" spans="1:6" ht="12.75" customHeight="1" x14ac:dyDescent="0.2">
      <c r="A991" s="95"/>
      <c r="B991" s="424" t="s">
        <v>259</v>
      </c>
      <c r="C991" s="425"/>
      <c r="D991" s="425"/>
      <c r="E991" s="426"/>
      <c r="F991" s="96">
        <f>F989+F990</f>
        <v>0</v>
      </c>
    </row>
    <row r="992" spans="1:6" ht="12.75" customHeight="1" x14ac:dyDescent="0.2">
      <c r="A992" s="1" t="s">
        <v>5</v>
      </c>
      <c r="B992" s="418" t="s">
        <v>267</v>
      </c>
      <c r="C992" s="419" t="s">
        <v>263</v>
      </c>
      <c r="D992" s="419" t="s">
        <v>264</v>
      </c>
      <c r="E992" s="420" t="s">
        <v>265</v>
      </c>
      <c r="F992" s="57" t="s">
        <v>266</v>
      </c>
    </row>
    <row r="993" spans="1:6" ht="12.75" customHeight="1" x14ac:dyDescent="0.2">
      <c r="A993" s="3" t="str">
        <f>'A VII.'!$A$149</f>
        <v>2.7</v>
      </c>
      <c r="B993" s="74" t="str">
        <f>VLOOKUP(A993,'A VII.'!$A$10:$D$199,2,FALSE)</f>
        <v>BETONEIRA, CAPACIDADE NOMINAL DE 400L, MOTOR ELÉTRICO TRIFÁSICO DE  2CV - CHP</v>
      </c>
      <c r="C993" s="114">
        <v>1.4500000000000001E-2</v>
      </c>
      <c r="D993" s="54" t="str">
        <f>VLOOKUP(A993,'A VII.'!$A$10:$D$199,3,FALSE)</f>
        <v>CHP</v>
      </c>
      <c r="E993" s="85">
        <f>'A VII.'!$D$149</f>
        <v>0</v>
      </c>
      <c r="F993" s="59">
        <f t="shared" ref="F993:F1002" si="54">ROUND(C993*E993,2)</f>
        <v>0</v>
      </c>
    </row>
    <row r="994" spans="1:6" ht="12.75" customHeight="1" x14ac:dyDescent="0.2">
      <c r="A994" s="3"/>
      <c r="C994" s="114"/>
      <c r="E994" s="85"/>
      <c r="F994" s="59">
        <f t="shared" si="54"/>
        <v>0</v>
      </c>
    </row>
    <row r="995" spans="1:6" ht="12.75" customHeight="1" x14ac:dyDescent="0.2">
      <c r="A995" s="3"/>
      <c r="C995" s="114"/>
      <c r="E995" s="85"/>
      <c r="F995" s="59">
        <f t="shared" si="54"/>
        <v>0</v>
      </c>
    </row>
    <row r="996" spans="1:6" ht="12.75" customHeight="1" x14ac:dyDescent="0.2">
      <c r="A996" s="3"/>
      <c r="C996" s="114"/>
      <c r="E996" s="85"/>
      <c r="F996" s="59">
        <f t="shared" si="54"/>
        <v>0</v>
      </c>
    </row>
    <row r="997" spans="1:6" ht="12.75" customHeight="1" x14ac:dyDescent="0.2">
      <c r="A997" s="3"/>
      <c r="C997" s="114"/>
      <c r="E997" s="85"/>
      <c r="F997" s="59">
        <f t="shared" si="54"/>
        <v>0</v>
      </c>
    </row>
    <row r="998" spans="1:6" ht="12.75" customHeight="1" x14ac:dyDescent="0.2">
      <c r="A998" s="3"/>
      <c r="C998" s="114"/>
      <c r="E998" s="85"/>
      <c r="F998" s="59">
        <f t="shared" si="54"/>
        <v>0</v>
      </c>
    </row>
    <row r="999" spans="1:6" ht="12.75" customHeight="1" x14ac:dyDescent="0.2">
      <c r="A999" s="3"/>
      <c r="C999" s="114"/>
      <c r="E999" s="85"/>
      <c r="F999" s="59">
        <f t="shared" si="54"/>
        <v>0</v>
      </c>
    </row>
    <row r="1000" spans="1:6" ht="12.75" customHeight="1" x14ac:dyDescent="0.2">
      <c r="A1000" s="3"/>
      <c r="C1000" s="114"/>
      <c r="E1000" s="85"/>
      <c r="F1000" s="59">
        <f t="shared" si="54"/>
        <v>0</v>
      </c>
    </row>
    <row r="1001" spans="1:6" ht="12.75" customHeight="1" x14ac:dyDescent="0.2">
      <c r="A1001" s="3"/>
      <c r="C1001" s="114"/>
      <c r="E1001" s="85"/>
      <c r="F1001" s="59">
        <f t="shared" si="54"/>
        <v>0</v>
      </c>
    </row>
    <row r="1002" spans="1:6" ht="12.75" customHeight="1" x14ac:dyDescent="0.2">
      <c r="A1002" s="3"/>
      <c r="C1002" s="114"/>
      <c r="E1002" s="85"/>
      <c r="F1002" s="59">
        <f t="shared" si="54"/>
        <v>0</v>
      </c>
    </row>
    <row r="1003" spans="1:6" ht="12.75" customHeight="1" x14ac:dyDescent="0.2">
      <c r="A1003" s="3"/>
      <c r="B1003" s="86" t="s">
        <v>258</v>
      </c>
      <c r="C1003" s="87"/>
      <c r="D1003" s="88"/>
      <c r="E1003" s="89"/>
      <c r="F1003" s="90">
        <f>SUM(F993:F1002)</f>
        <v>0</v>
      </c>
    </row>
    <row r="1004" spans="1:6" ht="12.75" customHeight="1" x14ac:dyDescent="0.2">
      <c r="A1004" s="3"/>
      <c r="B1004" s="91" t="s">
        <v>70</v>
      </c>
      <c r="C1004" s="15">
        <f>$D$8</f>
        <v>0</v>
      </c>
      <c r="D1004" s="92"/>
      <c r="E1004" s="93"/>
      <c r="F1004" s="94">
        <f>ROUND(C1004*F1003,2)</f>
        <v>0</v>
      </c>
    </row>
    <row r="1005" spans="1:6" ht="12.75" customHeight="1" x14ac:dyDescent="0.2">
      <c r="A1005" s="95"/>
      <c r="B1005" s="424" t="s">
        <v>260</v>
      </c>
      <c r="C1005" s="425"/>
      <c r="D1005" s="425"/>
      <c r="E1005" s="426"/>
      <c r="F1005" s="96">
        <f>F1003+F1004</f>
        <v>0</v>
      </c>
    </row>
    <row r="1006" spans="1:6" ht="12.75" customHeight="1" x14ac:dyDescent="0.2">
      <c r="A1006" s="97" t="s">
        <v>54</v>
      </c>
      <c r="B1006" s="427" t="s">
        <v>268</v>
      </c>
      <c r="C1006" s="428" t="s">
        <v>263</v>
      </c>
      <c r="D1006" s="429" t="s">
        <v>264</v>
      </c>
      <c r="E1006" s="430" t="s">
        <v>265</v>
      </c>
      <c r="F1006" s="57" t="s">
        <v>266</v>
      </c>
    </row>
    <row r="1007" spans="1:6" ht="12.75" customHeight="1" x14ac:dyDescent="0.2">
      <c r="A1007" s="3" t="str">
        <f>'A VII.'!$A$192</f>
        <v>3.12</v>
      </c>
      <c r="B1007" s="74" t="s">
        <v>185</v>
      </c>
      <c r="C1007" s="114">
        <v>0.8</v>
      </c>
      <c r="D1007" s="54" t="str">
        <f>VLOOKUP(A1007,'A VII.'!$A$10:$D$199,3,FALSE)</f>
        <v>H</v>
      </c>
      <c r="E1007" s="85">
        <f>'A VII.'!$D$192</f>
        <v>0</v>
      </c>
      <c r="F1007" s="59">
        <f t="shared" ref="F1007:F1013" si="55">ROUND(C1007*E1007,2)</f>
        <v>0</v>
      </c>
    </row>
    <row r="1008" spans="1:6" ht="12.75" customHeight="1" x14ac:dyDescent="0.2">
      <c r="A1008" s="3" t="str">
        <f>'A VII.'!$A$196</f>
        <v>3.16</v>
      </c>
      <c r="B1008" s="74" t="s">
        <v>189</v>
      </c>
      <c r="C1008" s="114">
        <v>1.9</v>
      </c>
      <c r="D1008" s="54" t="str">
        <f>VLOOKUP(A1008,'A VII.'!$A$10:$D$199,3,FALSE)</f>
        <v>H</v>
      </c>
      <c r="E1008" s="85">
        <f>'A VII.'!$D$196</f>
        <v>0</v>
      </c>
      <c r="F1008" s="59">
        <f t="shared" si="55"/>
        <v>0</v>
      </c>
    </row>
    <row r="1009" spans="1:6" ht="12.75" customHeight="1" x14ac:dyDescent="0.2">
      <c r="A1009" s="3"/>
      <c r="C1009" s="114"/>
      <c r="E1009" s="85"/>
      <c r="F1009" s="59">
        <f t="shared" si="55"/>
        <v>0</v>
      </c>
    </row>
    <row r="1010" spans="1:6" ht="12.75" customHeight="1" x14ac:dyDescent="0.2">
      <c r="A1010" s="3"/>
      <c r="C1010" s="114"/>
      <c r="E1010" s="85"/>
      <c r="F1010" s="59">
        <f t="shared" si="55"/>
        <v>0</v>
      </c>
    </row>
    <row r="1011" spans="1:6" ht="12.75" customHeight="1" x14ac:dyDescent="0.2">
      <c r="A1011" s="3"/>
      <c r="C1011" s="114"/>
      <c r="E1011" s="85"/>
      <c r="F1011" s="59">
        <f t="shared" si="55"/>
        <v>0</v>
      </c>
    </row>
    <row r="1012" spans="1:6" ht="12.75" customHeight="1" x14ac:dyDescent="0.2">
      <c r="A1012" s="3"/>
      <c r="C1012" s="114"/>
      <c r="E1012" s="85"/>
      <c r="F1012" s="59">
        <f t="shared" si="55"/>
        <v>0</v>
      </c>
    </row>
    <row r="1013" spans="1:6" ht="12.75" customHeight="1" x14ac:dyDescent="0.2">
      <c r="A1013" s="3"/>
      <c r="C1013" s="114"/>
      <c r="E1013" s="85"/>
      <c r="F1013" s="59">
        <f t="shared" si="55"/>
        <v>0</v>
      </c>
    </row>
    <row r="1014" spans="1:6" ht="12.75" customHeight="1" x14ac:dyDescent="0.2">
      <c r="A1014" s="3"/>
      <c r="B1014" s="86" t="s">
        <v>258</v>
      </c>
      <c r="C1014" s="87"/>
      <c r="D1014" s="88"/>
      <c r="E1014" s="89"/>
      <c r="F1014" s="90">
        <f>SUM(F1007:F1013)</f>
        <v>0</v>
      </c>
    </row>
    <row r="1015" spans="1:6" ht="12.75" customHeight="1" x14ac:dyDescent="0.2">
      <c r="A1015" s="3"/>
      <c r="B1015" s="91" t="s">
        <v>261</v>
      </c>
      <c r="C1015" s="15">
        <f>'A IX.'!$C$45</f>
        <v>0</v>
      </c>
      <c r="D1015" s="92"/>
      <c r="E1015" s="93"/>
      <c r="F1015" s="94">
        <f>ROUND(F1014*C1015,2)</f>
        <v>0</v>
      </c>
    </row>
    <row r="1016" spans="1:6" ht="12.75" customHeight="1" x14ac:dyDescent="0.2">
      <c r="A1016" s="3"/>
      <c r="B1016" s="91" t="s">
        <v>70</v>
      </c>
      <c r="C1016" s="15">
        <f>$D$8</f>
        <v>0</v>
      </c>
      <c r="D1016" s="92"/>
      <c r="E1016" s="93"/>
      <c r="F1016" s="94">
        <f>ROUND(SUM(F1014:F1015)*C1016,2)</f>
        <v>0</v>
      </c>
    </row>
    <row r="1017" spans="1:6" ht="12.75" customHeight="1" thickBot="1" x14ac:dyDescent="0.25">
      <c r="A1017" s="98"/>
      <c r="B1017" s="99" t="s">
        <v>262</v>
      </c>
      <c r="C1017" s="100"/>
      <c r="D1017" s="100"/>
      <c r="E1017" s="101"/>
      <c r="F1017" s="102">
        <f>SUM(F1014:F1016)</f>
        <v>0</v>
      </c>
    </row>
    <row r="1018" spans="1:6" ht="12.75" customHeight="1" thickBot="1" x14ac:dyDescent="0.25">
      <c r="A1018" s="81"/>
      <c r="B1018" s="82"/>
      <c r="C1018" s="83"/>
      <c r="D1018" s="83"/>
      <c r="E1018" s="84"/>
      <c r="F1018" s="103"/>
    </row>
    <row r="1019" spans="1:6" ht="30" customHeight="1" x14ac:dyDescent="0.2">
      <c r="A1019" s="5" t="str">
        <f>'A IV.A'!$A$47</f>
        <v>3.1.2</v>
      </c>
      <c r="B1019" s="416" t="str">
        <f>'A IV.A'!B47</f>
        <v>ALTEAMENTO DE PROTEÇÃO EM ARAME COM LÂMINAS - CONCERTINA AÇO GALVANIZADO - FORNECIMENTO E INSTALAÇÃO</v>
      </c>
      <c r="C1019" s="526" t="s">
        <v>269</v>
      </c>
      <c r="D1019" s="527"/>
      <c r="E1019" s="417" t="str">
        <f>'A IV.A'!C47</f>
        <v>M</v>
      </c>
      <c r="F1019" s="58">
        <f>ROUND(F1039+F1053+F1065,2)</f>
        <v>0</v>
      </c>
    </row>
    <row r="1020" spans="1:6" ht="12.75" customHeight="1" x14ac:dyDescent="0.2">
      <c r="A1020" s="1" t="s">
        <v>17</v>
      </c>
      <c r="B1020" s="418" t="s">
        <v>162</v>
      </c>
      <c r="C1020" s="419" t="s">
        <v>263</v>
      </c>
      <c r="D1020" s="419" t="s">
        <v>264</v>
      </c>
      <c r="E1020" s="420" t="s">
        <v>265</v>
      </c>
      <c r="F1020" s="57" t="s">
        <v>266</v>
      </c>
    </row>
    <row r="1021" spans="1:6" ht="12.75" customHeight="1" x14ac:dyDescent="0.2">
      <c r="A1021" s="6" t="str">
        <f>'A VII.'!$A$40</f>
        <v>1.31</v>
      </c>
      <c r="B1021" s="74" t="str">
        <f>'A VII.'!$B$40</f>
        <v>CONCERTINA CLIPADA (DUPLA) EM ACO GALVANIZADO DE ALTA RESISTENCIA, ESPIRAL DE 300 MM, D = 2,76 MM</v>
      </c>
      <c r="C1021" s="114">
        <v>1</v>
      </c>
      <c r="D1021" s="7" t="str">
        <f>'A VII.'!$C$40</f>
        <v>M</v>
      </c>
      <c r="E1021" s="85">
        <f>'A VII.'!$D$40</f>
        <v>0</v>
      </c>
      <c r="F1021" s="59">
        <f>ROUND(C1021*E1021,2)</f>
        <v>0</v>
      </c>
    </row>
    <row r="1022" spans="1:6" ht="12.75" customHeight="1" x14ac:dyDescent="0.2">
      <c r="A1022" s="6" t="str">
        <f>'A VII.'!$A$46</f>
        <v>1.37</v>
      </c>
      <c r="B1022" s="74" t="str">
        <f>'A VII.'!$B$46</f>
        <v>ELETRODO REVESTIDO AWS - E7018, DIAMETRO IGUAL A 4,00 MM</v>
      </c>
      <c r="C1022" s="114">
        <v>0.01</v>
      </c>
      <c r="D1022" s="7" t="str">
        <f>'A VII.'!$C$46</f>
        <v>KG</v>
      </c>
      <c r="E1022" s="85">
        <f>'A VII.'!$D$46</f>
        <v>0</v>
      </c>
      <c r="F1022" s="59">
        <f t="shared" ref="F1022:F1036" si="56">ROUND(C1022*E1022,2)</f>
        <v>0</v>
      </c>
    </row>
    <row r="1023" spans="1:6" ht="12.75" customHeight="1" x14ac:dyDescent="0.2">
      <c r="A1023" s="6" t="str">
        <f>'A VII.'!$A$131</f>
        <v>1.121</v>
      </c>
      <c r="B1023" s="74" t="str">
        <f>'A VII.'!$B$131</f>
        <v>HASTE RETA DE ACO GALVANIZADO, H = *30* CM, BASE RETANGULAR, PARA FIXACAO DE CONCERTINA SIMPLES DE 30 CM (NAO INCLUI OS FIXADORES)</v>
      </c>
      <c r="C1023" s="114">
        <v>1.25</v>
      </c>
      <c r="D1023" s="7" t="str">
        <f>'A VII.'!$C$131</f>
        <v>UN</v>
      </c>
      <c r="E1023" s="85">
        <f>'A VII.'!$D$131</f>
        <v>0</v>
      </c>
      <c r="F1023" s="59">
        <f t="shared" si="56"/>
        <v>0</v>
      </c>
    </row>
    <row r="1024" spans="1:6" ht="12.75" customHeight="1" x14ac:dyDescent="0.2">
      <c r="A1024" s="6" t="str">
        <f>'A VII.'!$A$16</f>
        <v>1.7</v>
      </c>
      <c r="B1024" s="74" t="str">
        <f>'A VII.'!$B$16</f>
        <v>ARAME GALVANIZADO 14 BWG (0,026 KG/M)</v>
      </c>
      <c r="C1024" s="114">
        <v>3.5000000000000003E-2</v>
      </c>
      <c r="D1024" s="7" t="str">
        <f>'A VII.'!$C$16</f>
        <v>KG</v>
      </c>
      <c r="E1024" s="85">
        <f>'A VII.'!$D$16</f>
        <v>0</v>
      </c>
      <c r="F1024" s="59">
        <f t="shared" si="56"/>
        <v>0</v>
      </c>
    </row>
    <row r="1025" spans="1:6" ht="12.75" customHeight="1" x14ac:dyDescent="0.2">
      <c r="A1025" s="6"/>
      <c r="B1025" s="421"/>
      <c r="C1025" s="114"/>
      <c r="D1025" s="7"/>
      <c r="E1025" s="85"/>
      <c r="F1025" s="59">
        <f t="shared" si="56"/>
        <v>0</v>
      </c>
    </row>
    <row r="1026" spans="1:6" ht="12.75" customHeight="1" x14ac:dyDescent="0.2">
      <c r="A1026" s="6"/>
      <c r="B1026" s="421"/>
      <c r="C1026" s="114"/>
      <c r="D1026" s="7"/>
      <c r="E1026" s="85"/>
      <c r="F1026" s="59">
        <f t="shared" si="56"/>
        <v>0</v>
      </c>
    </row>
    <row r="1027" spans="1:6" ht="12.75" customHeight="1" x14ac:dyDescent="0.2">
      <c r="A1027" s="6"/>
      <c r="B1027" s="421"/>
      <c r="C1027" s="114"/>
      <c r="D1027" s="7"/>
      <c r="E1027" s="85"/>
      <c r="F1027" s="59">
        <f t="shared" si="56"/>
        <v>0</v>
      </c>
    </row>
    <row r="1028" spans="1:6" ht="12.75" customHeight="1" x14ac:dyDescent="0.2">
      <c r="A1028" s="6"/>
      <c r="B1028" s="421"/>
      <c r="C1028" s="114"/>
      <c r="D1028" s="7"/>
      <c r="E1028" s="85"/>
      <c r="F1028" s="59">
        <f t="shared" si="56"/>
        <v>0</v>
      </c>
    </row>
    <row r="1029" spans="1:6" ht="12.75" customHeight="1" x14ac:dyDescent="0.2">
      <c r="A1029" s="6"/>
      <c r="B1029" s="421"/>
      <c r="C1029" s="114"/>
      <c r="D1029" s="7"/>
      <c r="E1029" s="85"/>
      <c r="F1029" s="59">
        <f t="shared" si="56"/>
        <v>0</v>
      </c>
    </row>
    <row r="1030" spans="1:6" ht="12.75" customHeight="1" x14ac:dyDescent="0.2">
      <c r="A1030" s="6"/>
      <c r="B1030" s="421"/>
      <c r="C1030" s="114"/>
      <c r="D1030" s="7"/>
      <c r="E1030" s="85"/>
      <c r="F1030" s="59">
        <f t="shared" si="56"/>
        <v>0</v>
      </c>
    </row>
    <row r="1031" spans="1:6" ht="12.75" customHeight="1" x14ac:dyDescent="0.2">
      <c r="A1031" s="6"/>
      <c r="B1031" s="421"/>
      <c r="C1031" s="114"/>
      <c r="D1031" s="7"/>
      <c r="E1031" s="85"/>
      <c r="F1031" s="59">
        <f t="shared" si="56"/>
        <v>0</v>
      </c>
    </row>
    <row r="1032" spans="1:6" ht="12.75" customHeight="1" x14ac:dyDescent="0.2">
      <c r="A1032" s="6"/>
      <c r="B1032" s="421"/>
      <c r="C1032" s="114"/>
      <c r="D1032" s="423"/>
      <c r="E1032" s="85"/>
      <c r="F1032" s="59">
        <f t="shared" si="56"/>
        <v>0</v>
      </c>
    </row>
    <row r="1033" spans="1:6" ht="12.75" customHeight="1" x14ac:dyDescent="0.2">
      <c r="A1033" s="6"/>
      <c r="B1033" s="421"/>
      <c r="C1033" s="114"/>
      <c r="D1033" s="423"/>
      <c r="E1033" s="85"/>
      <c r="F1033" s="59">
        <f t="shared" si="56"/>
        <v>0</v>
      </c>
    </row>
    <row r="1034" spans="1:6" ht="12.75" customHeight="1" x14ac:dyDescent="0.2">
      <c r="A1034" s="6"/>
      <c r="B1034" s="421"/>
      <c r="C1034" s="114"/>
      <c r="D1034" s="423"/>
      <c r="E1034" s="85"/>
      <c r="F1034" s="59">
        <f t="shared" si="56"/>
        <v>0</v>
      </c>
    </row>
    <row r="1035" spans="1:6" ht="12.75" customHeight="1" x14ac:dyDescent="0.2">
      <c r="A1035" s="3"/>
      <c r="C1035" s="114"/>
      <c r="E1035" s="85"/>
      <c r="F1035" s="59">
        <f t="shared" si="56"/>
        <v>0</v>
      </c>
    </row>
    <row r="1036" spans="1:6" ht="12.75" customHeight="1" x14ac:dyDescent="0.2">
      <c r="A1036" s="3"/>
      <c r="C1036" s="114"/>
      <c r="E1036" s="85"/>
      <c r="F1036" s="59">
        <f t="shared" si="56"/>
        <v>0</v>
      </c>
    </row>
    <row r="1037" spans="1:6" ht="12.75" customHeight="1" x14ac:dyDescent="0.2">
      <c r="A1037" s="3"/>
      <c r="B1037" s="86" t="s">
        <v>258</v>
      </c>
      <c r="C1037" s="87"/>
      <c r="D1037" s="88"/>
      <c r="E1037" s="89"/>
      <c r="F1037" s="90">
        <f>SUM(F1021:F1036)</f>
        <v>0</v>
      </c>
    </row>
    <row r="1038" spans="1:6" ht="12.75" customHeight="1" x14ac:dyDescent="0.2">
      <c r="A1038" s="3"/>
      <c r="B1038" s="91" t="s">
        <v>70</v>
      </c>
      <c r="C1038" s="15">
        <f>$D$8</f>
        <v>0</v>
      </c>
      <c r="D1038" s="92"/>
      <c r="E1038" s="93"/>
      <c r="F1038" s="94">
        <f>ROUND(F1037*C1038,2)</f>
        <v>0</v>
      </c>
    </row>
    <row r="1039" spans="1:6" ht="12.75" customHeight="1" x14ac:dyDescent="0.2">
      <c r="A1039" s="95"/>
      <c r="B1039" s="424" t="s">
        <v>259</v>
      </c>
      <c r="C1039" s="425"/>
      <c r="D1039" s="425"/>
      <c r="E1039" s="426"/>
      <c r="F1039" s="96">
        <f>F1037+F1038</f>
        <v>0</v>
      </c>
    </row>
    <row r="1040" spans="1:6" ht="12.75" customHeight="1" x14ac:dyDescent="0.2">
      <c r="A1040" s="1" t="s">
        <v>5</v>
      </c>
      <c r="B1040" s="418" t="s">
        <v>267</v>
      </c>
      <c r="C1040" s="419" t="s">
        <v>263</v>
      </c>
      <c r="D1040" s="419" t="s">
        <v>264</v>
      </c>
      <c r="E1040" s="420" t="s">
        <v>265</v>
      </c>
      <c r="F1040" s="57" t="s">
        <v>266</v>
      </c>
    </row>
    <row r="1041" spans="1:6" ht="12.75" customHeight="1" x14ac:dyDescent="0.2">
      <c r="A1041" s="3" t="str">
        <f>'A VII.'!$A$159</f>
        <v>2.17</v>
      </c>
      <c r="B1041" s="71" t="str">
        <f>'A VII.'!$B$159</f>
        <v>GRUPO DE SOLDA 600A, GERADOR DIESEL 60 CV PARA SOLDA ELÉTRICA, SOBRE RODAS, MOTOR 4 CILINDROS - CHP</v>
      </c>
      <c r="C1041" s="114">
        <v>5.9900000000000002E-2</v>
      </c>
      <c r="D1041" s="54" t="str">
        <f>'A VII.'!$C$159</f>
        <v>CHP</v>
      </c>
      <c r="E1041" s="85">
        <f>'A VII.'!$D$159</f>
        <v>0</v>
      </c>
      <c r="F1041" s="59">
        <f t="shared" ref="F1041:F1050" si="57">ROUND(C1041*E1041,2)</f>
        <v>0</v>
      </c>
    </row>
    <row r="1042" spans="1:6" ht="12.75" customHeight="1" x14ac:dyDescent="0.2">
      <c r="A1042" s="3"/>
      <c r="C1042" s="114"/>
      <c r="E1042" s="85"/>
      <c r="F1042" s="59">
        <f t="shared" si="57"/>
        <v>0</v>
      </c>
    </row>
    <row r="1043" spans="1:6" ht="12.75" customHeight="1" x14ac:dyDescent="0.2">
      <c r="A1043" s="3"/>
      <c r="C1043" s="114"/>
      <c r="E1043" s="85"/>
      <c r="F1043" s="59">
        <f t="shared" si="57"/>
        <v>0</v>
      </c>
    </row>
    <row r="1044" spans="1:6" ht="12.75" customHeight="1" x14ac:dyDescent="0.2">
      <c r="A1044" s="3"/>
      <c r="C1044" s="114"/>
      <c r="E1044" s="85"/>
      <c r="F1044" s="59">
        <f t="shared" si="57"/>
        <v>0</v>
      </c>
    </row>
    <row r="1045" spans="1:6" ht="12.75" customHeight="1" x14ac:dyDescent="0.2">
      <c r="A1045" s="3"/>
      <c r="C1045" s="114"/>
      <c r="E1045" s="85"/>
      <c r="F1045" s="59">
        <f t="shared" si="57"/>
        <v>0</v>
      </c>
    </row>
    <row r="1046" spans="1:6" ht="12.75" customHeight="1" x14ac:dyDescent="0.2">
      <c r="A1046" s="3"/>
      <c r="C1046" s="114"/>
      <c r="E1046" s="85"/>
      <c r="F1046" s="59">
        <f t="shared" si="57"/>
        <v>0</v>
      </c>
    </row>
    <row r="1047" spans="1:6" ht="12.75" customHeight="1" x14ac:dyDescent="0.2">
      <c r="A1047" s="3"/>
      <c r="C1047" s="114"/>
      <c r="E1047" s="85"/>
      <c r="F1047" s="59">
        <f t="shared" si="57"/>
        <v>0</v>
      </c>
    </row>
    <row r="1048" spans="1:6" ht="12.75" customHeight="1" x14ac:dyDescent="0.2">
      <c r="A1048" s="3"/>
      <c r="C1048" s="114"/>
      <c r="E1048" s="85"/>
      <c r="F1048" s="59">
        <f t="shared" si="57"/>
        <v>0</v>
      </c>
    </row>
    <row r="1049" spans="1:6" ht="12.75" customHeight="1" x14ac:dyDescent="0.2">
      <c r="A1049" s="3"/>
      <c r="C1049" s="114"/>
      <c r="E1049" s="85"/>
      <c r="F1049" s="59">
        <f t="shared" si="57"/>
        <v>0</v>
      </c>
    </row>
    <row r="1050" spans="1:6" ht="12.75" customHeight="1" x14ac:dyDescent="0.2">
      <c r="A1050" s="3"/>
      <c r="C1050" s="114"/>
      <c r="E1050" s="85"/>
      <c r="F1050" s="59">
        <f t="shared" si="57"/>
        <v>0</v>
      </c>
    </row>
    <row r="1051" spans="1:6" ht="12.75" customHeight="1" x14ac:dyDescent="0.2">
      <c r="A1051" s="3"/>
      <c r="B1051" s="86" t="s">
        <v>258</v>
      </c>
      <c r="C1051" s="87"/>
      <c r="D1051" s="88"/>
      <c r="E1051" s="89"/>
      <c r="F1051" s="90">
        <f>SUM(F1041:F1050)</f>
        <v>0</v>
      </c>
    </row>
    <row r="1052" spans="1:6" ht="12.75" customHeight="1" x14ac:dyDescent="0.2">
      <c r="A1052" s="3"/>
      <c r="B1052" s="91" t="s">
        <v>70</v>
      </c>
      <c r="C1052" s="15">
        <f>$D$8</f>
        <v>0</v>
      </c>
      <c r="D1052" s="92"/>
      <c r="E1052" s="93"/>
      <c r="F1052" s="94">
        <f>ROUND(C1052*F1051,2)</f>
        <v>0</v>
      </c>
    </row>
    <row r="1053" spans="1:6" ht="12.75" customHeight="1" x14ac:dyDescent="0.2">
      <c r="A1053" s="95"/>
      <c r="B1053" s="424" t="s">
        <v>260</v>
      </c>
      <c r="C1053" s="425"/>
      <c r="D1053" s="425"/>
      <c r="E1053" s="426"/>
      <c r="F1053" s="96">
        <f>F1051+F1052</f>
        <v>0</v>
      </c>
    </row>
    <row r="1054" spans="1:6" ht="12.75" customHeight="1" x14ac:dyDescent="0.2">
      <c r="A1054" s="97" t="s">
        <v>54</v>
      </c>
      <c r="B1054" s="427" t="s">
        <v>268</v>
      </c>
      <c r="C1054" s="428" t="s">
        <v>263</v>
      </c>
      <c r="D1054" s="429" t="s">
        <v>264</v>
      </c>
      <c r="E1054" s="430" t="s">
        <v>265</v>
      </c>
      <c r="F1054" s="57" t="s">
        <v>266</v>
      </c>
    </row>
    <row r="1055" spans="1:6" ht="12.75" customHeight="1" x14ac:dyDescent="0.2">
      <c r="A1055" s="3" t="str">
        <f>'A VII.'!$A$195</f>
        <v>3.15</v>
      </c>
      <c r="B1055" s="74" t="str">
        <f>'A VII.'!$B$195</f>
        <v>SERRALHEIRO COM ENCARGOS COMPLEMENTARES</v>
      </c>
      <c r="C1055" s="114">
        <v>0.69989999999999997</v>
      </c>
      <c r="D1055" s="54" t="str">
        <f>'A VII.'!$C$195</f>
        <v>H</v>
      </c>
      <c r="E1055" s="85">
        <f>'A VII.'!$D$195</f>
        <v>0</v>
      </c>
      <c r="F1055" s="59">
        <f t="shared" ref="F1055:F1061" si="58">ROUND(C1055*E1055,2)</f>
        <v>0</v>
      </c>
    </row>
    <row r="1056" spans="1:6" ht="12.75" customHeight="1" x14ac:dyDescent="0.2">
      <c r="A1056" s="3" t="str">
        <f>'A VII.'!$A$196</f>
        <v>3.16</v>
      </c>
      <c r="B1056" s="74" t="str">
        <f>'A VII.'!$B$196</f>
        <v>SERVENTE COM ENCARGOS COMPLEMENTARES</v>
      </c>
      <c r="C1056" s="114">
        <v>0.69989999999999997</v>
      </c>
      <c r="D1056" s="54" t="str">
        <f>'A VII.'!$C$196</f>
        <v>H</v>
      </c>
      <c r="E1056" s="85">
        <f>'A VII.'!$D$196</f>
        <v>0</v>
      </c>
      <c r="F1056" s="59">
        <f t="shared" si="58"/>
        <v>0</v>
      </c>
    </row>
    <row r="1057" spans="1:6" ht="12.75" customHeight="1" x14ac:dyDescent="0.2">
      <c r="A1057" s="3"/>
      <c r="C1057" s="114"/>
      <c r="E1057" s="85"/>
      <c r="F1057" s="59">
        <f t="shared" si="58"/>
        <v>0</v>
      </c>
    </row>
    <row r="1058" spans="1:6" ht="12.75" customHeight="1" x14ac:dyDescent="0.2">
      <c r="A1058" s="3"/>
      <c r="C1058" s="114"/>
      <c r="E1058" s="85"/>
      <c r="F1058" s="59">
        <f t="shared" si="58"/>
        <v>0</v>
      </c>
    </row>
    <row r="1059" spans="1:6" ht="12.75" customHeight="1" x14ac:dyDescent="0.2">
      <c r="A1059" s="3"/>
      <c r="C1059" s="114"/>
      <c r="E1059" s="85"/>
      <c r="F1059" s="59">
        <f t="shared" si="58"/>
        <v>0</v>
      </c>
    </row>
    <row r="1060" spans="1:6" ht="12.75" customHeight="1" x14ac:dyDescent="0.2">
      <c r="A1060" s="3"/>
      <c r="C1060" s="114"/>
      <c r="E1060" s="85"/>
      <c r="F1060" s="59">
        <f t="shared" si="58"/>
        <v>0</v>
      </c>
    </row>
    <row r="1061" spans="1:6" ht="12.75" customHeight="1" x14ac:dyDescent="0.2">
      <c r="A1061" s="3"/>
      <c r="C1061" s="114"/>
      <c r="E1061" s="85"/>
      <c r="F1061" s="59">
        <f t="shared" si="58"/>
        <v>0</v>
      </c>
    </row>
    <row r="1062" spans="1:6" ht="12.75" customHeight="1" x14ac:dyDescent="0.2">
      <c r="A1062" s="3"/>
      <c r="B1062" s="86" t="s">
        <v>258</v>
      </c>
      <c r="C1062" s="87"/>
      <c r="D1062" s="88"/>
      <c r="E1062" s="89"/>
      <c r="F1062" s="90">
        <f>SUM(F1055:F1061)</f>
        <v>0</v>
      </c>
    </row>
    <row r="1063" spans="1:6" ht="12.75" customHeight="1" x14ac:dyDescent="0.2">
      <c r="A1063" s="3"/>
      <c r="B1063" s="91" t="s">
        <v>261</v>
      </c>
      <c r="C1063" s="15">
        <f>'A IX.'!$C$45</f>
        <v>0</v>
      </c>
      <c r="D1063" s="92"/>
      <c r="E1063" s="93"/>
      <c r="F1063" s="94">
        <f>ROUND(F1062*C1063,2)</f>
        <v>0</v>
      </c>
    </row>
    <row r="1064" spans="1:6" ht="12.75" customHeight="1" x14ac:dyDescent="0.2">
      <c r="A1064" s="3"/>
      <c r="B1064" s="91" t="s">
        <v>70</v>
      </c>
      <c r="C1064" s="15">
        <f>$D$8</f>
        <v>0</v>
      </c>
      <c r="D1064" s="92"/>
      <c r="E1064" s="93"/>
      <c r="F1064" s="94">
        <f>ROUND(SUM(F1062:F1063)*C1064,2)</f>
        <v>0</v>
      </c>
    </row>
    <row r="1065" spans="1:6" ht="12.75" customHeight="1" thickBot="1" x14ac:dyDescent="0.25">
      <c r="A1065" s="98"/>
      <c r="B1065" s="99" t="s">
        <v>262</v>
      </c>
      <c r="C1065" s="100"/>
      <c r="D1065" s="100"/>
      <c r="E1065" s="101"/>
      <c r="F1065" s="102">
        <f>SUM(F1062:F1064)</f>
        <v>0</v>
      </c>
    </row>
    <row r="1066" spans="1:6" ht="12.75" customHeight="1" thickBot="1" x14ac:dyDescent="0.25">
      <c r="A1066" s="252"/>
      <c r="B1066" s="253"/>
      <c r="C1066" s="254"/>
      <c r="D1066" s="254"/>
      <c r="E1066" s="255"/>
      <c r="F1066" s="256"/>
    </row>
    <row r="1067" spans="1:6" ht="30" customHeight="1" x14ac:dyDescent="0.2">
      <c r="A1067" s="5" t="str">
        <f>'A IV.A'!$A$48</f>
        <v>3.1.3</v>
      </c>
      <c r="B1067" s="416" t="str">
        <f>'A IV.A'!B48</f>
        <v>FORNECIMENTO E INSTALAÇÃO DE CONJUNTO DE PORTÕES DE ABRIR EM BARRA CHATA, SOB MEDIDA, COMPLETO, PADRÃO ANEXO X.I-A, PORTÃO SOCIAL (1,00 X 2,6) E PORTÃO DE VEÍCULOS (4,00 X 2,60), INCLUSIVE PILARES DE FIXAÇÃO</v>
      </c>
      <c r="C1067" s="526" t="s">
        <v>269</v>
      </c>
      <c r="D1067" s="527"/>
      <c r="E1067" s="417" t="str">
        <f>'A IV.A'!C48</f>
        <v>UN</v>
      </c>
      <c r="F1067" s="58">
        <f>ROUND(F1087+F1101+F1113,2)</f>
        <v>0</v>
      </c>
    </row>
    <row r="1068" spans="1:6" ht="12.75" customHeight="1" x14ac:dyDescent="0.2">
      <c r="A1068" s="1" t="s">
        <v>17</v>
      </c>
      <c r="B1068" s="418" t="s">
        <v>162</v>
      </c>
      <c r="C1068" s="419" t="s">
        <v>263</v>
      </c>
      <c r="D1068" s="419" t="s">
        <v>264</v>
      </c>
      <c r="E1068" s="420" t="s">
        <v>265</v>
      </c>
      <c r="F1068" s="57" t="s">
        <v>266</v>
      </c>
    </row>
    <row r="1069" spans="1:6" ht="12.75" customHeight="1" x14ac:dyDescent="0.2">
      <c r="A1069" s="6" t="str">
        <f>'A VII.'!$A$26</f>
        <v>1.17</v>
      </c>
      <c r="B1069" s="74" t="str">
        <f>VLOOKUP(A1069,'A VII.'!$A$10:$D$199,2,FALSE)</f>
        <v>CADEADO SIMPLES, CORPO EM LATAO MACICO, COM LARGURA DE 50 MM E ALTURA DE APROX 40 MM, HASTE CEMENTADA EM ACO TEMPERADO COM DIAMETRO DE APROX 8,0 MM, INCLUINDO 2 CHAVES</v>
      </c>
      <c r="C1069" s="114">
        <v>1</v>
      </c>
      <c r="D1069" s="7" t="str">
        <f>VLOOKUP(A1069,'A VII.'!$A$10:$D$199,3,FALSE)</f>
        <v>UN</v>
      </c>
      <c r="E1069" s="85">
        <f>'A VII.'!$D$26</f>
        <v>0</v>
      </c>
      <c r="F1069" s="59">
        <f>ROUND(C1069*E1069,2)</f>
        <v>0</v>
      </c>
    </row>
    <row r="1070" spans="1:6" ht="12.75" customHeight="1" x14ac:dyDescent="0.2">
      <c r="A1070" s="6" t="str">
        <f>'A VII.'!$A$38</f>
        <v>1.29</v>
      </c>
      <c r="B1070" s="74" t="str">
        <f>VLOOKUP(A1070,'A VII.'!$A$10:$D$199,2,FALSE)</f>
        <v>CIMENTO PORTLAND CP II-E-32</v>
      </c>
      <c r="C1070" s="114">
        <f>5*2.6+2.03</f>
        <v>15.03</v>
      </c>
      <c r="D1070" s="7" t="str">
        <f>VLOOKUP(A1070,'A VII.'!$A$10:$D$199,3,FALSE)</f>
        <v>KG</v>
      </c>
      <c r="E1070" s="85">
        <f>VLOOKUP(A1070,'A VII.'!$A$10:$D$199,4,FALSE)</f>
        <v>0</v>
      </c>
      <c r="F1070" s="59">
        <f t="shared" ref="F1070:F1084" si="59">ROUND(C1070*E1070,2)</f>
        <v>0</v>
      </c>
    </row>
    <row r="1071" spans="1:6" ht="12.75" customHeight="1" x14ac:dyDescent="0.2">
      <c r="A1071" s="6" t="str">
        <f>'A VII.'!$A$19</f>
        <v>1.10</v>
      </c>
      <c r="B1071" s="74" t="str">
        <f>VLOOKUP(A1071,'A VII.'!$A$10:$D$199,2,FALSE)</f>
        <v>AREIA MÉDIA LAVADA</v>
      </c>
      <c r="C1071" s="114">
        <f>0.01*5*2.6</f>
        <v>0.13</v>
      </c>
      <c r="D1071" s="7" t="str">
        <f>VLOOKUP(A1071,'A VII.'!$A$10:$D$199,3,FALSE)</f>
        <v>M3</v>
      </c>
      <c r="E1071" s="85">
        <f>VLOOKUP(A1071,'A VII.'!$A$10:$D$199,4,FALSE)</f>
        <v>0</v>
      </c>
      <c r="F1071" s="59">
        <f t="shared" si="59"/>
        <v>0</v>
      </c>
    </row>
    <row r="1072" spans="1:6" ht="12.75" customHeight="1" x14ac:dyDescent="0.2">
      <c r="A1072" s="6"/>
      <c r="B1072" s="421"/>
      <c r="C1072" s="114"/>
      <c r="D1072" s="7"/>
      <c r="E1072" s="85"/>
      <c r="F1072" s="59">
        <f t="shared" si="59"/>
        <v>0</v>
      </c>
    </row>
    <row r="1073" spans="1:6" ht="12.75" customHeight="1" x14ac:dyDescent="0.2">
      <c r="A1073" s="6"/>
      <c r="B1073" s="421"/>
      <c r="C1073" s="114"/>
      <c r="D1073" s="7"/>
      <c r="E1073" s="85"/>
      <c r="F1073" s="59">
        <f t="shared" si="59"/>
        <v>0</v>
      </c>
    </row>
    <row r="1074" spans="1:6" ht="12.75" customHeight="1" x14ac:dyDescent="0.2">
      <c r="A1074" s="6"/>
      <c r="B1074" s="421"/>
      <c r="C1074" s="114"/>
      <c r="D1074" s="7"/>
      <c r="E1074" s="85"/>
      <c r="F1074" s="59">
        <f t="shared" si="59"/>
        <v>0</v>
      </c>
    </row>
    <row r="1075" spans="1:6" ht="12.75" customHeight="1" x14ac:dyDescent="0.2">
      <c r="A1075" s="6"/>
      <c r="B1075" s="421"/>
      <c r="C1075" s="114"/>
      <c r="D1075" s="7"/>
      <c r="E1075" s="85"/>
      <c r="F1075" s="59">
        <f t="shared" si="59"/>
        <v>0</v>
      </c>
    </row>
    <row r="1076" spans="1:6" ht="12.75" customHeight="1" x14ac:dyDescent="0.2">
      <c r="A1076" s="6"/>
      <c r="B1076" s="421"/>
      <c r="C1076" s="114"/>
      <c r="D1076" s="7"/>
      <c r="E1076" s="85"/>
      <c r="F1076" s="59">
        <f t="shared" si="59"/>
        <v>0</v>
      </c>
    </row>
    <row r="1077" spans="1:6" ht="12.75" customHeight="1" x14ac:dyDescent="0.2">
      <c r="A1077" s="6"/>
      <c r="B1077" s="421"/>
      <c r="C1077" s="114"/>
      <c r="D1077" s="7"/>
      <c r="E1077" s="85"/>
      <c r="F1077" s="59">
        <f t="shared" si="59"/>
        <v>0</v>
      </c>
    </row>
    <row r="1078" spans="1:6" ht="12.75" customHeight="1" x14ac:dyDescent="0.2">
      <c r="A1078" s="6"/>
      <c r="B1078" s="421"/>
      <c r="C1078" s="114"/>
      <c r="D1078" s="7"/>
      <c r="E1078" s="85"/>
      <c r="F1078" s="59">
        <f t="shared" si="59"/>
        <v>0</v>
      </c>
    </row>
    <row r="1079" spans="1:6" ht="12.75" customHeight="1" x14ac:dyDescent="0.2">
      <c r="A1079" s="6"/>
      <c r="B1079" s="421"/>
      <c r="C1079" s="114"/>
      <c r="D1079" s="7"/>
      <c r="E1079" s="85"/>
      <c r="F1079" s="59">
        <f t="shared" si="59"/>
        <v>0</v>
      </c>
    </row>
    <row r="1080" spans="1:6" ht="12.75" customHeight="1" x14ac:dyDescent="0.2">
      <c r="A1080" s="6"/>
      <c r="B1080" s="421"/>
      <c r="C1080" s="114"/>
      <c r="D1080" s="423"/>
      <c r="E1080" s="85"/>
      <c r="F1080" s="59">
        <f t="shared" si="59"/>
        <v>0</v>
      </c>
    </row>
    <row r="1081" spans="1:6" ht="12.75" customHeight="1" x14ac:dyDescent="0.2">
      <c r="A1081" s="6"/>
      <c r="B1081" s="421"/>
      <c r="C1081" s="114"/>
      <c r="D1081" s="423"/>
      <c r="E1081" s="85"/>
      <c r="F1081" s="59">
        <f t="shared" si="59"/>
        <v>0</v>
      </c>
    </row>
    <row r="1082" spans="1:6" ht="12.75" customHeight="1" x14ac:dyDescent="0.2">
      <c r="A1082" s="6"/>
      <c r="B1082" s="421"/>
      <c r="C1082" s="114"/>
      <c r="D1082" s="423"/>
      <c r="E1082" s="85"/>
      <c r="F1082" s="59">
        <f t="shared" si="59"/>
        <v>0</v>
      </c>
    </row>
    <row r="1083" spans="1:6" ht="12.75" customHeight="1" x14ac:dyDescent="0.2">
      <c r="A1083" s="3"/>
      <c r="C1083" s="114"/>
      <c r="E1083" s="85"/>
      <c r="F1083" s="59">
        <f t="shared" si="59"/>
        <v>0</v>
      </c>
    </row>
    <row r="1084" spans="1:6" ht="12.75" customHeight="1" x14ac:dyDescent="0.2">
      <c r="A1084" s="3"/>
      <c r="C1084" s="114"/>
      <c r="E1084" s="85"/>
      <c r="F1084" s="59">
        <f t="shared" si="59"/>
        <v>0</v>
      </c>
    </row>
    <row r="1085" spans="1:6" ht="12.75" customHeight="1" x14ac:dyDescent="0.2">
      <c r="A1085" s="3"/>
      <c r="B1085" s="86" t="s">
        <v>258</v>
      </c>
      <c r="C1085" s="87"/>
      <c r="D1085" s="88"/>
      <c r="E1085" s="89"/>
      <c r="F1085" s="90">
        <f>SUM(F1069:F1084)</f>
        <v>0</v>
      </c>
    </row>
    <row r="1086" spans="1:6" ht="12.75" customHeight="1" x14ac:dyDescent="0.2">
      <c r="A1086" s="3"/>
      <c r="B1086" s="91" t="s">
        <v>70</v>
      </c>
      <c r="C1086" s="15">
        <f>$D$8</f>
        <v>0</v>
      </c>
      <c r="D1086" s="92"/>
      <c r="E1086" s="93"/>
      <c r="F1086" s="94">
        <f>ROUND(F1085*C1086,2)</f>
        <v>0</v>
      </c>
    </row>
    <row r="1087" spans="1:6" ht="12.75" customHeight="1" x14ac:dyDescent="0.2">
      <c r="A1087" s="95"/>
      <c r="B1087" s="424" t="s">
        <v>259</v>
      </c>
      <c r="C1087" s="425"/>
      <c r="D1087" s="425"/>
      <c r="E1087" s="426"/>
      <c r="F1087" s="96">
        <f>F1085+F1086</f>
        <v>0</v>
      </c>
    </row>
    <row r="1088" spans="1:6" ht="12.75" customHeight="1" x14ac:dyDescent="0.2">
      <c r="A1088" s="1" t="s">
        <v>5</v>
      </c>
      <c r="B1088" s="418" t="s">
        <v>267</v>
      </c>
      <c r="C1088" s="419" t="s">
        <v>263</v>
      </c>
      <c r="D1088" s="419" t="s">
        <v>264</v>
      </c>
      <c r="E1088" s="420" t="s">
        <v>265</v>
      </c>
      <c r="F1088" s="57" t="s">
        <v>266</v>
      </c>
    </row>
    <row r="1089" spans="1:6" ht="12.75" customHeight="1" x14ac:dyDescent="0.2">
      <c r="A1089" s="3" t="str">
        <f>'A VII.'!$A$170</f>
        <v>2.28</v>
      </c>
      <c r="B1089" s="74" t="str">
        <f>VLOOKUP(A1089,'A VII.'!$A$10:$D$199,2,FALSE)</f>
        <v>PORTÃO DE ABRIR EM GRADE DE AÇO, MALHA 65 X 132 MM, MANUAL DO LOTEADOR</v>
      </c>
      <c r="C1089" s="114">
        <f>5*2.6</f>
        <v>13</v>
      </c>
      <c r="D1089" s="7" t="str">
        <f>VLOOKUP(A1089,'A VII.'!$A$10:$D$199,3,FALSE)</f>
        <v>M2</v>
      </c>
      <c r="E1089" s="85">
        <f>VLOOKUP(A1089,'A VII.'!$A$10:$D$199,4,FALSE)</f>
        <v>0</v>
      </c>
      <c r="F1089" s="59">
        <f t="shared" ref="F1089:F1098" si="60">ROUND(C1089*E1089,2)</f>
        <v>0</v>
      </c>
    </row>
    <row r="1090" spans="1:6" ht="12.75" customHeight="1" x14ac:dyDescent="0.2">
      <c r="A1090" s="3"/>
      <c r="C1090" s="114"/>
      <c r="E1090" s="85"/>
      <c r="F1090" s="59">
        <f t="shared" si="60"/>
        <v>0</v>
      </c>
    </row>
    <row r="1091" spans="1:6" ht="12.75" customHeight="1" x14ac:dyDescent="0.2">
      <c r="A1091" s="3"/>
      <c r="C1091" s="114"/>
      <c r="E1091" s="85"/>
      <c r="F1091" s="59">
        <f t="shared" si="60"/>
        <v>0</v>
      </c>
    </row>
    <row r="1092" spans="1:6" ht="12.75" customHeight="1" x14ac:dyDescent="0.2">
      <c r="A1092" s="3"/>
      <c r="C1092" s="114"/>
      <c r="E1092" s="85"/>
      <c r="F1092" s="59">
        <f t="shared" si="60"/>
        <v>0</v>
      </c>
    </row>
    <row r="1093" spans="1:6" ht="12.75" customHeight="1" x14ac:dyDescent="0.2">
      <c r="A1093" s="3"/>
      <c r="C1093" s="114"/>
      <c r="E1093" s="85"/>
      <c r="F1093" s="59">
        <f t="shared" si="60"/>
        <v>0</v>
      </c>
    </row>
    <row r="1094" spans="1:6" ht="12.75" customHeight="1" x14ac:dyDescent="0.2">
      <c r="A1094" s="3"/>
      <c r="C1094" s="114"/>
      <c r="E1094" s="85"/>
      <c r="F1094" s="59">
        <f t="shared" si="60"/>
        <v>0</v>
      </c>
    </row>
    <row r="1095" spans="1:6" ht="12.75" customHeight="1" x14ac:dyDescent="0.2">
      <c r="A1095" s="3"/>
      <c r="C1095" s="114"/>
      <c r="E1095" s="85"/>
      <c r="F1095" s="59">
        <f t="shared" si="60"/>
        <v>0</v>
      </c>
    </row>
    <row r="1096" spans="1:6" ht="12.75" customHeight="1" x14ac:dyDescent="0.2">
      <c r="A1096" s="3"/>
      <c r="C1096" s="114"/>
      <c r="E1096" s="85"/>
      <c r="F1096" s="59">
        <f t="shared" si="60"/>
        <v>0</v>
      </c>
    </row>
    <row r="1097" spans="1:6" ht="12.75" customHeight="1" x14ac:dyDescent="0.2">
      <c r="A1097" s="3"/>
      <c r="C1097" s="114"/>
      <c r="E1097" s="85"/>
      <c r="F1097" s="59">
        <f t="shared" si="60"/>
        <v>0</v>
      </c>
    </row>
    <row r="1098" spans="1:6" ht="12.75" customHeight="1" x14ac:dyDescent="0.2">
      <c r="A1098" s="3"/>
      <c r="C1098" s="114"/>
      <c r="E1098" s="85"/>
      <c r="F1098" s="59">
        <f t="shared" si="60"/>
        <v>0</v>
      </c>
    </row>
    <row r="1099" spans="1:6" ht="12.75" customHeight="1" x14ac:dyDescent="0.2">
      <c r="A1099" s="3"/>
      <c r="B1099" s="86" t="s">
        <v>258</v>
      </c>
      <c r="C1099" s="87"/>
      <c r="D1099" s="88"/>
      <c r="E1099" s="89"/>
      <c r="F1099" s="90">
        <f>SUM(F1089:F1098)</f>
        <v>0</v>
      </c>
    </row>
    <row r="1100" spans="1:6" ht="12.75" customHeight="1" x14ac:dyDescent="0.2">
      <c r="A1100" s="3"/>
      <c r="B1100" s="91" t="s">
        <v>70</v>
      </c>
      <c r="C1100" s="15">
        <f>$D$8</f>
        <v>0</v>
      </c>
      <c r="D1100" s="92"/>
      <c r="E1100" s="93"/>
      <c r="F1100" s="94">
        <f>ROUND(C1100*F1099,2)</f>
        <v>0</v>
      </c>
    </row>
    <row r="1101" spans="1:6" ht="12.75" customHeight="1" x14ac:dyDescent="0.2">
      <c r="A1101" s="95"/>
      <c r="B1101" s="424" t="s">
        <v>260</v>
      </c>
      <c r="C1101" s="425"/>
      <c r="D1101" s="425"/>
      <c r="E1101" s="426"/>
      <c r="F1101" s="96">
        <f>F1099+F1100</f>
        <v>0</v>
      </c>
    </row>
    <row r="1102" spans="1:6" ht="12.75" customHeight="1" x14ac:dyDescent="0.2">
      <c r="A1102" s="97" t="s">
        <v>54</v>
      </c>
      <c r="B1102" s="427" t="s">
        <v>268</v>
      </c>
      <c r="C1102" s="428" t="s">
        <v>263</v>
      </c>
      <c r="D1102" s="429" t="s">
        <v>264</v>
      </c>
      <c r="E1102" s="430" t="s">
        <v>265</v>
      </c>
      <c r="F1102" s="57" t="s">
        <v>266</v>
      </c>
    </row>
    <row r="1103" spans="1:6" ht="12.75" customHeight="1" x14ac:dyDescent="0.2">
      <c r="A1103" s="3" t="str">
        <f>'A VII.'!$A$192</f>
        <v>3.12</v>
      </c>
      <c r="B1103" s="74" t="str">
        <f>VLOOKUP(A1103,'A VII.'!$A$10:$D$199,2,FALSE)</f>
        <v>PEDREIRO COM ENCARGOS COMPLEMENTARES</v>
      </c>
      <c r="C1103" s="114">
        <f>5*2.6*1</f>
        <v>13</v>
      </c>
      <c r="D1103" s="7" t="str">
        <f>VLOOKUP(A1103,'A VII.'!$A$10:$D$199,3,FALSE)</f>
        <v>H</v>
      </c>
      <c r="E1103" s="85">
        <f>VLOOKUP(A1103,'A VII.'!$A$10:$D$199,4,FALSE)</f>
        <v>0</v>
      </c>
      <c r="F1103" s="59">
        <f t="shared" ref="F1103:F1109" si="61">ROUND(C1103*E1103,2)</f>
        <v>0</v>
      </c>
    </row>
    <row r="1104" spans="1:6" ht="12.75" customHeight="1" x14ac:dyDescent="0.2">
      <c r="A1104" s="3" t="str">
        <f>'A VII.'!$A$196</f>
        <v>3.16</v>
      </c>
      <c r="B1104" s="74" t="str">
        <f>VLOOKUP(A1104,'A VII.'!$A$10:$D$199,2,FALSE)</f>
        <v>SERVENTE COM ENCARGOS COMPLEMENTARES</v>
      </c>
      <c r="C1104" s="114">
        <f>5*2.6*3</f>
        <v>39</v>
      </c>
      <c r="D1104" s="7" t="str">
        <f>VLOOKUP(A1104,'A VII.'!$A$10:$D$199,3,FALSE)</f>
        <v>H</v>
      </c>
      <c r="E1104" s="85">
        <f>VLOOKUP(A1104,'A VII.'!$A$10:$D$199,4,FALSE)</f>
        <v>0</v>
      </c>
      <c r="F1104" s="59">
        <f t="shared" si="61"/>
        <v>0</v>
      </c>
    </row>
    <row r="1105" spans="1:6" ht="12.75" customHeight="1" x14ac:dyDescent="0.2">
      <c r="A1105" s="3"/>
      <c r="C1105" s="114"/>
      <c r="E1105" s="85"/>
      <c r="F1105" s="59">
        <f t="shared" si="61"/>
        <v>0</v>
      </c>
    </row>
    <row r="1106" spans="1:6" ht="12.75" customHeight="1" x14ac:dyDescent="0.2">
      <c r="A1106" s="3"/>
      <c r="C1106" s="114"/>
      <c r="E1106" s="85"/>
      <c r="F1106" s="59">
        <f t="shared" si="61"/>
        <v>0</v>
      </c>
    </row>
    <row r="1107" spans="1:6" ht="12.75" customHeight="1" x14ac:dyDescent="0.2">
      <c r="A1107" s="3"/>
      <c r="C1107" s="114"/>
      <c r="E1107" s="85"/>
      <c r="F1107" s="59">
        <f t="shared" si="61"/>
        <v>0</v>
      </c>
    </row>
    <row r="1108" spans="1:6" ht="12.75" customHeight="1" x14ac:dyDescent="0.2">
      <c r="A1108" s="3"/>
      <c r="C1108" s="114"/>
      <c r="E1108" s="85"/>
      <c r="F1108" s="59">
        <f t="shared" si="61"/>
        <v>0</v>
      </c>
    </row>
    <row r="1109" spans="1:6" ht="12.75" customHeight="1" x14ac:dyDescent="0.2">
      <c r="A1109" s="3"/>
      <c r="C1109" s="114"/>
      <c r="E1109" s="85"/>
      <c r="F1109" s="59">
        <f t="shared" si="61"/>
        <v>0</v>
      </c>
    </row>
    <row r="1110" spans="1:6" ht="12.75" customHeight="1" x14ac:dyDescent="0.2">
      <c r="A1110" s="3"/>
      <c r="B1110" s="86" t="s">
        <v>258</v>
      </c>
      <c r="C1110" s="87"/>
      <c r="D1110" s="88"/>
      <c r="E1110" s="89"/>
      <c r="F1110" s="90">
        <f>SUM(F1103:F1109)</f>
        <v>0</v>
      </c>
    </row>
    <row r="1111" spans="1:6" ht="12.75" customHeight="1" x14ac:dyDescent="0.2">
      <c r="A1111" s="3"/>
      <c r="B1111" s="91" t="s">
        <v>261</v>
      </c>
      <c r="C1111" s="15">
        <f>'A IX.'!$C$45</f>
        <v>0</v>
      </c>
      <c r="D1111" s="92"/>
      <c r="E1111" s="93"/>
      <c r="F1111" s="94">
        <f>ROUND(F1110*C1111,2)</f>
        <v>0</v>
      </c>
    </row>
    <row r="1112" spans="1:6" ht="12.75" customHeight="1" x14ac:dyDescent="0.2">
      <c r="A1112" s="3"/>
      <c r="B1112" s="91" t="s">
        <v>70</v>
      </c>
      <c r="C1112" s="15">
        <f>$D$8</f>
        <v>0</v>
      </c>
      <c r="D1112" s="92"/>
      <c r="E1112" s="93"/>
      <c r="F1112" s="94">
        <f>ROUND(SUM(F1110:F1111)*C1112,2)</f>
        <v>0</v>
      </c>
    </row>
    <row r="1113" spans="1:6" ht="12.75" customHeight="1" thickBot="1" x14ac:dyDescent="0.25">
      <c r="A1113" s="98"/>
      <c r="B1113" s="99" t="s">
        <v>262</v>
      </c>
      <c r="C1113" s="100"/>
      <c r="D1113" s="100"/>
      <c r="E1113" s="101"/>
      <c r="F1113" s="102">
        <f>SUM(F1110:F1112)</f>
        <v>0</v>
      </c>
    </row>
    <row r="1114" spans="1:6" ht="12.75" customHeight="1" thickBot="1" x14ac:dyDescent="0.25">
      <c r="A1114" s="81"/>
      <c r="B1114" s="82"/>
      <c r="C1114" s="83"/>
      <c r="D1114" s="83"/>
      <c r="E1114" s="84"/>
      <c r="F1114" s="103"/>
    </row>
    <row r="1115" spans="1:6" ht="30" customHeight="1" x14ac:dyDescent="0.2">
      <c r="A1115" s="5" t="str">
        <f>'A IV.A'!$A$50</f>
        <v>3.2.1</v>
      </c>
      <c r="B1115" s="416" t="str">
        <f>'A IV.A'!$B$50</f>
        <v>EXECUÇÃO DE PORTA PARA RESERVATÓRIOS</v>
      </c>
      <c r="C1115" s="526" t="s">
        <v>269</v>
      </c>
      <c r="D1115" s="527"/>
      <c r="E1115" s="417" t="str">
        <f>'A IV.A'!$C$50</f>
        <v>UN</v>
      </c>
      <c r="F1115" s="58">
        <f>ROUND(F1135+F1149+F1161,2)</f>
        <v>0</v>
      </c>
    </row>
    <row r="1116" spans="1:6" ht="12.75" customHeight="1" x14ac:dyDescent="0.2">
      <c r="A1116" s="1" t="s">
        <v>17</v>
      </c>
      <c r="B1116" s="418" t="s">
        <v>162</v>
      </c>
      <c r="C1116" s="419" t="s">
        <v>263</v>
      </c>
      <c r="D1116" s="419" t="s">
        <v>264</v>
      </c>
      <c r="E1116" s="420" t="s">
        <v>265</v>
      </c>
      <c r="F1116" s="57" t="s">
        <v>266</v>
      </c>
    </row>
    <row r="1117" spans="1:6" ht="12.75" customHeight="1" x14ac:dyDescent="0.2">
      <c r="A1117" s="6" t="str">
        <f>'A VII.'!$A$85</f>
        <v>1.75</v>
      </c>
      <c r="B1117" s="74" t="str">
        <f>VLOOKUP(A1117,'A VII.'!$A$10:$D$199,2,FALSE)</f>
        <v>PORTA DE ABRIR EM ACO VENEZIANA, COM FUNDO ANTICORROSIVO,  SEM GUARNICAO - 87 X 210 CM</v>
      </c>
      <c r="C1117" s="114">
        <v>1</v>
      </c>
      <c r="D1117" s="7" t="str">
        <f>VLOOKUP(A1117,'A VII.'!$A$10:$D$199,3,FALSE)</f>
        <v>UN</v>
      </c>
      <c r="E1117" s="85">
        <f>'A VII.'!$D$85</f>
        <v>0</v>
      </c>
      <c r="F1117" s="59">
        <f>ROUND(C1117*E1117,2)</f>
        <v>0</v>
      </c>
    </row>
    <row r="1118" spans="1:6" ht="12.75" customHeight="1" x14ac:dyDescent="0.2">
      <c r="A1118" s="6" t="str">
        <f>'A VII.'!$A$99</f>
        <v>1.89</v>
      </c>
      <c r="B1118" s="74" t="str">
        <f>VLOOKUP(A1118,'A VII.'!$A$10:$D$199,2,FALSE)</f>
        <v>SELANTE ELASTICO MONOCOMPONENTE A BASE DE POLIURETANO PARA JUNTAS DIVERSAS</v>
      </c>
      <c r="C1118" s="114">
        <v>1.613</v>
      </c>
      <c r="D1118" s="7" t="str">
        <f>VLOOKUP(A1118,'A VII.'!$A$10:$D$199,3,FALSE)</f>
        <v>310 ML</v>
      </c>
      <c r="E1118" s="85">
        <f>'A VII.'!$D$99</f>
        <v>0</v>
      </c>
      <c r="F1118" s="59">
        <f t="shared" ref="F1118:F1132" si="62">ROUND(C1118*E1118,2)</f>
        <v>0</v>
      </c>
    </row>
    <row r="1119" spans="1:6" ht="12.75" customHeight="1" x14ac:dyDescent="0.2">
      <c r="A1119" s="6" t="str">
        <f>'A VII.'!$A$25</f>
        <v>1.16</v>
      </c>
      <c r="B1119" s="74" t="str">
        <f>VLOOKUP(A1119,'A VII.'!$A$10:$D$199,2,FALSE)</f>
        <v>BUCHA DE NYLON S10 E PARAFUSO 6,10X65MM ACO ZINCADO ROSCA SOBERBA, CAB. CHATA FENDA PHILLIPS</v>
      </c>
      <c r="C1119" s="114">
        <v>8.8000000000000007</v>
      </c>
      <c r="D1119" s="7" t="str">
        <f>VLOOKUP(A1119,'A VII.'!$A$10:$D$199,3,FALSE)</f>
        <v>UN</v>
      </c>
      <c r="E1119" s="85">
        <f>'A VII.'!$D$25</f>
        <v>0</v>
      </c>
      <c r="F1119" s="59">
        <f t="shared" si="62"/>
        <v>0</v>
      </c>
    </row>
    <row r="1120" spans="1:6" ht="12.75" customHeight="1" x14ac:dyDescent="0.2">
      <c r="A1120" s="6" t="str">
        <f>'A VII.'!$A$114</f>
        <v>1.104</v>
      </c>
      <c r="B1120" s="74" t="str">
        <f>VLOOKUP(A1120,'A VII.'!$A$10:$D$199,2,FALSE)</f>
        <v>TRAVA DE SEGURANÇA TIPO FERROLHO</v>
      </c>
      <c r="C1120" s="114">
        <v>1</v>
      </c>
      <c r="D1120" s="7" t="str">
        <f>VLOOKUP(A1120,'A VII.'!$A$10:$D$199,3,FALSE)</f>
        <v>UN</v>
      </c>
      <c r="E1120" s="85">
        <f>'A VII.'!$D$114</f>
        <v>0</v>
      </c>
      <c r="F1120" s="59">
        <f t="shared" si="62"/>
        <v>0</v>
      </c>
    </row>
    <row r="1121" spans="1:6" ht="12.75" customHeight="1" x14ac:dyDescent="0.2">
      <c r="A1121" s="6"/>
      <c r="B1121" s="421"/>
      <c r="C1121" s="114"/>
      <c r="D1121" s="7"/>
      <c r="E1121" s="85"/>
      <c r="F1121" s="59">
        <f t="shared" si="62"/>
        <v>0</v>
      </c>
    </row>
    <row r="1122" spans="1:6" ht="12.75" customHeight="1" x14ac:dyDescent="0.2">
      <c r="A1122" s="6"/>
      <c r="B1122" s="421"/>
      <c r="C1122" s="114"/>
      <c r="D1122" s="7"/>
      <c r="E1122" s="85"/>
      <c r="F1122" s="59">
        <f t="shared" si="62"/>
        <v>0</v>
      </c>
    </row>
    <row r="1123" spans="1:6" ht="12.75" customHeight="1" x14ac:dyDescent="0.2">
      <c r="A1123" s="6"/>
      <c r="B1123" s="421"/>
      <c r="C1123" s="114"/>
      <c r="D1123" s="7"/>
      <c r="E1123" s="85"/>
      <c r="F1123" s="59">
        <f t="shared" si="62"/>
        <v>0</v>
      </c>
    </row>
    <row r="1124" spans="1:6" ht="12.75" customHeight="1" x14ac:dyDescent="0.2">
      <c r="A1124" s="6"/>
      <c r="B1124" s="421"/>
      <c r="C1124" s="114"/>
      <c r="D1124" s="7"/>
      <c r="E1124" s="85"/>
      <c r="F1124" s="59">
        <f t="shared" si="62"/>
        <v>0</v>
      </c>
    </row>
    <row r="1125" spans="1:6" ht="12.75" customHeight="1" x14ac:dyDescent="0.2">
      <c r="A1125" s="6"/>
      <c r="B1125" s="421"/>
      <c r="C1125" s="114"/>
      <c r="D1125" s="7"/>
      <c r="E1125" s="85"/>
      <c r="F1125" s="59">
        <f t="shared" si="62"/>
        <v>0</v>
      </c>
    </row>
    <row r="1126" spans="1:6" ht="12.75" customHeight="1" x14ac:dyDescent="0.2">
      <c r="A1126" s="6"/>
      <c r="B1126" s="421"/>
      <c r="C1126" s="114"/>
      <c r="D1126" s="7"/>
      <c r="E1126" s="85"/>
      <c r="F1126" s="59">
        <f t="shared" si="62"/>
        <v>0</v>
      </c>
    </row>
    <row r="1127" spans="1:6" ht="12.75" customHeight="1" x14ac:dyDescent="0.2">
      <c r="A1127" s="6"/>
      <c r="B1127" s="421"/>
      <c r="C1127" s="114"/>
      <c r="D1127" s="7"/>
      <c r="E1127" s="85"/>
      <c r="F1127" s="59">
        <f t="shared" si="62"/>
        <v>0</v>
      </c>
    </row>
    <row r="1128" spans="1:6" ht="12.75" customHeight="1" x14ac:dyDescent="0.2">
      <c r="A1128" s="6"/>
      <c r="B1128" s="421"/>
      <c r="C1128" s="114"/>
      <c r="D1128" s="423"/>
      <c r="E1128" s="85"/>
      <c r="F1128" s="59">
        <f t="shared" si="62"/>
        <v>0</v>
      </c>
    </row>
    <row r="1129" spans="1:6" ht="12.75" customHeight="1" x14ac:dyDescent="0.2">
      <c r="A1129" s="6"/>
      <c r="B1129" s="421"/>
      <c r="C1129" s="114"/>
      <c r="D1129" s="423"/>
      <c r="E1129" s="85"/>
      <c r="F1129" s="59">
        <f t="shared" si="62"/>
        <v>0</v>
      </c>
    </row>
    <row r="1130" spans="1:6" ht="12.75" customHeight="1" x14ac:dyDescent="0.2">
      <c r="A1130" s="6"/>
      <c r="B1130" s="421"/>
      <c r="C1130" s="114"/>
      <c r="D1130" s="423"/>
      <c r="E1130" s="85"/>
      <c r="F1130" s="59">
        <f t="shared" si="62"/>
        <v>0</v>
      </c>
    </row>
    <row r="1131" spans="1:6" ht="12.75" customHeight="1" x14ac:dyDescent="0.2">
      <c r="A1131" s="3"/>
      <c r="C1131" s="114"/>
      <c r="E1131" s="85"/>
      <c r="F1131" s="59">
        <f t="shared" si="62"/>
        <v>0</v>
      </c>
    </row>
    <row r="1132" spans="1:6" ht="12.75" customHeight="1" x14ac:dyDescent="0.2">
      <c r="A1132" s="3"/>
      <c r="C1132" s="114"/>
      <c r="E1132" s="85"/>
      <c r="F1132" s="59">
        <f t="shared" si="62"/>
        <v>0</v>
      </c>
    </row>
    <row r="1133" spans="1:6" ht="12.75" customHeight="1" x14ac:dyDescent="0.2">
      <c r="A1133" s="3"/>
      <c r="B1133" s="86" t="s">
        <v>258</v>
      </c>
      <c r="C1133" s="87"/>
      <c r="D1133" s="88"/>
      <c r="E1133" s="89"/>
      <c r="F1133" s="90">
        <f>SUM(F1117:F1132)</f>
        <v>0</v>
      </c>
    </row>
    <row r="1134" spans="1:6" ht="12.75" customHeight="1" x14ac:dyDescent="0.2">
      <c r="A1134" s="3"/>
      <c r="B1134" s="91" t="s">
        <v>70</v>
      </c>
      <c r="C1134" s="15">
        <f>$D$8</f>
        <v>0</v>
      </c>
      <c r="D1134" s="92"/>
      <c r="E1134" s="93"/>
      <c r="F1134" s="94">
        <f>ROUND(F1133*C1134,2)</f>
        <v>0</v>
      </c>
    </row>
    <row r="1135" spans="1:6" ht="12.75" customHeight="1" x14ac:dyDescent="0.2">
      <c r="A1135" s="95"/>
      <c r="B1135" s="424" t="s">
        <v>259</v>
      </c>
      <c r="C1135" s="425"/>
      <c r="D1135" s="425"/>
      <c r="E1135" s="426"/>
      <c r="F1135" s="96">
        <f>F1133+F1134</f>
        <v>0</v>
      </c>
    </row>
    <row r="1136" spans="1:6" ht="12.75" customHeight="1" x14ac:dyDescent="0.2">
      <c r="A1136" s="1" t="s">
        <v>5</v>
      </c>
      <c r="B1136" s="418" t="s">
        <v>267</v>
      </c>
      <c r="C1136" s="419" t="s">
        <v>263</v>
      </c>
      <c r="D1136" s="419" t="s">
        <v>264</v>
      </c>
      <c r="E1136" s="420" t="s">
        <v>265</v>
      </c>
      <c r="F1136" s="57" t="s">
        <v>266</v>
      </c>
    </row>
    <row r="1137" spans="1:6" ht="12.75" customHeight="1" x14ac:dyDescent="0.2">
      <c r="A1137" s="3"/>
      <c r="B1137" s="71"/>
      <c r="C1137" s="114"/>
      <c r="E1137" s="85"/>
      <c r="F1137" s="59">
        <f t="shared" ref="F1137:F1146" si="63">ROUND(C1137*E1137,2)</f>
        <v>0</v>
      </c>
    </row>
    <row r="1138" spans="1:6" ht="12.75" customHeight="1" x14ac:dyDescent="0.2">
      <c r="A1138" s="3"/>
      <c r="C1138" s="114"/>
      <c r="E1138" s="85"/>
      <c r="F1138" s="59">
        <f t="shared" si="63"/>
        <v>0</v>
      </c>
    </row>
    <row r="1139" spans="1:6" ht="12.75" customHeight="1" x14ac:dyDescent="0.2">
      <c r="A1139" s="3"/>
      <c r="C1139" s="114"/>
      <c r="E1139" s="85"/>
      <c r="F1139" s="59">
        <f t="shared" si="63"/>
        <v>0</v>
      </c>
    </row>
    <row r="1140" spans="1:6" ht="12.75" customHeight="1" x14ac:dyDescent="0.2">
      <c r="A1140" s="3"/>
      <c r="C1140" s="114"/>
      <c r="E1140" s="85"/>
      <c r="F1140" s="59">
        <f t="shared" si="63"/>
        <v>0</v>
      </c>
    </row>
    <row r="1141" spans="1:6" ht="12.75" customHeight="1" x14ac:dyDescent="0.2">
      <c r="A1141" s="3"/>
      <c r="C1141" s="114"/>
      <c r="E1141" s="85"/>
      <c r="F1141" s="59">
        <f t="shared" si="63"/>
        <v>0</v>
      </c>
    </row>
    <row r="1142" spans="1:6" ht="12.75" customHeight="1" x14ac:dyDescent="0.2">
      <c r="A1142" s="3"/>
      <c r="C1142" s="114"/>
      <c r="E1142" s="85"/>
      <c r="F1142" s="59">
        <f t="shared" si="63"/>
        <v>0</v>
      </c>
    </row>
    <row r="1143" spans="1:6" ht="12.75" customHeight="1" x14ac:dyDescent="0.2">
      <c r="A1143" s="3"/>
      <c r="C1143" s="114"/>
      <c r="E1143" s="85"/>
      <c r="F1143" s="59">
        <f t="shared" si="63"/>
        <v>0</v>
      </c>
    </row>
    <row r="1144" spans="1:6" ht="12.75" customHeight="1" x14ac:dyDescent="0.2">
      <c r="A1144" s="3"/>
      <c r="C1144" s="114"/>
      <c r="E1144" s="85"/>
      <c r="F1144" s="59">
        <f t="shared" si="63"/>
        <v>0</v>
      </c>
    </row>
    <row r="1145" spans="1:6" ht="12.75" customHeight="1" x14ac:dyDescent="0.2">
      <c r="A1145" s="3"/>
      <c r="C1145" s="114"/>
      <c r="E1145" s="85"/>
      <c r="F1145" s="59">
        <f t="shared" si="63"/>
        <v>0</v>
      </c>
    </row>
    <row r="1146" spans="1:6" ht="12.75" customHeight="1" x14ac:dyDescent="0.2">
      <c r="A1146" s="3"/>
      <c r="C1146" s="114"/>
      <c r="E1146" s="85"/>
      <c r="F1146" s="59">
        <f t="shared" si="63"/>
        <v>0</v>
      </c>
    </row>
    <row r="1147" spans="1:6" ht="12.75" customHeight="1" x14ac:dyDescent="0.2">
      <c r="A1147" s="3"/>
      <c r="B1147" s="86" t="s">
        <v>258</v>
      </c>
      <c r="C1147" s="87"/>
      <c r="D1147" s="88"/>
      <c r="E1147" s="89"/>
      <c r="F1147" s="90">
        <f>SUM(F1137:F1146)</f>
        <v>0</v>
      </c>
    </row>
    <row r="1148" spans="1:6" ht="12.75" customHeight="1" x14ac:dyDescent="0.2">
      <c r="A1148" s="3"/>
      <c r="B1148" s="91" t="s">
        <v>70</v>
      </c>
      <c r="C1148" s="15">
        <f>$D$8</f>
        <v>0</v>
      </c>
      <c r="D1148" s="92"/>
      <c r="E1148" s="93"/>
      <c r="F1148" s="94">
        <f>ROUND(C1148*F1147,2)</f>
        <v>0</v>
      </c>
    </row>
    <row r="1149" spans="1:6" ht="12.75" customHeight="1" x14ac:dyDescent="0.2">
      <c r="A1149" s="95"/>
      <c r="B1149" s="424" t="s">
        <v>260</v>
      </c>
      <c r="C1149" s="425"/>
      <c r="D1149" s="425"/>
      <c r="E1149" s="426"/>
      <c r="F1149" s="96">
        <f>F1147+F1148</f>
        <v>0</v>
      </c>
    </row>
    <row r="1150" spans="1:6" ht="12.75" customHeight="1" x14ac:dyDescent="0.2">
      <c r="A1150" s="97" t="s">
        <v>54</v>
      </c>
      <c r="B1150" s="427" t="s">
        <v>268</v>
      </c>
      <c r="C1150" s="428" t="s">
        <v>263</v>
      </c>
      <c r="D1150" s="429" t="s">
        <v>264</v>
      </c>
      <c r="E1150" s="430" t="s">
        <v>265</v>
      </c>
      <c r="F1150" s="57" t="s">
        <v>266</v>
      </c>
    </row>
    <row r="1151" spans="1:6" ht="12.75" customHeight="1" x14ac:dyDescent="0.2">
      <c r="A1151" s="3" t="str">
        <f>'A VII.'!$A$196</f>
        <v>3.16</v>
      </c>
      <c r="B1151" s="74" t="s">
        <v>189</v>
      </c>
      <c r="C1151" s="114">
        <v>0.48399999999999999</v>
      </c>
      <c r="D1151" s="54" t="str">
        <f>VLOOKUP(A1151,'A VII.'!$A$10:$D$199,3,FALSE)</f>
        <v>H</v>
      </c>
      <c r="E1151" s="85">
        <f>'A VII.'!$D$196</f>
        <v>0</v>
      </c>
      <c r="F1151" s="59">
        <f t="shared" ref="F1151:F1157" si="64">ROUND(C1151*E1151,2)</f>
        <v>0</v>
      </c>
    </row>
    <row r="1152" spans="1:6" ht="12.75" customHeight="1" x14ac:dyDescent="0.2">
      <c r="A1152" s="3" t="str">
        <f>'A VII.'!$A$192</f>
        <v>3.12</v>
      </c>
      <c r="B1152" s="74" t="s">
        <v>185</v>
      </c>
      <c r="C1152" s="114">
        <v>0.96799999999999997</v>
      </c>
      <c r="D1152" s="54" t="str">
        <f>VLOOKUP(A1152,'A VII.'!$A$10:$D$199,3,FALSE)</f>
        <v>H</v>
      </c>
      <c r="E1152" s="85">
        <f>'A VII.'!$D$192</f>
        <v>0</v>
      </c>
      <c r="F1152" s="59">
        <f t="shared" si="64"/>
        <v>0</v>
      </c>
    </row>
    <row r="1153" spans="1:6" ht="12.75" customHeight="1" x14ac:dyDescent="0.2">
      <c r="A1153" s="3"/>
      <c r="C1153" s="114"/>
      <c r="E1153" s="85"/>
      <c r="F1153" s="59">
        <f t="shared" si="64"/>
        <v>0</v>
      </c>
    </row>
    <row r="1154" spans="1:6" ht="12.75" customHeight="1" x14ac:dyDescent="0.2">
      <c r="A1154" s="3"/>
      <c r="C1154" s="114"/>
      <c r="E1154" s="85"/>
      <c r="F1154" s="59">
        <f t="shared" si="64"/>
        <v>0</v>
      </c>
    </row>
    <row r="1155" spans="1:6" ht="12.75" customHeight="1" x14ac:dyDescent="0.2">
      <c r="A1155" s="3"/>
      <c r="C1155" s="114"/>
      <c r="E1155" s="85"/>
      <c r="F1155" s="59">
        <f t="shared" si="64"/>
        <v>0</v>
      </c>
    </row>
    <row r="1156" spans="1:6" ht="12.75" customHeight="1" x14ac:dyDescent="0.2">
      <c r="A1156" s="3"/>
      <c r="C1156" s="114"/>
      <c r="E1156" s="85"/>
      <c r="F1156" s="59">
        <f t="shared" si="64"/>
        <v>0</v>
      </c>
    </row>
    <row r="1157" spans="1:6" ht="12.75" customHeight="1" x14ac:dyDescent="0.2">
      <c r="A1157" s="3"/>
      <c r="C1157" s="114"/>
      <c r="E1157" s="85"/>
      <c r="F1157" s="59">
        <f t="shared" si="64"/>
        <v>0</v>
      </c>
    </row>
    <row r="1158" spans="1:6" ht="12.75" customHeight="1" x14ac:dyDescent="0.2">
      <c r="A1158" s="3"/>
      <c r="B1158" s="86" t="s">
        <v>258</v>
      </c>
      <c r="C1158" s="87"/>
      <c r="D1158" s="88"/>
      <c r="E1158" s="89"/>
      <c r="F1158" s="90">
        <f>SUM(F1151:F1157)</f>
        <v>0</v>
      </c>
    </row>
    <row r="1159" spans="1:6" ht="12.75" customHeight="1" x14ac:dyDescent="0.2">
      <c r="A1159" s="3"/>
      <c r="B1159" s="91" t="s">
        <v>261</v>
      </c>
      <c r="C1159" s="15">
        <f>'A IX.'!$C$45</f>
        <v>0</v>
      </c>
      <c r="D1159" s="92"/>
      <c r="E1159" s="93"/>
      <c r="F1159" s="94">
        <f>ROUND(F1158*C1159,2)</f>
        <v>0</v>
      </c>
    </row>
    <row r="1160" spans="1:6" ht="12.75" customHeight="1" x14ac:dyDescent="0.2">
      <c r="A1160" s="3"/>
      <c r="B1160" s="91" t="s">
        <v>70</v>
      </c>
      <c r="C1160" s="15">
        <f>$D$8</f>
        <v>0</v>
      </c>
      <c r="D1160" s="92"/>
      <c r="E1160" s="93"/>
      <c r="F1160" s="94">
        <f>ROUND(SUM(F1158:F1159)*C1160,2)</f>
        <v>0</v>
      </c>
    </row>
    <row r="1161" spans="1:6" ht="12.75" customHeight="1" thickBot="1" x14ac:dyDescent="0.25">
      <c r="A1161" s="98"/>
      <c r="B1161" s="99" t="s">
        <v>262</v>
      </c>
      <c r="C1161" s="100"/>
      <c r="D1161" s="100"/>
      <c r="E1161" s="101"/>
      <c r="F1161" s="102">
        <f>SUM(F1158:F1160)</f>
        <v>0</v>
      </c>
    </row>
    <row r="1162" spans="1:6" ht="12.75" customHeight="1" thickBot="1" x14ac:dyDescent="0.25">
      <c r="A1162" s="81"/>
      <c r="B1162" s="82"/>
      <c r="C1162" s="83"/>
      <c r="D1162" s="83"/>
      <c r="E1162" s="84"/>
      <c r="F1162" s="103"/>
    </row>
    <row r="1163" spans="1:6" ht="30" customHeight="1" x14ac:dyDescent="0.2">
      <c r="A1163" s="5" t="str">
        <f>'A IV.A'!$A$51</f>
        <v>3.2.2</v>
      </c>
      <c r="B1163" s="416" t="str">
        <f>'A IV.A'!B51</f>
        <v>FORNECIMENTO E INSTALAÇÃO DE ESQUADRIA METÁLICA EM VENEZIANA/CHAPA DE FERRO, SOB MEDIDA</v>
      </c>
      <c r="C1163" s="526" t="s">
        <v>269</v>
      </c>
      <c r="D1163" s="527"/>
      <c r="E1163" s="417" t="str">
        <f>'A IV.A'!C51</f>
        <v>M2</v>
      </c>
      <c r="F1163" s="58">
        <f>ROUND(F1183+F1197+F1209,2)</f>
        <v>0</v>
      </c>
    </row>
    <row r="1164" spans="1:6" ht="12.75" customHeight="1" x14ac:dyDescent="0.2">
      <c r="A1164" s="1" t="s">
        <v>17</v>
      </c>
      <c r="B1164" s="418" t="s">
        <v>162</v>
      </c>
      <c r="C1164" s="419" t="s">
        <v>263</v>
      </c>
      <c r="D1164" s="419" t="s">
        <v>264</v>
      </c>
      <c r="E1164" s="420" t="s">
        <v>265</v>
      </c>
      <c r="F1164" s="57" t="s">
        <v>266</v>
      </c>
    </row>
    <row r="1165" spans="1:6" ht="12.75" customHeight="1" x14ac:dyDescent="0.2">
      <c r="A1165" s="6" t="str">
        <f>'A VII.'!$A$85</f>
        <v>1.75</v>
      </c>
      <c r="B1165" s="74" t="str">
        <f>'A VII.'!$B$85</f>
        <v>PORTA DE ABRIR EM ACO VENEZIANA, COM FUNDO ANTICORROSIVO,  SEM GUARNICAO - 87 X 210 CM</v>
      </c>
      <c r="C1165" s="114">
        <v>0.59523999999999999</v>
      </c>
      <c r="D1165" s="7" t="str">
        <f>'A VII.'!$C$85</f>
        <v>UN</v>
      </c>
      <c r="E1165" s="85">
        <f>'A VII.'!$D$85</f>
        <v>0</v>
      </c>
      <c r="F1165" s="59">
        <f>ROUND(C1165*E1165,2)</f>
        <v>0</v>
      </c>
    </row>
    <row r="1166" spans="1:6" ht="12.75" customHeight="1" x14ac:dyDescent="0.2">
      <c r="A1166" s="6" t="str">
        <f>'A VII.'!$A$19</f>
        <v>1.10</v>
      </c>
      <c r="B1166" s="74" t="str">
        <f>'A VII.'!$B$19</f>
        <v>AREIA MÉDIA LAVADA</v>
      </c>
      <c r="C1166" s="114">
        <f>0.006*1.2</f>
        <v>7.1999999999999998E-3</v>
      </c>
      <c r="D1166" s="7" t="str">
        <f>'A VII.'!$C$19</f>
        <v>M3</v>
      </c>
      <c r="E1166" s="85">
        <f>'A VII.'!$D$19</f>
        <v>0</v>
      </c>
      <c r="F1166" s="59">
        <f t="shared" ref="F1166:F1180" si="65">ROUND(C1166*E1166,2)</f>
        <v>0</v>
      </c>
    </row>
    <row r="1167" spans="1:6" ht="12.75" customHeight="1" x14ac:dyDescent="0.2">
      <c r="A1167" s="6" t="str">
        <f>'A VII.'!$A$29</f>
        <v>1.20</v>
      </c>
      <c r="B1167" s="74" t="str">
        <f>'A VII.'!$B$29</f>
        <v>CAL HIDRATADA CH III - NBR 7175</v>
      </c>
      <c r="C1167" s="114">
        <f>0.006*80.23</f>
        <v>0.48138000000000003</v>
      </c>
      <c r="D1167" s="7" t="str">
        <f>'A VII.'!$C$29</f>
        <v>KG</v>
      </c>
      <c r="E1167" s="85">
        <f>'A VII.'!$D$29</f>
        <v>0</v>
      </c>
      <c r="F1167" s="59">
        <f t="shared" si="65"/>
        <v>0</v>
      </c>
    </row>
    <row r="1168" spans="1:6" ht="12.75" customHeight="1" x14ac:dyDescent="0.2">
      <c r="A1168" s="6" t="str">
        <f>'A VII.'!$A$38</f>
        <v>1.29</v>
      </c>
      <c r="B1168" s="74" t="str">
        <f>'A VII.'!$B$38</f>
        <v>CIMENTO PORTLAND CP II-E-32</v>
      </c>
      <c r="C1168" s="114">
        <f>0.006*307.54</f>
        <v>1.8452400000000002</v>
      </c>
      <c r="D1168" s="7" t="str">
        <f>'A VII.'!$C$38</f>
        <v>KG</v>
      </c>
      <c r="E1168" s="85">
        <f>'A VII.'!$D$38</f>
        <v>0</v>
      </c>
      <c r="F1168" s="59">
        <f t="shared" si="65"/>
        <v>0</v>
      </c>
    </row>
    <row r="1169" spans="1:6" ht="12.75" customHeight="1" x14ac:dyDescent="0.2">
      <c r="A1169" s="6" t="str">
        <f>'A VII.'!$A$114</f>
        <v>1.104</v>
      </c>
      <c r="B1169" s="421" t="str">
        <f>'A VII.'!$B$114</f>
        <v>TRAVA DE SEGURANÇA TIPO FERROLHO</v>
      </c>
      <c r="C1169" s="114">
        <f>1/(0.87*2.1)</f>
        <v>0.54734537493158186</v>
      </c>
      <c r="D1169" s="7" t="str">
        <f>'A VII.'!$C$114</f>
        <v>UN</v>
      </c>
      <c r="E1169" s="85">
        <f>'A VII.'!$D$114</f>
        <v>0</v>
      </c>
      <c r="F1169" s="59">
        <f t="shared" si="65"/>
        <v>0</v>
      </c>
    </row>
    <row r="1170" spans="1:6" ht="12.75" customHeight="1" x14ac:dyDescent="0.2">
      <c r="A1170" s="6"/>
      <c r="B1170" s="421"/>
      <c r="C1170" s="114"/>
      <c r="D1170" s="7"/>
      <c r="E1170" s="85"/>
      <c r="F1170" s="59">
        <f t="shared" si="65"/>
        <v>0</v>
      </c>
    </row>
    <row r="1171" spans="1:6" ht="12.75" customHeight="1" x14ac:dyDescent="0.2">
      <c r="A1171" s="6"/>
      <c r="B1171" s="421"/>
      <c r="C1171" s="114"/>
      <c r="D1171" s="7"/>
      <c r="E1171" s="85"/>
      <c r="F1171" s="59">
        <f t="shared" si="65"/>
        <v>0</v>
      </c>
    </row>
    <row r="1172" spans="1:6" ht="12.75" customHeight="1" x14ac:dyDescent="0.2">
      <c r="A1172" s="6"/>
      <c r="B1172" s="421"/>
      <c r="C1172" s="114"/>
      <c r="D1172" s="7"/>
      <c r="E1172" s="85"/>
      <c r="F1172" s="59">
        <f t="shared" si="65"/>
        <v>0</v>
      </c>
    </row>
    <row r="1173" spans="1:6" ht="12.75" customHeight="1" x14ac:dyDescent="0.2">
      <c r="A1173" s="6"/>
      <c r="B1173" s="421"/>
      <c r="C1173" s="114"/>
      <c r="D1173" s="7"/>
      <c r="E1173" s="85"/>
      <c r="F1173" s="59">
        <f t="shared" si="65"/>
        <v>0</v>
      </c>
    </row>
    <row r="1174" spans="1:6" ht="12.75" customHeight="1" x14ac:dyDescent="0.2">
      <c r="A1174" s="6"/>
      <c r="B1174" s="421"/>
      <c r="C1174" s="114"/>
      <c r="D1174" s="7"/>
      <c r="E1174" s="85"/>
      <c r="F1174" s="59">
        <f t="shared" si="65"/>
        <v>0</v>
      </c>
    </row>
    <row r="1175" spans="1:6" ht="12.75" customHeight="1" x14ac:dyDescent="0.2">
      <c r="A1175" s="6"/>
      <c r="B1175" s="421"/>
      <c r="C1175" s="114"/>
      <c r="D1175" s="7"/>
      <c r="E1175" s="85"/>
      <c r="F1175" s="59">
        <f t="shared" si="65"/>
        <v>0</v>
      </c>
    </row>
    <row r="1176" spans="1:6" ht="12.75" customHeight="1" x14ac:dyDescent="0.2">
      <c r="A1176" s="6"/>
      <c r="B1176" s="421"/>
      <c r="C1176" s="114"/>
      <c r="D1176" s="423"/>
      <c r="E1176" s="85"/>
      <c r="F1176" s="59">
        <f t="shared" si="65"/>
        <v>0</v>
      </c>
    </row>
    <row r="1177" spans="1:6" ht="12.75" customHeight="1" x14ac:dyDescent="0.2">
      <c r="A1177" s="6"/>
      <c r="B1177" s="421"/>
      <c r="C1177" s="114"/>
      <c r="D1177" s="423"/>
      <c r="E1177" s="85"/>
      <c r="F1177" s="59">
        <f t="shared" si="65"/>
        <v>0</v>
      </c>
    </row>
    <row r="1178" spans="1:6" ht="12.75" customHeight="1" x14ac:dyDescent="0.2">
      <c r="A1178" s="6"/>
      <c r="B1178" s="421"/>
      <c r="C1178" s="114"/>
      <c r="D1178" s="423"/>
      <c r="E1178" s="85"/>
      <c r="F1178" s="59">
        <f t="shared" si="65"/>
        <v>0</v>
      </c>
    </row>
    <row r="1179" spans="1:6" ht="12.75" customHeight="1" x14ac:dyDescent="0.2">
      <c r="A1179" s="3"/>
      <c r="C1179" s="114"/>
      <c r="E1179" s="85"/>
      <c r="F1179" s="59">
        <f t="shared" si="65"/>
        <v>0</v>
      </c>
    </row>
    <row r="1180" spans="1:6" ht="12.75" customHeight="1" x14ac:dyDescent="0.2">
      <c r="A1180" s="3"/>
      <c r="C1180" s="114"/>
      <c r="E1180" s="85"/>
      <c r="F1180" s="59">
        <f t="shared" si="65"/>
        <v>0</v>
      </c>
    </row>
    <row r="1181" spans="1:6" ht="12.75" customHeight="1" x14ac:dyDescent="0.2">
      <c r="A1181" s="3"/>
      <c r="B1181" s="86" t="s">
        <v>258</v>
      </c>
      <c r="C1181" s="87"/>
      <c r="D1181" s="88"/>
      <c r="E1181" s="89"/>
      <c r="F1181" s="90">
        <f>SUM(F1165:F1180)</f>
        <v>0</v>
      </c>
    </row>
    <row r="1182" spans="1:6" ht="12.75" customHeight="1" x14ac:dyDescent="0.2">
      <c r="A1182" s="3"/>
      <c r="B1182" s="91" t="s">
        <v>70</v>
      </c>
      <c r="C1182" s="15">
        <f>$D$8</f>
        <v>0</v>
      </c>
      <c r="D1182" s="92"/>
      <c r="E1182" s="93"/>
      <c r="F1182" s="94">
        <f>ROUND(F1181*C1182,2)</f>
        <v>0</v>
      </c>
    </row>
    <row r="1183" spans="1:6" ht="12.75" customHeight="1" x14ac:dyDescent="0.2">
      <c r="A1183" s="95"/>
      <c r="B1183" s="424" t="s">
        <v>259</v>
      </c>
      <c r="C1183" s="425"/>
      <c r="D1183" s="425"/>
      <c r="E1183" s="426"/>
      <c r="F1183" s="96">
        <f>F1181+F1182</f>
        <v>0</v>
      </c>
    </row>
    <row r="1184" spans="1:6" ht="12.75" customHeight="1" x14ac:dyDescent="0.2">
      <c r="A1184" s="1" t="s">
        <v>5</v>
      </c>
      <c r="B1184" s="418" t="s">
        <v>267</v>
      </c>
      <c r="C1184" s="419" t="s">
        <v>263</v>
      </c>
      <c r="D1184" s="419" t="s">
        <v>264</v>
      </c>
      <c r="E1184" s="420" t="s">
        <v>265</v>
      </c>
      <c r="F1184" s="57" t="s">
        <v>266</v>
      </c>
    </row>
    <row r="1185" spans="1:6" ht="12.75" customHeight="1" x14ac:dyDescent="0.2">
      <c r="A1185" s="3"/>
      <c r="B1185" s="71"/>
      <c r="C1185" s="114"/>
      <c r="E1185" s="85"/>
      <c r="F1185" s="59">
        <f t="shared" ref="F1185:F1194" si="66">ROUND(C1185*E1185,2)</f>
        <v>0</v>
      </c>
    </row>
    <row r="1186" spans="1:6" ht="12.75" customHeight="1" x14ac:dyDescent="0.2">
      <c r="A1186" s="3"/>
      <c r="C1186" s="114"/>
      <c r="E1186" s="85"/>
      <c r="F1186" s="59">
        <f t="shared" si="66"/>
        <v>0</v>
      </c>
    </row>
    <row r="1187" spans="1:6" ht="12.75" customHeight="1" x14ac:dyDescent="0.2">
      <c r="A1187" s="3"/>
      <c r="C1187" s="114"/>
      <c r="E1187" s="85"/>
      <c r="F1187" s="59">
        <f t="shared" si="66"/>
        <v>0</v>
      </c>
    </row>
    <row r="1188" spans="1:6" ht="12.75" customHeight="1" x14ac:dyDescent="0.2">
      <c r="A1188" s="3"/>
      <c r="C1188" s="114"/>
      <c r="E1188" s="85"/>
      <c r="F1188" s="59">
        <f t="shared" si="66"/>
        <v>0</v>
      </c>
    </row>
    <row r="1189" spans="1:6" ht="12.75" customHeight="1" x14ac:dyDescent="0.2">
      <c r="A1189" s="3"/>
      <c r="C1189" s="114"/>
      <c r="E1189" s="85"/>
      <c r="F1189" s="59">
        <f t="shared" si="66"/>
        <v>0</v>
      </c>
    </row>
    <row r="1190" spans="1:6" ht="12.75" customHeight="1" x14ac:dyDescent="0.2">
      <c r="A1190" s="3"/>
      <c r="C1190" s="114"/>
      <c r="E1190" s="85"/>
      <c r="F1190" s="59">
        <f t="shared" si="66"/>
        <v>0</v>
      </c>
    </row>
    <row r="1191" spans="1:6" ht="12.75" customHeight="1" x14ac:dyDescent="0.2">
      <c r="A1191" s="3"/>
      <c r="C1191" s="114"/>
      <c r="E1191" s="85"/>
      <c r="F1191" s="59">
        <f t="shared" si="66"/>
        <v>0</v>
      </c>
    </row>
    <row r="1192" spans="1:6" ht="12.75" customHeight="1" x14ac:dyDescent="0.2">
      <c r="A1192" s="3"/>
      <c r="C1192" s="114"/>
      <c r="E1192" s="85"/>
      <c r="F1192" s="59">
        <f t="shared" si="66"/>
        <v>0</v>
      </c>
    </row>
    <row r="1193" spans="1:6" ht="12.75" customHeight="1" x14ac:dyDescent="0.2">
      <c r="A1193" s="3"/>
      <c r="C1193" s="114"/>
      <c r="E1193" s="85"/>
      <c r="F1193" s="59">
        <f t="shared" si="66"/>
        <v>0</v>
      </c>
    </row>
    <row r="1194" spans="1:6" ht="12.75" customHeight="1" x14ac:dyDescent="0.2">
      <c r="A1194" s="3"/>
      <c r="C1194" s="114"/>
      <c r="E1194" s="85"/>
      <c r="F1194" s="59">
        <f t="shared" si="66"/>
        <v>0</v>
      </c>
    </row>
    <row r="1195" spans="1:6" ht="12.75" customHeight="1" x14ac:dyDescent="0.2">
      <c r="A1195" s="3"/>
      <c r="B1195" s="86" t="s">
        <v>258</v>
      </c>
      <c r="C1195" s="87"/>
      <c r="D1195" s="88"/>
      <c r="E1195" s="89"/>
      <c r="F1195" s="90">
        <f>SUM(F1185:F1194)</f>
        <v>0</v>
      </c>
    </row>
    <row r="1196" spans="1:6" ht="12.75" customHeight="1" x14ac:dyDescent="0.2">
      <c r="A1196" s="3"/>
      <c r="B1196" s="91" t="s">
        <v>70</v>
      </c>
      <c r="C1196" s="15">
        <f>$D$8</f>
        <v>0</v>
      </c>
      <c r="D1196" s="92"/>
      <c r="E1196" s="93"/>
      <c r="F1196" s="94">
        <f>ROUND(C1196*F1195,2)</f>
        <v>0</v>
      </c>
    </row>
    <row r="1197" spans="1:6" ht="12.75" customHeight="1" x14ac:dyDescent="0.2">
      <c r="A1197" s="95"/>
      <c r="B1197" s="424" t="s">
        <v>260</v>
      </c>
      <c r="C1197" s="425"/>
      <c r="D1197" s="425"/>
      <c r="E1197" s="426"/>
      <c r="F1197" s="96">
        <f>F1195+F1196</f>
        <v>0</v>
      </c>
    </row>
    <row r="1198" spans="1:6" ht="12.75" customHeight="1" x14ac:dyDescent="0.2">
      <c r="A1198" s="97" t="s">
        <v>54</v>
      </c>
      <c r="B1198" s="427" t="s">
        <v>268</v>
      </c>
      <c r="C1198" s="428" t="s">
        <v>263</v>
      </c>
      <c r="D1198" s="429" t="s">
        <v>264</v>
      </c>
      <c r="E1198" s="430" t="s">
        <v>265</v>
      </c>
      <c r="F1198" s="57" t="s">
        <v>266</v>
      </c>
    </row>
    <row r="1199" spans="1:6" ht="12.75" customHeight="1" x14ac:dyDescent="0.2">
      <c r="A1199" s="3" t="str">
        <f>'A VII.'!$A$196</f>
        <v>3.16</v>
      </c>
      <c r="B1199" s="74" t="str">
        <f>'A VII.'!$B$196</f>
        <v>SERVENTE COM ENCARGOS COMPLEMENTARES</v>
      </c>
      <c r="C1199" s="114">
        <f>4.2+(0.006*8.67)</f>
        <v>4.2520199999999999</v>
      </c>
      <c r="D1199" s="54" t="str">
        <f>'A VII.'!$C$196</f>
        <v>H</v>
      </c>
      <c r="E1199" s="85">
        <f>'A VII.'!$D$196</f>
        <v>0</v>
      </c>
      <c r="F1199" s="59">
        <f t="shared" ref="F1199:F1205" si="67">ROUND(C1199*E1199,2)</f>
        <v>0</v>
      </c>
    </row>
    <row r="1200" spans="1:6" ht="12.75" customHeight="1" x14ac:dyDescent="0.2">
      <c r="A1200" s="3"/>
      <c r="C1200" s="114"/>
      <c r="E1200" s="85"/>
      <c r="F1200" s="59">
        <f t="shared" si="67"/>
        <v>0</v>
      </c>
    </row>
    <row r="1201" spans="1:6" ht="12.75" customHeight="1" x14ac:dyDescent="0.2">
      <c r="A1201" s="3"/>
      <c r="C1201" s="114"/>
      <c r="E1201" s="85"/>
      <c r="F1201" s="59">
        <f t="shared" si="67"/>
        <v>0</v>
      </c>
    </row>
    <row r="1202" spans="1:6" ht="12.75" customHeight="1" x14ac:dyDescent="0.2">
      <c r="A1202" s="3"/>
      <c r="C1202" s="114"/>
      <c r="E1202" s="85"/>
      <c r="F1202" s="59">
        <f t="shared" si="67"/>
        <v>0</v>
      </c>
    </row>
    <row r="1203" spans="1:6" ht="12.75" customHeight="1" x14ac:dyDescent="0.2">
      <c r="A1203" s="3"/>
      <c r="C1203" s="114"/>
      <c r="E1203" s="85"/>
      <c r="F1203" s="59">
        <f t="shared" si="67"/>
        <v>0</v>
      </c>
    </row>
    <row r="1204" spans="1:6" ht="12.75" customHeight="1" x14ac:dyDescent="0.2">
      <c r="A1204" s="3"/>
      <c r="C1204" s="114"/>
      <c r="E1204" s="85"/>
      <c r="F1204" s="59">
        <f t="shared" si="67"/>
        <v>0</v>
      </c>
    </row>
    <row r="1205" spans="1:6" ht="12.75" customHeight="1" x14ac:dyDescent="0.2">
      <c r="A1205" s="3"/>
      <c r="C1205" s="114"/>
      <c r="E1205" s="85"/>
      <c r="F1205" s="59">
        <f t="shared" si="67"/>
        <v>0</v>
      </c>
    </row>
    <row r="1206" spans="1:6" ht="12.75" customHeight="1" x14ac:dyDescent="0.2">
      <c r="A1206" s="3"/>
      <c r="B1206" s="86" t="s">
        <v>258</v>
      </c>
      <c r="C1206" s="87"/>
      <c r="D1206" s="88"/>
      <c r="E1206" s="89"/>
      <c r="F1206" s="90">
        <f>SUM(F1199:F1205)</f>
        <v>0</v>
      </c>
    </row>
    <row r="1207" spans="1:6" ht="12.75" customHeight="1" x14ac:dyDescent="0.2">
      <c r="A1207" s="3"/>
      <c r="B1207" s="91" t="s">
        <v>261</v>
      </c>
      <c r="C1207" s="15">
        <f>'A IX.'!$C$45</f>
        <v>0</v>
      </c>
      <c r="D1207" s="92"/>
      <c r="E1207" s="93"/>
      <c r="F1207" s="94">
        <f>ROUND(F1206*C1207,2)</f>
        <v>0</v>
      </c>
    </row>
    <row r="1208" spans="1:6" ht="12.75" customHeight="1" x14ac:dyDescent="0.2">
      <c r="A1208" s="3"/>
      <c r="B1208" s="91" t="s">
        <v>70</v>
      </c>
      <c r="C1208" s="15">
        <f>$D$8</f>
        <v>0</v>
      </c>
      <c r="D1208" s="92"/>
      <c r="E1208" s="93"/>
      <c r="F1208" s="94">
        <f>ROUND(SUM(F1206:F1207)*C1208,2)</f>
        <v>0</v>
      </c>
    </row>
    <row r="1209" spans="1:6" ht="12.75" customHeight="1" thickBot="1" x14ac:dyDescent="0.25">
      <c r="A1209" s="98"/>
      <c r="B1209" s="99" t="s">
        <v>262</v>
      </c>
      <c r="C1209" s="100"/>
      <c r="D1209" s="100"/>
      <c r="E1209" s="101"/>
      <c r="F1209" s="102">
        <f>SUM(F1206:F1208)</f>
        <v>0</v>
      </c>
    </row>
    <row r="1210" spans="1:6" ht="12.75" customHeight="1" thickBot="1" x14ac:dyDescent="0.25">
      <c r="A1210" s="252"/>
      <c r="B1210" s="253"/>
      <c r="C1210" s="254"/>
      <c r="D1210" s="254"/>
      <c r="E1210" s="255"/>
      <c r="F1210" s="256"/>
    </row>
    <row r="1211" spans="1:6" ht="30" customHeight="1" x14ac:dyDescent="0.2">
      <c r="A1211" s="5" t="str">
        <f>'A IV.A'!$A$52</f>
        <v>3.2.3</v>
      </c>
      <c r="B1211" s="416" t="str">
        <f>'A IV.A'!B52</f>
        <v>RECOLOCAÇÃO DE ESQUADRIAS METÁLICAS NO GERAL</v>
      </c>
      <c r="C1211" s="526" t="s">
        <v>269</v>
      </c>
      <c r="D1211" s="527"/>
      <c r="E1211" s="417" t="str">
        <f>'A IV.A'!C52</f>
        <v>M2</v>
      </c>
      <c r="F1211" s="58">
        <f>ROUND(F1231+F1245+F1257,2)</f>
        <v>0</v>
      </c>
    </row>
    <row r="1212" spans="1:6" ht="12.75" customHeight="1" x14ac:dyDescent="0.2">
      <c r="A1212" s="1" t="s">
        <v>17</v>
      </c>
      <c r="B1212" s="418" t="s">
        <v>162</v>
      </c>
      <c r="C1212" s="419" t="s">
        <v>263</v>
      </c>
      <c r="D1212" s="419" t="s">
        <v>264</v>
      </c>
      <c r="E1212" s="420" t="s">
        <v>265</v>
      </c>
      <c r="F1212" s="57" t="s">
        <v>266</v>
      </c>
    </row>
    <row r="1213" spans="1:6" ht="12.75" customHeight="1" x14ac:dyDescent="0.2">
      <c r="A1213" s="6"/>
      <c r="C1213" s="114"/>
      <c r="D1213" s="7"/>
      <c r="E1213" s="85"/>
      <c r="F1213" s="59">
        <f>ROUND(C1213*E1213,2)</f>
        <v>0</v>
      </c>
    </row>
    <row r="1214" spans="1:6" ht="12.75" customHeight="1" x14ac:dyDescent="0.2">
      <c r="A1214" s="6"/>
      <c r="C1214" s="114"/>
      <c r="D1214" s="7"/>
      <c r="E1214" s="85"/>
      <c r="F1214" s="59">
        <f t="shared" ref="F1214:F1228" si="68">ROUND(C1214*E1214,2)</f>
        <v>0</v>
      </c>
    </row>
    <row r="1215" spans="1:6" ht="12.75" customHeight="1" x14ac:dyDescent="0.2">
      <c r="A1215" s="6"/>
      <c r="C1215" s="114"/>
      <c r="D1215" s="7"/>
      <c r="E1215" s="85"/>
      <c r="F1215" s="59">
        <f t="shared" si="68"/>
        <v>0</v>
      </c>
    </row>
    <row r="1216" spans="1:6" ht="12.75" customHeight="1" x14ac:dyDescent="0.2">
      <c r="A1216" s="6"/>
      <c r="B1216" s="421"/>
      <c r="C1216" s="114"/>
      <c r="D1216" s="7"/>
      <c r="E1216" s="85"/>
      <c r="F1216" s="59">
        <f t="shared" si="68"/>
        <v>0</v>
      </c>
    </row>
    <row r="1217" spans="1:6" ht="12.75" customHeight="1" x14ac:dyDescent="0.2">
      <c r="A1217" s="6"/>
      <c r="B1217" s="421"/>
      <c r="C1217" s="114"/>
      <c r="D1217" s="7"/>
      <c r="E1217" s="85"/>
      <c r="F1217" s="59">
        <f t="shared" si="68"/>
        <v>0</v>
      </c>
    </row>
    <row r="1218" spans="1:6" ht="12.75" customHeight="1" x14ac:dyDescent="0.2">
      <c r="A1218" s="6"/>
      <c r="B1218" s="421"/>
      <c r="C1218" s="114"/>
      <c r="D1218" s="7"/>
      <c r="E1218" s="85"/>
      <c r="F1218" s="59">
        <f t="shared" si="68"/>
        <v>0</v>
      </c>
    </row>
    <row r="1219" spans="1:6" ht="12.75" customHeight="1" x14ac:dyDescent="0.2">
      <c r="A1219" s="6"/>
      <c r="B1219" s="421"/>
      <c r="C1219" s="114"/>
      <c r="D1219" s="7"/>
      <c r="E1219" s="85"/>
      <c r="F1219" s="59">
        <f t="shared" si="68"/>
        <v>0</v>
      </c>
    </row>
    <row r="1220" spans="1:6" ht="12.75" customHeight="1" x14ac:dyDescent="0.2">
      <c r="A1220" s="6"/>
      <c r="B1220" s="421"/>
      <c r="C1220" s="114"/>
      <c r="D1220" s="7"/>
      <c r="E1220" s="85"/>
      <c r="F1220" s="59">
        <f t="shared" si="68"/>
        <v>0</v>
      </c>
    </row>
    <row r="1221" spans="1:6" ht="12.75" customHeight="1" x14ac:dyDescent="0.2">
      <c r="A1221" s="6"/>
      <c r="B1221" s="421"/>
      <c r="C1221" s="114"/>
      <c r="D1221" s="7"/>
      <c r="E1221" s="85"/>
      <c r="F1221" s="59">
        <f t="shared" si="68"/>
        <v>0</v>
      </c>
    </row>
    <row r="1222" spans="1:6" ht="12.75" customHeight="1" x14ac:dyDescent="0.2">
      <c r="A1222" s="6"/>
      <c r="B1222" s="421"/>
      <c r="C1222" s="114"/>
      <c r="D1222" s="7"/>
      <c r="E1222" s="85"/>
      <c r="F1222" s="59">
        <f t="shared" si="68"/>
        <v>0</v>
      </c>
    </row>
    <row r="1223" spans="1:6" ht="12.75" customHeight="1" x14ac:dyDescent="0.2">
      <c r="A1223" s="6"/>
      <c r="B1223" s="421"/>
      <c r="C1223" s="114"/>
      <c r="D1223" s="7"/>
      <c r="E1223" s="85"/>
      <c r="F1223" s="59">
        <f t="shared" si="68"/>
        <v>0</v>
      </c>
    </row>
    <row r="1224" spans="1:6" ht="12.75" customHeight="1" x14ac:dyDescent="0.2">
      <c r="A1224" s="6"/>
      <c r="B1224" s="421"/>
      <c r="C1224" s="114"/>
      <c r="D1224" s="423"/>
      <c r="E1224" s="85"/>
      <c r="F1224" s="59">
        <f t="shared" si="68"/>
        <v>0</v>
      </c>
    </row>
    <row r="1225" spans="1:6" ht="12.75" customHeight="1" x14ac:dyDescent="0.2">
      <c r="A1225" s="6"/>
      <c r="B1225" s="421"/>
      <c r="C1225" s="114"/>
      <c r="D1225" s="423"/>
      <c r="E1225" s="85"/>
      <c r="F1225" s="59">
        <f t="shared" si="68"/>
        <v>0</v>
      </c>
    </row>
    <row r="1226" spans="1:6" ht="12.75" customHeight="1" x14ac:dyDescent="0.2">
      <c r="A1226" s="6"/>
      <c r="B1226" s="421"/>
      <c r="C1226" s="114"/>
      <c r="D1226" s="423"/>
      <c r="E1226" s="85"/>
      <c r="F1226" s="59">
        <f t="shared" si="68"/>
        <v>0</v>
      </c>
    </row>
    <row r="1227" spans="1:6" ht="12.75" customHeight="1" x14ac:dyDescent="0.2">
      <c r="A1227" s="3"/>
      <c r="C1227" s="114"/>
      <c r="E1227" s="85"/>
      <c r="F1227" s="59">
        <f t="shared" si="68"/>
        <v>0</v>
      </c>
    </row>
    <row r="1228" spans="1:6" ht="12.75" customHeight="1" x14ac:dyDescent="0.2">
      <c r="A1228" s="3"/>
      <c r="C1228" s="114"/>
      <c r="E1228" s="85"/>
      <c r="F1228" s="59">
        <f t="shared" si="68"/>
        <v>0</v>
      </c>
    </row>
    <row r="1229" spans="1:6" ht="12.75" customHeight="1" x14ac:dyDescent="0.2">
      <c r="A1229" s="3"/>
      <c r="B1229" s="86" t="s">
        <v>258</v>
      </c>
      <c r="C1229" s="87"/>
      <c r="D1229" s="88"/>
      <c r="E1229" s="89"/>
      <c r="F1229" s="90">
        <f>SUM(F1213:F1228)</f>
        <v>0</v>
      </c>
    </row>
    <row r="1230" spans="1:6" ht="12.75" customHeight="1" x14ac:dyDescent="0.2">
      <c r="A1230" s="3"/>
      <c r="B1230" s="91" t="s">
        <v>70</v>
      </c>
      <c r="C1230" s="15">
        <f>$D$8</f>
        <v>0</v>
      </c>
      <c r="D1230" s="92"/>
      <c r="E1230" s="93"/>
      <c r="F1230" s="94">
        <f>ROUND(F1229*C1230,2)</f>
        <v>0</v>
      </c>
    </row>
    <row r="1231" spans="1:6" ht="12.75" customHeight="1" x14ac:dyDescent="0.2">
      <c r="A1231" s="95"/>
      <c r="B1231" s="424" t="s">
        <v>259</v>
      </c>
      <c r="C1231" s="425"/>
      <c r="D1231" s="425"/>
      <c r="E1231" s="426"/>
      <c r="F1231" s="96">
        <f>F1229+F1230</f>
        <v>0</v>
      </c>
    </row>
    <row r="1232" spans="1:6" ht="12.75" customHeight="1" x14ac:dyDescent="0.2">
      <c r="A1232" s="1" t="s">
        <v>5</v>
      </c>
      <c r="B1232" s="418" t="s">
        <v>267</v>
      </c>
      <c r="C1232" s="419" t="s">
        <v>263</v>
      </c>
      <c r="D1232" s="419" t="s">
        <v>264</v>
      </c>
      <c r="E1232" s="420" t="s">
        <v>265</v>
      </c>
      <c r="F1232" s="57" t="s">
        <v>266</v>
      </c>
    </row>
    <row r="1233" spans="1:6" ht="12.75" customHeight="1" x14ac:dyDescent="0.2">
      <c r="A1233" s="3"/>
      <c r="C1233" s="114"/>
      <c r="E1233" s="85"/>
      <c r="F1233" s="59">
        <f t="shared" ref="F1233:F1242" si="69">ROUND(C1233*E1233,2)</f>
        <v>0</v>
      </c>
    </row>
    <row r="1234" spans="1:6" ht="12.75" customHeight="1" x14ac:dyDescent="0.2">
      <c r="A1234" s="3"/>
      <c r="C1234" s="114"/>
      <c r="E1234" s="85"/>
      <c r="F1234" s="59">
        <f t="shared" si="69"/>
        <v>0</v>
      </c>
    </row>
    <row r="1235" spans="1:6" ht="12.75" customHeight="1" x14ac:dyDescent="0.2">
      <c r="A1235" s="3"/>
      <c r="C1235" s="114"/>
      <c r="E1235" s="85"/>
      <c r="F1235" s="59">
        <f t="shared" si="69"/>
        <v>0</v>
      </c>
    </row>
    <row r="1236" spans="1:6" ht="12.75" customHeight="1" x14ac:dyDescent="0.2">
      <c r="A1236" s="3"/>
      <c r="C1236" s="114"/>
      <c r="E1236" s="85"/>
      <c r="F1236" s="59">
        <f t="shared" si="69"/>
        <v>0</v>
      </c>
    </row>
    <row r="1237" spans="1:6" ht="12.75" customHeight="1" x14ac:dyDescent="0.2">
      <c r="A1237" s="3"/>
      <c r="C1237" s="114"/>
      <c r="E1237" s="85"/>
      <c r="F1237" s="59">
        <f t="shared" si="69"/>
        <v>0</v>
      </c>
    </row>
    <row r="1238" spans="1:6" ht="12.75" customHeight="1" x14ac:dyDescent="0.2">
      <c r="A1238" s="3"/>
      <c r="C1238" s="114"/>
      <c r="E1238" s="85"/>
      <c r="F1238" s="59">
        <f t="shared" si="69"/>
        <v>0</v>
      </c>
    </row>
    <row r="1239" spans="1:6" ht="12.75" customHeight="1" x14ac:dyDescent="0.2">
      <c r="A1239" s="3"/>
      <c r="C1239" s="114"/>
      <c r="E1239" s="85"/>
      <c r="F1239" s="59">
        <f t="shared" si="69"/>
        <v>0</v>
      </c>
    </row>
    <row r="1240" spans="1:6" ht="12.75" customHeight="1" x14ac:dyDescent="0.2">
      <c r="A1240" s="3"/>
      <c r="C1240" s="114"/>
      <c r="E1240" s="85"/>
      <c r="F1240" s="59">
        <f t="shared" si="69"/>
        <v>0</v>
      </c>
    </row>
    <row r="1241" spans="1:6" ht="12.75" customHeight="1" x14ac:dyDescent="0.2">
      <c r="A1241" s="3"/>
      <c r="C1241" s="114"/>
      <c r="E1241" s="85"/>
      <c r="F1241" s="59">
        <f t="shared" si="69"/>
        <v>0</v>
      </c>
    </row>
    <row r="1242" spans="1:6" ht="12.75" customHeight="1" x14ac:dyDescent="0.2">
      <c r="A1242" s="3"/>
      <c r="C1242" s="114"/>
      <c r="E1242" s="85"/>
      <c r="F1242" s="59">
        <f t="shared" si="69"/>
        <v>0</v>
      </c>
    </row>
    <row r="1243" spans="1:6" ht="12.75" customHeight="1" x14ac:dyDescent="0.2">
      <c r="A1243" s="3"/>
      <c r="B1243" s="86" t="s">
        <v>258</v>
      </c>
      <c r="C1243" s="87"/>
      <c r="D1243" s="88"/>
      <c r="E1243" s="89"/>
      <c r="F1243" s="90">
        <f>SUM(F1233:F1242)</f>
        <v>0</v>
      </c>
    </row>
    <row r="1244" spans="1:6" ht="12.75" customHeight="1" x14ac:dyDescent="0.2">
      <c r="A1244" s="3"/>
      <c r="B1244" s="91" t="s">
        <v>70</v>
      </c>
      <c r="C1244" s="15">
        <f>$D$8</f>
        <v>0</v>
      </c>
      <c r="D1244" s="92"/>
      <c r="E1244" s="93"/>
      <c r="F1244" s="94">
        <f>ROUND(C1244*F1243,2)</f>
        <v>0</v>
      </c>
    </row>
    <row r="1245" spans="1:6" ht="12.75" customHeight="1" x14ac:dyDescent="0.2">
      <c r="A1245" s="95"/>
      <c r="B1245" s="424" t="s">
        <v>260</v>
      </c>
      <c r="C1245" s="425"/>
      <c r="D1245" s="425"/>
      <c r="E1245" s="426"/>
      <c r="F1245" s="96">
        <f>F1243+F1244</f>
        <v>0</v>
      </c>
    </row>
    <row r="1246" spans="1:6" ht="12.75" customHeight="1" x14ac:dyDescent="0.2">
      <c r="A1246" s="97" t="s">
        <v>54</v>
      </c>
      <c r="B1246" s="427" t="s">
        <v>268</v>
      </c>
      <c r="C1246" s="428" t="s">
        <v>263</v>
      </c>
      <c r="D1246" s="429" t="s">
        <v>264</v>
      </c>
      <c r="E1246" s="430" t="s">
        <v>265</v>
      </c>
      <c r="F1246" s="57" t="s">
        <v>266</v>
      </c>
    </row>
    <row r="1247" spans="1:6" ht="12.75" customHeight="1" x14ac:dyDescent="0.2">
      <c r="A1247" s="3" t="str">
        <f>'A VII.'!$A$192</f>
        <v>3.12</v>
      </c>
      <c r="B1247" s="74" t="str">
        <f>'A VII.'!$B$192</f>
        <v>PEDREIRO COM ENCARGOS COMPLEMENTARES</v>
      </c>
      <c r="C1247" s="114">
        <v>1</v>
      </c>
      <c r="D1247" s="54" t="str">
        <f>'A VII.'!$C$192</f>
        <v>H</v>
      </c>
      <c r="E1247" s="85">
        <f>'A VII.'!$D$192</f>
        <v>0</v>
      </c>
      <c r="F1247" s="59">
        <f t="shared" ref="F1247:F1253" si="70">ROUND(C1247*E1247,2)</f>
        <v>0</v>
      </c>
    </row>
    <row r="1248" spans="1:6" ht="12.75" customHeight="1" x14ac:dyDescent="0.2">
      <c r="A1248" s="3" t="str">
        <f>'A VII.'!$A$196</f>
        <v>3.16</v>
      </c>
      <c r="B1248" s="74" t="str">
        <f>'A VII.'!$B$196</f>
        <v>SERVENTE COM ENCARGOS COMPLEMENTARES</v>
      </c>
      <c r="C1248" s="114">
        <v>1</v>
      </c>
      <c r="D1248" s="54" t="str">
        <f>'A VII.'!$C$196</f>
        <v>H</v>
      </c>
      <c r="E1248" s="85">
        <f>'A VII.'!$D$196</f>
        <v>0</v>
      </c>
      <c r="F1248" s="59">
        <f t="shared" si="70"/>
        <v>0</v>
      </c>
    </row>
    <row r="1249" spans="1:6" ht="12.75" customHeight="1" x14ac:dyDescent="0.2">
      <c r="A1249" s="3"/>
      <c r="C1249" s="114"/>
      <c r="E1249" s="85"/>
      <c r="F1249" s="59">
        <f t="shared" si="70"/>
        <v>0</v>
      </c>
    </row>
    <row r="1250" spans="1:6" ht="12.75" customHeight="1" x14ac:dyDescent="0.2">
      <c r="A1250" s="3"/>
      <c r="C1250" s="114"/>
      <c r="E1250" s="85"/>
      <c r="F1250" s="59">
        <f t="shared" si="70"/>
        <v>0</v>
      </c>
    </row>
    <row r="1251" spans="1:6" ht="12.75" customHeight="1" x14ac:dyDescent="0.2">
      <c r="A1251" s="3"/>
      <c r="C1251" s="114"/>
      <c r="E1251" s="85"/>
      <c r="F1251" s="59">
        <f t="shared" si="70"/>
        <v>0</v>
      </c>
    </row>
    <row r="1252" spans="1:6" ht="12.75" customHeight="1" x14ac:dyDescent="0.2">
      <c r="A1252" s="3"/>
      <c r="C1252" s="114"/>
      <c r="E1252" s="85"/>
      <c r="F1252" s="59">
        <f t="shared" si="70"/>
        <v>0</v>
      </c>
    </row>
    <row r="1253" spans="1:6" ht="12.75" customHeight="1" x14ac:dyDescent="0.2">
      <c r="A1253" s="3"/>
      <c r="C1253" s="114"/>
      <c r="E1253" s="85"/>
      <c r="F1253" s="59">
        <f t="shared" si="70"/>
        <v>0</v>
      </c>
    </row>
    <row r="1254" spans="1:6" ht="12.75" customHeight="1" x14ac:dyDescent="0.2">
      <c r="A1254" s="3"/>
      <c r="B1254" s="86" t="s">
        <v>258</v>
      </c>
      <c r="C1254" s="87"/>
      <c r="D1254" s="88"/>
      <c r="E1254" s="89"/>
      <c r="F1254" s="90">
        <f>SUM(F1247:F1253)</f>
        <v>0</v>
      </c>
    </row>
    <row r="1255" spans="1:6" ht="12.75" customHeight="1" x14ac:dyDescent="0.2">
      <c r="A1255" s="3"/>
      <c r="B1255" s="91" t="s">
        <v>261</v>
      </c>
      <c r="C1255" s="15">
        <f>'A IX.'!$C$45</f>
        <v>0</v>
      </c>
      <c r="D1255" s="92"/>
      <c r="E1255" s="93"/>
      <c r="F1255" s="94">
        <f>ROUND(F1254*C1255,2)</f>
        <v>0</v>
      </c>
    </row>
    <row r="1256" spans="1:6" ht="12.75" customHeight="1" x14ac:dyDescent="0.2">
      <c r="A1256" s="3"/>
      <c r="B1256" s="91" t="s">
        <v>70</v>
      </c>
      <c r="C1256" s="15">
        <f>$D$8</f>
        <v>0</v>
      </c>
      <c r="D1256" s="92"/>
      <c r="E1256" s="93"/>
      <c r="F1256" s="94">
        <f>ROUND(SUM(F1254:F1255)*C1256,2)</f>
        <v>0</v>
      </c>
    </row>
    <row r="1257" spans="1:6" ht="12.75" customHeight="1" thickBot="1" x14ac:dyDescent="0.25">
      <c r="A1257" s="98"/>
      <c r="B1257" s="99" t="s">
        <v>262</v>
      </c>
      <c r="C1257" s="100"/>
      <c r="D1257" s="100"/>
      <c r="E1257" s="101"/>
      <c r="F1257" s="102">
        <f>SUM(F1254:F1256)</f>
        <v>0</v>
      </c>
    </row>
    <row r="1258" spans="1:6" ht="12.75" customHeight="1" thickBot="1" x14ac:dyDescent="0.25">
      <c r="A1258" s="252"/>
      <c r="B1258" s="253"/>
      <c r="C1258" s="254"/>
      <c r="D1258" s="254"/>
      <c r="E1258" s="255"/>
      <c r="F1258" s="256"/>
    </row>
    <row r="1259" spans="1:6" ht="30" customHeight="1" x14ac:dyDescent="0.2">
      <c r="A1259" s="5" t="str">
        <f>'A IV.A'!$A$53</f>
        <v>3.2.4</v>
      </c>
      <c r="B1259" s="416" t="str">
        <f>'A IV.A'!$B$53</f>
        <v>FORNECIMENTO ABRIGO DE PROTEÇÃO PARA POÇOS (REFORÇADO)</v>
      </c>
      <c r="C1259" s="526" t="s">
        <v>269</v>
      </c>
      <c r="D1259" s="527"/>
      <c r="E1259" s="417" t="str">
        <f>'A IV.A'!$C$53</f>
        <v>UN</v>
      </c>
      <c r="F1259" s="58">
        <f>ROUND(F1279+F1293+F1305,2)</f>
        <v>0</v>
      </c>
    </row>
    <row r="1260" spans="1:6" ht="12.75" customHeight="1" x14ac:dyDescent="0.2">
      <c r="A1260" s="1" t="s">
        <v>17</v>
      </c>
      <c r="B1260" s="418" t="s">
        <v>162</v>
      </c>
      <c r="C1260" s="419" t="s">
        <v>263</v>
      </c>
      <c r="D1260" s="419" t="s">
        <v>264</v>
      </c>
      <c r="E1260" s="420" t="s">
        <v>265</v>
      </c>
      <c r="F1260" s="57" t="s">
        <v>266</v>
      </c>
    </row>
    <row r="1261" spans="1:6" ht="12.75" customHeight="1" x14ac:dyDescent="0.2">
      <c r="A1261" s="6" t="str">
        <f>'A VII.'!$A$10</f>
        <v>1.1</v>
      </c>
      <c r="B1261" s="74" t="str">
        <f>VLOOKUP(A1261,'A VII.'!$A$10:$D$199,2,FALSE)</f>
        <v>AÇO CA-50 (MÉDIA DAS BITOLAS)</v>
      </c>
      <c r="C1261" s="114">
        <v>68</v>
      </c>
      <c r="D1261" s="7" t="str">
        <f>VLOOKUP(A1261,'A VII.'!$A$10:$D$199,3,FALSE)</f>
        <v>KG</v>
      </c>
      <c r="E1261" s="85">
        <f>'A VII.'!$D$10</f>
        <v>0</v>
      </c>
      <c r="F1261" s="59">
        <f>ROUND(C1261*E1261,2)</f>
        <v>0</v>
      </c>
    </row>
    <row r="1262" spans="1:6" ht="12.75" customHeight="1" x14ac:dyDescent="0.2">
      <c r="A1262" s="6" t="str">
        <f>'A VII.'!$A$14</f>
        <v>1.5</v>
      </c>
      <c r="B1262" s="74" t="str">
        <f>VLOOKUP(A1262,'A VII.'!$A$10:$D$199,2,FALSE)</f>
        <v>SOLVENTE DILUENTE A BASE DE AGUARRÁS</v>
      </c>
      <c r="C1262" s="114">
        <v>0.03</v>
      </c>
      <c r="D1262" s="7" t="str">
        <f>VLOOKUP(A1262,'A VII.'!$A$10:$D$199,3,FALSE)</f>
        <v>L</v>
      </c>
      <c r="E1262" s="85">
        <f>'A VII.'!$D$14</f>
        <v>0</v>
      </c>
      <c r="F1262" s="59">
        <f t="shared" ref="F1262:F1276" si="71">ROUND(C1262*E1262,2)</f>
        <v>0</v>
      </c>
    </row>
    <row r="1263" spans="1:6" ht="12.75" customHeight="1" x14ac:dyDescent="0.2">
      <c r="A1263" s="6" t="str">
        <f>'A VII.'!$A$23</f>
        <v>1.14</v>
      </c>
      <c r="B1263" s="74" t="str">
        <f>VLOOKUP(A1263,'A VII.'!$A$10:$D$199,2,FALSE)</f>
        <v>BARRA DE FERRO RETANGULAR, BARRA CHATA  (QUALQUER DIMENSÃO / VALOR MÉDIO)</v>
      </c>
      <c r="C1263" s="114">
        <v>31</v>
      </c>
      <c r="D1263" s="7" t="str">
        <f>VLOOKUP(A1263,'A VII.'!$A$10:$D$199,3,FALSE)</f>
        <v>KG</v>
      </c>
      <c r="E1263" s="85">
        <f>'A VII.'!$D$23</f>
        <v>0</v>
      </c>
      <c r="F1263" s="59">
        <f t="shared" si="71"/>
        <v>0</v>
      </c>
    </row>
    <row r="1264" spans="1:6" ht="12.75" customHeight="1" x14ac:dyDescent="0.2">
      <c r="A1264" s="6" t="str">
        <f>'A VII.'!$A$26</f>
        <v>1.17</v>
      </c>
      <c r="B1264" s="74" t="str">
        <f>VLOOKUP(A1264,'A VII.'!$A$10:$D$199,2,FALSE)</f>
        <v>CADEADO SIMPLES, CORPO EM LATAO MACICO, COM LARGURA DE 50 MM E ALTURA DE APROX 40 MM, HASTE CEMENTADA EM ACO TEMPERADO COM DIAMETRO DE APROX 8,0 MM, INCLUINDO 2 CHAVES</v>
      </c>
      <c r="C1264" s="114">
        <v>1</v>
      </c>
      <c r="D1264" s="423" t="str">
        <f>VLOOKUP(A1264,'A VII.'!$A$10:$D$199,3,FALSE)</f>
        <v>UN</v>
      </c>
      <c r="E1264" s="85">
        <f>'A VII.'!$D$26</f>
        <v>0</v>
      </c>
      <c r="F1264" s="59">
        <f>ROUND(C1264*E1264,2)</f>
        <v>0</v>
      </c>
    </row>
    <row r="1265" spans="1:6" ht="12.75" customHeight="1" x14ac:dyDescent="0.2">
      <c r="A1265" s="6" t="str">
        <f>'A VII.'!$A$32</f>
        <v>1.23</v>
      </c>
      <c r="B1265" s="74" t="str">
        <f>VLOOKUP(A1265,'A VII.'!$A$10:$D$199,2,FALSE)</f>
        <v>CANTONEIRA DE AÇO ABAS IGUAIS (QUALQUER BITOLA), ESPESSURA ENTRE 1/8" E 1/4"</v>
      </c>
      <c r="C1265" s="114">
        <v>44</v>
      </c>
      <c r="D1265" s="7" t="str">
        <f>VLOOKUP(A1265,'A VII.'!$A$10:$D$199,3,FALSE)</f>
        <v>KG</v>
      </c>
      <c r="E1265" s="85">
        <f>'A VII.'!$D$32</f>
        <v>0</v>
      </c>
      <c r="F1265" s="59">
        <f t="shared" si="71"/>
        <v>0</v>
      </c>
    </row>
    <row r="1266" spans="1:6" ht="12.75" customHeight="1" x14ac:dyDescent="0.2">
      <c r="A1266" s="6" t="str">
        <f>'A VII.'!$A$34</f>
        <v>1.25</v>
      </c>
      <c r="B1266" s="74" t="str">
        <f>VLOOKUP(A1266,'A VII.'!$A$10:$D$199,2,FALSE)</f>
        <v>CHAPA DE AÇO - MÉDIA DAS BITOLAS</v>
      </c>
      <c r="C1266" s="114">
        <f>0.088*37.34</f>
        <v>3.28592</v>
      </c>
      <c r="D1266" s="7" t="str">
        <f>VLOOKUP(A1266,'A VII.'!$A$10:$D$199,3,FALSE)</f>
        <v>KG</v>
      </c>
      <c r="E1266" s="85">
        <f>'A VII.'!$D$34</f>
        <v>0</v>
      </c>
      <c r="F1266" s="59">
        <f t="shared" si="71"/>
        <v>0</v>
      </c>
    </row>
    <row r="1267" spans="1:6" ht="12.75" customHeight="1" x14ac:dyDescent="0.2">
      <c r="A1267" s="6" t="str">
        <f>'A VII.'!$A$52</f>
        <v>1.43</v>
      </c>
      <c r="B1267" s="74" t="str">
        <f>VLOOKUP(A1267,'A VII.'!$A$10:$D$199,2,FALSE)</f>
        <v>FERRO REDONDO (1/2") - CA-50</v>
      </c>
      <c r="C1267" s="114">
        <v>1</v>
      </c>
      <c r="D1267" s="7" t="str">
        <f>VLOOKUP(A1267,'A VII.'!$A$10:$D$199,3,FALSE)</f>
        <v>KG</v>
      </c>
      <c r="E1267" s="85">
        <f>'A VII.'!$D$52</f>
        <v>0</v>
      </c>
      <c r="F1267" s="59">
        <f t="shared" si="71"/>
        <v>0</v>
      </c>
    </row>
    <row r="1268" spans="1:6" ht="12.75" customHeight="1" x14ac:dyDescent="0.2">
      <c r="A1268" s="6" t="str">
        <f>'A VII.'!$A$54</f>
        <v>1.45</v>
      </c>
      <c r="B1268" s="74" t="str">
        <f>VLOOKUP(A1268,'A VII.'!$A$10:$D$199,2,FALSE)</f>
        <v>FUNDO ANTICORROSIVO PARA METAIS FERROSOS (ZARCAO)</v>
      </c>
      <c r="C1268" s="114">
        <v>0.11799999999999999</v>
      </c>
      <c r="D1268" s="7" t="str">
        <f>VLOOKUP(A1268,'A VII.'!$A$10:$D$199,3,FALSE)</f>
        <v>L</v>
      </c>
      <c r="E1268" s="85">
        <f>'A VII.'!$D$54</f>
        <v>0</v>
      </c>
      <c r="F1268" s="59">
        <f>ROUND(C1268*E1268,2)</f>
        <v>0</v>
      </c>
    </row>
    <row r="1269" spans="1:6" ht="12.75" customHeight="1" x14ac:dyDescent="0.2">
      <c r="A1269" s="6" t="str">
        <f>'A VII.'!$A$69</f>
        <v>1.60</v>
      </c>
      <c r="B1269" s="74" t="str">
        <f>VLOOKUP(A1269,'A VII.'!$A$10:$D$199,2,FALSE)</f>
        <v>LIXA PARA SUPERFICIE METÁLICA, GRANA 150</v>
      </c>
      <c r="C1269" s="114">
        <v>0.3</v>
      </c>
      <c r="D1269" s="7" t="str">
        <f>VLOOKUP(A1269,'A VII.'!$A$10:$D$199,3,FALSE)</f>
        <v>UN</v>
      </c>
      <c r="E1269" s="85">
        <f>'A VII.'!$D$69</f>
        <v>0</v>
      </c>
      <c r="F1269" s="59">
        <f t="shared" si="71"/>
        <v>0</v>
      </c>
    </row>
    <row r="1270" spans="1:6" ht="12.75" customHeight="1" x14ac:dyDescent="0.2">
      <c r="A1270" s="6" t="str">
        <f>'A VII.'!$A$76</f>
        <v>1.67</v>
      </c>
      <c r="B1270" s="74" t="str">
        <f>VLOOKUP(A1270,'A VII.'!$A$10:$D$199,2,FALSE)</f>
        <v>PARAFUSO DE ACO TIPO CHUMBADOR PARABOLT, DIAMETRO 1/2", COMPRIMENTO 75 MM</v>
      </c>
      <c r="C1270" s="114">
        <v>4</v>
      </c>
      <c r="D1270" s="7" t="str">
        <f>VLOOKUP(A1270,'A VII.'!$A$10:$D$199,3,FALSE)</f>
        <v>UN</v>
      </c>
      <c r="E1270" s="85">
        <f>'A VII.'!$D$76</f>
        <v>0</v>
      </c>
      <c r="F1270" s="59">
        <f t="shared" si="71"/>
        <v>0</v>
      </c>
    </row>
    <row r="1271" spans="1:6" ht="12.75" customHeight="1" x14ac:dyDescent="0.2">
      <c r="A1271" s="6" t="str">
        <f>'A VII.'!$A$88</f>
        <v>1.78</v>
      </c>
      <c r="B1271" s="74" t="str">
        <f>VLOOKUP(A1271,'A VII.'!$A$10:$D$199,2,FALSE)</f>
        <v>PORCA 1/2"</v>
      </c>
      <c r="C1271" s="114">
        <v>4</v>
      </c>
      <c r="D1271" s="7" t="str">
        <f>VLOOKUP(A1271,'A VII.'!$A$10:$D$199,3,FALSE)</f>
        <v>UN</v>
      </c>
      <c r="E1271" s="85">
        <f>'A VII.'!$D$88</f>
        <v>0</v>
      </c>
      <c r="F1271" s="59">
        <f t="shared" si="71"/>
        <v>0</v>
      </c>
    </row>
    <row r="1272" spans="1:6" ht="12.75" customHeight="1" x14ac:dyDescent="0.2">
      <c r="A1272" s="6" t="str">
        <f>'A VII.'!$A$110</f>
        <v>1.100</v>
      </c>
      <c r="B1272" s="74" t="str">
        <f>VLOOKUP(A1272,'A VII.'!$A$10:$D$199,2,FALSE)</f>
        <v xml:space="preserve">TINTA ESMALTE SINTETICO PREMIUM </v>
      </c>
      <c r="C1272" s="114">
        <v>0.82</v>
      </c>
      <c r="D1272" s="7" t="str">
        <f>VLOOKUP(A1272,'A VII.'!$A$10:$D$199,3,FALSE)</f>
        <v>L</v>
      </c>
      <c r="E1272" s="85">
        <f>'A VII.'!$D$110</f>
        <v>0</v>
      </c>
      <c r="F1272" s="59">
        <f>ROUND(C1272*E1272,2)</f>
        <v>0</v>
      </c>
    </row>
    <row r="1273" spans="1:6" ht="12.75" customHeight="1" x14ac:dyDescent="0.2">
      <c r="A1273" s="6" t="str">
        <f>'A VII.'!$A$114</f>
        <v>1.104</v>
      </c>
      <c r="B1273" s="74" t="str">
        <f>VLOOKUP(A1273,'A VII.'!$A$10:$D$199,2,FALSE)</f>
        <v>TRAVA DE SEGURANÇA TIPO FERROLHO</v>
      </c>
      <c r="C1273" s="114">
        <v>1</v>
      </c>
      <c r="D1273" s="423" t="str">
        <f>VLOOKUP(A1273,'A VII.'!$A$10:$D$199,3,FALSE)</f>
        <v>UN</v>
      </c>
      <c r="E1273" s="85">
        <f>'A VII.'!$D$114</f>
        <v>0</v>
      </c>
      <c r="F1273" s="59">
        <f t="shared" si="71"/>
        <v>0</v>
      </c>
    </row>
    <row r="1274" spans="1:6" ht="12.75" customHeight="1" x14ac:dyDescent="0.2">
      <c r="A1274" s="6"/>
      <c r="B1274" s="421"/>
      <c r="C1274" s="114"/>
      <c r="D1274" s="423"/>
      <c r="E1274" s="85"/>
      <c r="F1274" s="59">
        <f t="shared" si="71"/>
        <v>0</v>
      </c>
    </row>
    <row r="1275" spans="1:6" ht="12.75" customHeight="1" x14ac:dyDescent="0.2">
      <c r="A1275" s="3"/>
      <c r="C1275" s="114"/>
      <c r="E1275" s="85"/>
      <c r="F1275" s="59">
        <f t="shared" si="71"/>
        <v>0</v>
      </c>
    </row>
    <row r="1276" spans="1:6" ht="12.75" customHeight="1" x14ac:dyDescent="0.2">
      <c r="A1276" s="3"/>
      <c r="C1276" s="114"/>
      <c r="E1276" s="85"/>
      <c r="F1276" s="59">
        <f t="shared" si="71"/>
        <v>0</v>
      </c>
    </row>
    <row r="1277" spans="1:6" ht="12.75" customHeight="1" x14ac:dyDescent="0.2">
      <c r="A1277" s="3"/>
      <c r="B1277" s="86" t="s">
        <v>258</v>
      </c>
      <c r="C1277" s="87"/>
      <c r="D1277" s="88"/>
      <c r="E1277" s="89"/>
      <c r="F1277" s="90">
        <f>SUM(F1261:F1276)</f>
        <v>0</v>
      </c>
    </row>
    <row r="1278" spans="1:6" ht="12.75" customHeight="1" x14ac:dyDescent="0.2">
      <c r="A1278" s="3"/>
      <c r="B1278" s="91" t="s">
        <v>70</v>
      </c>
      <c r="C1278" s="15">
        <f>$D$8</f>
        <v>0</v>
      </c>
      <c r="D1278" s="92"/>
      <c r="E1278" s="93"/>
      <c r="F1278" s="94">
        <f>ROUND(F1277*C1278,2)</f>
        <v>0</v>
      </c>
    </row>
    <row r="1279" spans="1:6" ht="12.75" customHeight="1" x14ac:dyDescent="0.2">
      <c r="A1279" s="95"/>
      <c r="B1279" s="424" t="s">
        <v>259</v>
      </c>
      <c r="C1279" s="425"/>
      <c r="D1279" s="425"/>
      <c r="E1279" s="426"/>
      <c r="F1279" s="96">
        <f>F1277+F1278</f>
        <v>0</v>
      </c>
    </row>
    <row r="1280" spans="1:6" ht="12.75" customHeight="1" x14ac:dyDescent="0.2">
      <c r="A1280" s="1" t="s">
        <v>5</v>
      </c>
      <c r="B1280" s="418" t="s">
        <v>267</v>
      </c>
      <c r="C1280" s="419" t="s">
        <v>263</v>
      </c>
      <c r="D1280" s="419" t="s">
        <v>264</v>
      </c>
      <c r="E1280" s="420" t="s">
        <v>265</v>
      </c>
      <c r="F1280" s="57" t="s">
        <v>266</v>
      </c>
    </row>
    <row r="1281" spans="1:6" ht="12.75" customHeight="1" x14ac:dyDescent="0.2">
      <c r="A1281" s="3" t="str">
        <f>'A VII.'!$A$159</f>
        <v>2.17</v>
      </c>
      <c r="B1281" s="74" t="str">
        <f>VLOOKUP(A1281,'A VII.'!$A$10:$D$199,2,FALSE)</f>
        <v>GRUPO DE SOLDA 600A, GERADOR DIESEL 60 CV PARA SOLDA ELÉTRICA, SOBRE RODAS, MOTOR 4 CILINDROS - CHP</v>
      </c>
      <c r="C1281" s="114">
        <v>12</v>
      </c>
      <c r="D1281" s="54" t="str">
        <f>VLOOKUP(A1281,'A VII.'!$A$10:$D$199,3,FALSE)</f>
        <v>CHP</v>
      </c>
      <c r="E1281" s="85">
        <f>'A VII.'!D159</f>
        <v>0</v>
      </c>
      <c r="F1281" s="59">
        <f t="shared" ref="F1281:F1290" si="72">ROUND(C1281*E1281,2)</f>
        <v>0</v>
      </c>
    </row>
    <row r="1282" spans="1:6" ht="12.75" customHeight="1" x14ac:dyDescent="0.2">
      <c r="A1282" s="3"/>
      <c r="C1282" s="114"/>
      <c r="E1282" s="85"/>
      <c r="F1282" s="59">
        <f t="shared" si="72"/>
        <v>0</v>
      </c>
    </row>
    <row r="1283" spans="1:6" ht="12.75" customHeight="1" x14ac:dyDescent="0.2">
      <c r="A1283" s="3"/>
      <c r="C1283" s="114"/>
      <c r="E1283" s="85"/>
      <c r="F1283" s="59">
        <f t="shared" si="72"/>
        <v>0</v>
      </c>
    </row>
    <row r="1284" spans="1:6" ht="12.75" customHeight="1" x14ac:dyDescent="0.2">
      <c r="A1284" s="3"/>
      <c r="C1284" s="114"/>
      <c r="E1284" s="85"/>
      <c r="F1284" s="59">
        <f t="shared" si="72"/>
        <v>0</v>
      </c>
    </row>
    <row r="1285" spans="1:6" ht="12.75" customHeight="1" x14ac:dyDescent="0.2">
      <c r="A1285" s="3"/>
      <c r="C1285" s="114"/>
      <c r="E1285" s="85"/>
      <c r="F1285" s="59">
        <f t="shared" si="72"/>
        <v>0</v>
      </c>
    </row>
    <row r="1286" spans="1:6" ht="12.75" customHeight="1" x14ac:dyDescent="0.2">
      <c r="A1286" s="3"/>
      <c r="C1286" s="114"/>
      <c r="E1286" s="85"/>
      <c r="F1286" s="59">
        <f t="shared" si="72"/>
        <v>0</v>
      </c>
    </row>
    <row r="1287" spans="1:6" ht="12.75" customHeight="1" x14ac:dyDescent="0.2">
      <c r="A1287" s="3"/>
      <c r="C1287" s="114"/>
      <c r="E1287" s="85"/>
      <c r="F1287" s="59">
        <f t="shared" si="72"/>
        <v>0</v>
      </c>
    </row>
    <row r="1288" spans="1:6" ht="12.75" customHeight="1" x14ac:dyDescent="0.2">
      <c r="A1288" s="3"/>
      <c r="C1288" s="114"/>
      <c r="E1288" s="85"/>
      <c r="F1288" s="59">
        <f t="shared" si="72"/>
        <v>0</v>
      </c>
    </row>
    <row r="1289" spans="1:6" ht="12.75" customHeight="1" x14ac:dyDescent="0.2">
      <c r="A1289" s="3"/>
      <c r="C1289" s="114"/>
      <c r="E1289" s="85"/>
      <c r="F1289" s="59">
        <f t="shared" si="72"/>
        <v>0</v>
      </c>
    </row>
    <row r="1290" spans="1:6" ht="12.75" customHeight="1" x14ac:dyDescent="0.2">
      <c r="A1290" s="3"/>
      <c r="C1290" s="114"/>
      <c r="E1290" s="85"/>
      <c r="F1290" s="59">
        <f t="shared" si="72"/>
        <v>0</v>
      </c>
    </row>
    <row r="1291" spans="1:6" ht="12.75" customHeight="1" x14ac:dyDescent="0.2">
      <c r="A1291" s="3"/>
      <c r="B1291" s="86" t="s">
        <v>258</v>
      </c>
      <c r="C1291" s="87"/>
      <c r="D1291" s="88"/>
      <c r="E1291" s="89"/>
      <c r="F1291" s="90">
        <f>SUM(F1281:F1290)</f>
        <v>0</v>
      </c>
    </row>
    <row r="1292" spans="1:6" ht="12.75" customHeight="1" x14ac:dyDescent="0.2">
      <c r="A1292" s="3"/>
      <c r="B1292" s="91" t="s">
        <v>70</v>
      </c>
      <c r="C1292" s="15">
        <f>$D$8</f>
        <v>0</v>
      </c>
      <c r="D1292" s="92"/>
      <c r="E1292" s="93"/>
      <c r="F1292" s="94">
        <f>ROUND(C1292*F1291,2)</f>
        <v>0</v>
      </c>
    </row>
    <row r="1293" spans="1:6" ht="12.75" customHeight="1" x14ac:dyDescent="0.2">
      <c r="A1293" s="95"/>
      <c r="B1293" s="424" t="s">
        <v>260</v>
      </c>
      <c r="C1293" s="425"/>
      <c r="D1293" s="425"/>
      <c r="E1293" s="426"/>
      <c r="F1293" s="96">
        <f>F1291+F1292</f>
        <v>0</v>
      </c>
    </row>
    <row r="1294" spans="1:6" ht="12.75" customHeight="1" x14ac:dyDescent="0.2">
      <c r="A1294" s="97" t="s">
        <v>54</v>
      </c>
      <c r="B1294" s="427" t="s">
        <v>268</v>
      </c>
      <c r="C1294" s="428" t="s">
        <v>263</v>
      </c>
      <c r="D1294" s="429" t="s">
        <v>264</v>
      </c>
      <c r="E1294" s="430" t="s">
        <v>265</v>
      </c>
      <c r="F1294" s="57" t="s">
        <v>266</v>
      </c>
    </row>
    <row r="1295" spans="1:6" ht="12.75" customHeight="1" x14ac:dyDescent="0.2">
      <c r="A1295" s="3" t="str">
        <f>'A VII.'!$A$181</f>
        <v>3.1</v>
      </c>
      <c r="B1295" s="74" t="s">
        <v>174</v>
      </c>
      <c r="C1295" s="114">
        <v>8</v>
      </c>
      <c r="D1295" s="54" t="str">
        <f>VLOOKUP(A1295,'A VII.'!$A$10:$D$199,3,FALSE)</f>
        <v>H</v>
      </c>
      <c r="E1295" s="85">
        <f>'A VII.'!$D$181</f>
        <v>0</v>
      </c>
      <c r="F1295" s="59">
        <f t="shared" ref="F1295:F1301" si="73">ROUND(C1295*E1295,2)</f>
        <v>0</v>
      </c>
    </row>
    <row r="1296" spans="1:6" ht="12.75" customHeight="1" x14ac:dyDescent="0.2">
      <c r="A1296" s="3" t="str">
        <f>'A VII.'!$A$193</f>
        <v>3.13</v>
      </c>
      <c r="B1296" s="74" t="s">
        <v>186</v>
      </c>
      <c r="C1296" s="114">
        <v>4</v>
      </c>
      <c r="D1296" s="54" t="str">
        <f>VLOOKUP(A1296,'A VII.'!$A$10:$D$199,3,FALSE)</f>
        <v>H</v>
      </c>
      <c r="E1296" s="85">
        <f>'A VII.'!$D$193</f>
        <v>0</v>
      </c>
      <c r="F1296" s="59">
        <f t="shared" si="73"/>
        <v>0</v>
      </c>
    </row>
    <row r="1297" spans="1:6" ht="12.75" customHeight="1" x14ac:dyDescent="0.2">
      <c r="A1297" s="3" t="str">
        <f>'A VII.'!$A$195</f>
        <v>3.15</v>
      </c>
      <c r="B1297" s="74" t="s">
        <v>188</v>
      </c>
      <c r="C1297" s="114">
        <v>12</v>
      </c>
      <c r="D1297" s="54" t="str">
        <f>VLOOKUP(A1297,'A VII.'!$A$10:$D$199,3,FALSE)</f>
        <v>H</v>
      </c>
      <c r="E1297" s="85">
        <f>'A VII.'!$D$195</f>
        <v>0</v>
      </c>
      <c r="F1297" s="59">
        <f>ROUND(C1297*E1297,2)</f>
        <v>0</v>
      </c>
    </row>
    <row r="1298" spans="1:6" ht="12.75" customHeight="1" x14ac:dyDescent="0.2">
      <c r="A1298" s="3" t="str">
        <f>'A VII.'!$A$197</f>
        <v>3.17</v>
      </c>
      <c r="B1298" s="74" t="s">
        <v>190</v>
      </c>
      <c r="C1298" s="114">
        <v>12</v>
      </c>
      <c r="D1298" s="54" t="str">
        <f>VLOOKUP(A1298,'A VII.'!$A$10:$D$199,3,FALSE)</f>
        <v>H</v>
      </c>
      <c r="E1298" s="85">
        <f>'A VII.'!$D$197</f>
        <v>0</v>
      </c>
      <c r="F1298" s="59">
        <f t="shared" si="73"/>
        <v>0</v>
      </c>
    </row>
    <row r="1299" spans="1:6" ht="12.75" customHeight="1" x14ac:dyDescent="0.2">
      <c r="A1299" s="3"/>
      <c r="C1299" s="114"/>
      <c r="E1299" s="85"/>
      <c r="F1299" s="59">
        <f t="shared" si="73"/>
        <v>0</v>
      </c>
    </row>
    <row r="1300" spans="1:6" ht="12.75" customHeight="1" x14ac:dyDescent="0.2">
      <c r="A1300" s="3"/>
      <c r="C1300" s="114"/>
      <c r="E1300" s="85"/>
      <c r="F1300" s="59">
        <f t="shared" si="73"/>
        <v>0</v>
      </c>
    </row>
    <row r="1301" spans="1:6" ht="12.75" customHeight="1" x14ac:dyDescent="0.2">
      <c r="A1301" s="3"/>
      <c r="C1301" s="114"/>
      <c r="E1301" s="85"/>
      <c r="F1301" s="59">
        <f t="shared" si="73"/>
        <v>0</v>
      </c>
    </row>
    <row r="1302" spans="1:6" ht="12.75" customHeight="1" x14ac:dyDescent="0.2">
      <c r="A1302" s="3"/>
      <c r="B1302" s="86" t="s">
        <v>258</v>
      </c>
      <c r="C1302" s="87"/>
      <c r="D1302" s="88"/>
      <c r="E1302" s="89"/>
      <c r="F1302" s="90">
        <f>SUM(F1295:F1301)</f>
        <v>0</v>
      </c>
    </row>
    <row r="1303" spans="1:6" ht="12.75" customHeight="1" x14ac:dyDescent="0.2">
      <c r="A1303" s="3"/>
      <c r="B1303" s="91" t="s">
        <v>261</v>
      </c>
      <c r="C1303" s="15">
        <f>'A IX.'!$C$45</f>
        <v>0</v>
      </c>
      <c r="D1303" s="92"/>
      <c r="E1303" s="93"/>
      <c r="F1303" s="94">
        <f>ROUND(F1302*C1303,2)</f>
        <v>0</v>
      </c>
    </row>
    <row r="1304" spans="1:6" ht="12.75" customHeight="1" x14ac:dyDescent="0.2">
      <c r="A1304" s="3"/>
      <c r="B1304" s="91" t="s">
        <v>70</v>
      </c>
      <c r="C1304" s="15">
        <f>$D$8</f>
        <v>0</v>
      </c>
      <c r="D1304" s="92"/>
      <c r="E1304" s="93"/>
      <c r="F1304" s="94">
        <f>ROUND(SUM(F1302:F1303)*C1304,2)</f>
        <v>0</v>
      </c>
    </row>
    <row r="1305" spans="1:6" ht="12.75" customHeight="1" thickBot="1" x14ac:dyDescent="0.25">
      <c r="A1305" s="98"/>
      <c r="B1305" s="99" t="s">
        <v>262</v>
      </c>
      <c r="C1305" s="100"/>
      <c r="D1305" s="100"/>
      <c r="E1305" s="101"/>
      <c r="F1305" s="102">
        <f>SUM(F1302:F1304)</f>
        <v>0</v>
      </c>
    </row>
    <row r="1306" spans="1:6" ht="12.75" customHeight="1" thickBot="1" x14ac:dyDescent="0.25">
      <c r="A1306" s="81"/>
      <c r="B1306" s="82"/>
      <c r="C1306" s="83"/>
      <c r="D1306" s="83"/>
      <c r="E1306" s="84"/>
      <c r="F1306" s="103"/>
    </row>
    <row r="1307" spans="1:6" ht="30" customHeight="1" x14ac:dyDescent="0.2">
      <c r="A1307" s="5" t="str">
        <f>'A IV.A'!$A$54</f>
        <v>3.2.5</v>
      </c>
      <c r="B1307" s="416" t="str">
        <f>'A IV.A'!B54</f>
        <v>JANELA DE AÇO  TIPO BASCULANTE, FIXAÇÃO COM ARGAMASSA</v>
      </c>
      <c r="C1307" s="526" t="s">
        <v>269</v>
      </c>
      <c r="D1307" s="527"/>
      <c r="E1307" s="417" t="str">
        <f>'A IV.A'!C54</f>
        <v>M2</v>
      </c>
      <c r="F1307" s="58">
        <f>ROUND(F1327+F1341+F1353,2)</f>
        <v>0</v>
      </c>
    </row>
    <row r="1308" spans="1:6" ht="12.75" customHeight="1" x14ac:dyDescent="0.2">
      <c r="A1308" s="1" t="s">
        <v>17</v>
      </c>
      <c r="B1308" s="418" t="s">
        <v>162</v>
      </c>
      <c r="C1308" s="419" t="s">
        <v>263</v>
      </c>
      <c r="D1308" s="419" t="s">
        <v>264</v>
      </c>
      <c r="E1308" s="420" t="s">
        <v>265</v>
      </c>
      <c r="F1308" s="57" t="s">
        <v>266</v>
      </c>
    </row>
    <row r="1309" spans="1:6" ht="12.75" customHeight="1" x14ac:dyDescent="0.2">
      <c r="A1309" s="6" t="str">
        <f>'A VII.'!$A$19</f>
        <v>1.10</v>
      </c>
      <c r="B1309" s="74" t="str">
        <f>'A VII.'!$B$19</f>
        <v>AREIA MÉDIA LAVADA</v>
      </c>
      <c r="C1309" s="114">
        <v>0.01</v>
      </c>
      <c r="D1309" s="7" t="str">
        <f>'A VII.'!$C$19</f>
        <v>M3</v>
      </c>
      <c r="E1309" s="85">
        <f>'A VII.'!$D$19</f>
        <v>0</v>
      </c>
      <c r="F1309" s="59">
        <f>ROUND(C1309*E1309,2)</f>
        <v>0</v>
      </c>
    </row>
    <row r="1310" spans="1:6" ht="12.75" customHeight="1" x14ac:dyDescent="0.2">
      <c r="A1310" s="6" t="str">
        <f>'A VII.'!$A$38</f>
        <v>1.29</v>
      </c>
      <c r="B1310" s="74" t="str">
        <f>'A VII.'!$B$38</f>
        <v>CIMENTO PORTLAND CP II-E-32</v>
      </c>
      <c r="C1310" s="114">
        <v>3.92</v>
      </c>
      <c r="D1310" s="7" t="str">
        <f>'A VII.'!$C$38</f>
        <v>KG</v>
      </c>
      <c r="E1310" s="85">
        <f>'A VII.'!$D$38</f>
        <v>0</v>
      </c>
      <c r="F1310" s="59">
        <f t="shared" ref="F1310:F1324" si="74">ROUND(C1310*E1310,2)</f>
        <v>0</v>
      </c>
    </row>
    <row r="1311" spans="1:6" ht="12.75" customHeight="1" x14ac:dyDescent="0.2">
      <c r="A1311" s="6" t="str">
        <f>'A VII.'!$A$62</f>
        <v>1.53</v>
      </c>
      <c r="B1311" s="74" t="str">
        <f>'A VII.'!$B$62</f>
        <v>JANELA BASCULANTE, AÇO, COM BATENTE/REQUADRO, 60X80 CM, SEM VIDROS</v>
      </c>
      <c r="C1311" s="114">
        <f>1/0.48</f>
        <v>2.0833333333333335</v>
      </c>
      <c r="D1311" s="7" t="str">
        <f>'A VII.'!$C$62</f>
        <v>UN</v>
      </c>
      <c r="E1311" s="85">
        <f>'A VII.'!$D$62</f>
        <v>0</v>
      </c>
      <c r="F1311" s="59">
        <f t="shared" si="74"/>
        <v>0</v>
      </c>
    </row>
    <row r="1312" spans="1:6" ht="12.75" customHeight="1" x14ac:dyDescent="0.2">
      <c r="A1312" s="6"/>
      <c r="C1312" s="114"/>
      <c r="D1312" s="7"/>
      <c r="E1312" s="85"/>
      <c r="F1312" s="59">
        <f t="shared" si="74"/>
        <v>0</v>
      </c>
    </row>
    <row r="1313" spans="1:6" ht="12.75" customHeight="1" x14ac:dyDescent="0.2">
      <c r="A1313" s="6"/>
      <c r="B1313" s="421"/>
      <c r="C1313" s="114"/>
      <c r="D1313" s="7"/>
      <c r="E1313" s="85"/>
      <c r="F1313" s="59">
        <f t="shared" si="74"/>
        <v>0</v>
      </c>
    </row>
    <row r="1314" spans="1:6" ht="12.75" customHeight="1" x14ac:dyDescent="0.2">
      <c r="A1314" s="6"/>
      <c r="B1314" s="421"/>
      <c r="C1314" s="114"/>
      <c r="D1314" s="7"/>
      <c r="E1314" s="85"/>
      <c r="F1314" s="59">
        <f t="shared" si="74"/>
        <v>0</v>
      </c>
    </row>
    <row r="1315" spans="1:6" ht="12.75" customHeight="1" x14ac:dyDescent="0.2">
      <c r="A1315" s="6"/>
      <c r="B1315" s="421"/>
      <c r="C1315" s="114"/>
      <c r="D1315" s="7"/>
      <c r="E1315" s="85"/>
      <c r="F1315" s="59">
        <f t="shared" si="74"/>
        <v>0</v>
      </c>
    </row>
    <row r="1316" spans="1:6" ht="12.75" customHeight="1" x14ac:dyDescent="0.2">
      <c r="A1316" s="6"/>
      <c r="B1316" s="421"/>
      <c r="C1316" s="114"/>
      <c r="D1316" s="7"/>
      <c r="E1316" s="85"/>
      <c r="F1316" s="59">
        <f t="shared" si="74"/>
        <v>0</v>
      </c>
    </row>
    <row r="1317" spans="1:6" ht="12.75" customHeight="1" x14ac:dyDescent="0.2">
      <c r="A1317" s="6"/>
      <c r="B1317" s="421"/>
      <c r="C1317" s="114"/>
      <c r="D1317" s="7"/>
      <c r="E1317" s="85"/>
      <c r="F1317" s="59">
        <f t="shared" si="74"/>
        <v>0</v>
      </c>
    </row>
    <row r="1318" spans="1:6" ht="12.75" customHeight="1" x14ac:dyDescent="0.2">
      <c r="A1318" s="6"/>
      <c r="B1318" s="421"/>
      <c r="C1318" s="114"/>
      <c r="D1318" s="7"/>
      <c r="E1318" s="85"/>
      <c r="F1318" s="59">
        <f t="shared" si="74"/>
        <v>0</v>
      </c>
    </row>
    <row r="1319" spans="1:6" ht="12.75" customHeight="1" x14ac:dyDescent="0.2">
      <c r="A1319" s="6"/>
      <c r="B1319" s="421"/>
      <c r="C1319" s="114"/>
      <c r="D1319" s="7"/>
      <c r="E1319" s="85"/>
      <c r="F1319" s="59">
        <f t="shared" si="74"/>
        <v>0</v>
      </c>
    </row>
    <row r="1320" spans="1:6" ht="12.75" customHeight="1" x14ac:dyDescent="0.2">
      <c r="A1320" s="6"/>
      <c r="B1320" s="421"/>
      <c r="C1320" s="114"/>
      <c r="D1320" s="423"/>
      <c r="E1320" s="85"/>
      <c r="F1320" s="59">
        <f t="shared" si="74"/>
        <v>0</v>
      </c>
    </row>
    <row r="1321" spans="1:6" ht="12.75" customHeight="1" x14ac:dyDescent="0.2">
      <c r="A1321" s="6"/>
      <c r="B1321" s="421"/>
      <c r="C1321" s="114"/>
      <c r="D1321" s="423"/>
      <c r="E1321" s="85"/>
      <c r="F1321" s="59">
        <f t="shared" si="74"/>
        <v>0</v>
      </c>
    </row>
    <row r="1322" spans="1:6" ht="12.75" customHeight="1" x14ac:dyDescent="0.2">
      <c r="A1322" s="6"/>
      <c r="B1322" s="421"/>
      <c r="C1322" s="114"/>
      <c r="D1322" s="423"/>
      <c r="E1322" s="85"/>
      <c r="F1322" s="59">
        <f t="shared" si="74"/>
        <v>0</v>
      </c>
    </row>
    <row r="1323" spans="1:6" ht="12.75" customHeight="1" x14ac:dyDescent="0.2">
      <c r="A1323" s="3"/>
      <c r="C1323" s="114"/>
      <c r="E1323" s="85"/>
      <c r="F1323" s="59">
        <f t="shared" si="74"/>
        <v>0</v>
      </c>
    </row>
    <row r="1324" spans="1:6" ht="12.75" customHeight="1" x14ac:dyDescent="0.2">
      <c r="A1324" s="3"/>
      <c r="C1324" s="114"/>
      <c r="E1324" s="85"/>
      <c r="F1324" s="59">
        <f t="shared" si="74"/>
        <v>0</v>
      </c>
    </row>
    <row r="1325" spans="1:6" ht="12.75" customHeight="1" x14ac:dyDescent="0.2">
      <c r="A1325" s="3"/>
      <c r="B1325" s="86" t="s">
        <v>258</v>
      </c>
      <c r="C1325" s="87"/>
      <c r="D1325" s="88"/>
      <c r="E1325" s="89"/>
      <c r="F1325" s="90">
        <f>SUM(F1309:F1324)</f>
        <v>0</v>
      </c>
    </row>
    <row r="1326" spans="1:6" ht="12.75" customHeight="1" x14ac:dyDescent="0.2">
      <c r="A1326" s="3"/>
      <c r="B1326" s="91" t="s">
        <v>70</v>
      </c>
      <c r="C1326" s="15">
        <f>$D$8</f>
        <v>0</v>
      </c>
      <c r="D1326" s="92"/>
      <c r="E1326" s="93"/>
      <c r="F1326" s="94">
        <f>ROUND(F1325*C1326,2)</f>
        <v>0</v>
      </c>
    </row>
    <row r="1327" spans="1:6" ht="12.75" customHeight="1" x14ac:dyDescent="0.2">
      <c r="A1327" s="95"/>
      <c r="B1327" s="424" t="s">
        <v>259</v>
      </c>
      <c r="C1327" s="425"/>
      <c r="D1327" s="425"/>
      <c r="E1327" s="426"/>
      <c r="F1327" s="96">
        <f>F1325+F1326</f>
        <v>0</v>
      </c>
    </row>
    <row r="1328" spans="1:6" ht="12.75" customHeight="1" x14ac:dyDescent="0.2">
      <c r="A1328" s="1" t="s">
        <v>5</v>
      </c>
      <c r="B1328" s="418" t="s">
        <v>267</v>
      </c>
      <c r="C1328" s="419" t="s">
        <v>263</v>
      </c>
      <c r="D1328" s="419" t="s">
        <v>264</v>
      </c>
      <c r="E1328" s="420" t="s">
        <v>265</v>
      </c>
      <c r="F1328" s="57" t="s">
        <v>266</v>
      </c>
    </row>
    <row r="1329" spans="1:6" ht="12.75" customHeight="1" x14ac:dyDescent="0.2">
      <c r="A1329" s="3"/>
      <c r="B1329" s="71"/>
      <c r="C1329" s="114"/>
      <c r="E1329" s="85"/>
      <c r="F1329" s="59">
        <f t="shared" ref="F1329:F1338" si="75">ROUND(C1329*E1329,2)</f>
        <v>0</v>
      </c>
    </row>
    <row r="1330" spans="1:6" ht="12.75" customHeight="1" x14ac:dyDescent="0.2">
      <c r="A1330" s="3"/>
      <c r="C1330" s="114"/>
      <c r="E1330" s="85"/>
      <c r="F1330" s="59">
        <f t="shared" si="75"/>
        <v>0</v>
      </c>
    </row>
    <row r="1331" spans="1:6" ht="12.75" customHeight="1" x14ac:dyDescent="0.2">
      <c r="A1331" s="3"/>
      <c r="C1331" s="114"/>
      <c r="E1331" s="85"/>
      <c r="F1331" s="59">
        <f t="shared" si="75"/>
        <v>0</v>
      </c>
    </row>
    <row r="1332" spans="1:6" ht="12.75" customHeight="1" x14ac:dyDescent="0.2">
      <c r="A1332" s="3"/>
      <c r="C1332" s="114"/>
      <c r="E1332" s="85"/>
      <c r="F1332" s="59">
        <f t="shared" si="75"/>
        <v>0</v>
      </c>
    </row>
    <row r="1333" spans="1:6" ht="12.75" customHeight="1" x14ac:dyDescent="0.2">
      <c r="A1333" s="3"/>
      <c r="C1333" s="114"/>
      <c r="E1333" s="85"/>
      <c r="F1333" s="59">
        <f t="shared" si="75"/>
        <v>0</v>
      </c>
    </row>
    <row r="1334" spans="1:6" ht="12.75" customHeight="1" x14ac:dyDescent="0.2">
      <c r="A1334" s="3"/>
      <c r="C1334" s="114"/>
      <c r="E1334" s="85"/>
      <c r="F1334" s="59">
        <f t="shared" si="75"/>
        <v>0</v>
      </c>
    </row>
    <row r="1335" spans="1:6" ht="12.75" customHeight="1" x14ac:dyDescent="0.2">
      <c r="A1335" s="3"/>
      <c r="C1335" s="114"/>
      <c r="E1335" s="85"/>
      <c r="F1335" s="59">
        <f t="shared" si="75"/>
        <v>0</v>
      </c>
    </row>
    <row r="1336" spans="1:6" ht="12.75" customHeight="1" x14ac:dyDescent="0.2">
      <c r="A1336" s="3"/>
      <c r="C1336" s="114"/>
      <c r="E1336" s="85"/>
      <c r="F1336" s="59">
        <f t="shared" si="75"/>
        <v>0</v>
      </c>
    </row>
    <row r="1337" spans="1:6" ht="12.75" customHeight="1" x14ac:dyDescent="0.2">
      <c r="A1337" s="3"/>
      <c r="C1337" s="114"/>
      <c r="E1337" s="85"/>
      <c r="F1337" s="59">
        <f t="shared" si="75"/>
        <v>0</v>
      </c>
    </row>
    <row r="1338" spans="1:6" ht="12.75" customHeight="1" x14ac:dyDescent="0.2">
      <c r="A1338" s="3"/>
      <c r="C1338" s="114"/>
      <c r="E1338" s="85"/>
      <c r="F1338" s="59">
        <f t="shared" si="75"/>
        <v>0</v>
      </c>
    </row>
    <row r="1339" spans="1:6" ht="12.75" customHeight="1" x14ac:dyDescent="0.2">
      <c r="A1339" s="3"/>
      <c r="B1339" s="86" t="s">
        <v>258</v>
      </c>
      <c r="C1339" s="87"/>
      <c r="D1339" s="88"/>
      <c r="E1339" s="89"/>
      <c r="F1339" s="90">
        <f>SUM(F1329:F1338)</f>
        <v>0</v>
      </c>
    </row>
    <row r="1340" spans="1:6" ht="12.75" customHeight="1" x14ac:dyDescent="0.2">
      <c r="A1340" s="3"/>
      <c r="B1340" s="91" t="s">
        <v>70</v>
      </c>
      <c r="C1340" s="15">
        <f>$D$8</f>
        <v>0</v>
      </c>
      <c r="D1340" s="92"/>
      <c r="E1340" s="93"/>
      <c r="F1340" s="94">
        <f>ROUND(C1340*F1339,2)</f>
        <v>0</v>
      </c>
    </row>
    <row r="1341" spans="1:6" ht="12.75" customHeight="1" x14ac:dyDescent="0.2">
      <c r="A1341" s="95"/>
      <c r="B1341" s="424" t="s">
        <v>260</v>
      </c>
      <c r="C1341" s="425"/>
      <c r="D1341" s="425"/>
      <c r="E1341" s="426"/>
      <c r="F1341" s="96">
        <f>F1339+F1340</f>
        <v>0</v>
      </c>
    </row>
    <row r="1342" spans="1:6" ht="12.75" customHeight="1" x14ac:dyDescent="0.2">
      <c r="A1342" s="97" t="s">
        <v>54</v>
      </c>
      <c r="B1342" s="427" t="s">
        <v>268</v>
      </c>
      <c r="C1342" s="428" t="s">
        <v>263</v>
      </c>
      <c r="D1342" s="429" t="s">
        <v>264</v>
      </c>
      <c r="E1342" s="430" t="s">
        <v>265</v>
      </c>
      <c r="F1342" s="57" t="s">
        <v>266</v>
      </c>
    </row>
    <row r="1343" spans="1:6" ht="12.75" customHeight="1" x14ac:dyDescent="0.2">
      <c r="A1343" s="3" t="str">
        <f>'A VII.'!$A$192</f>
        <v>3.12</v>
      </c>
      <c r="B1343" s="74" t="str">
        <f>'A VII.'!$B$192</f>
        <v>PEDREIRO COM ENCARGOS COMPLEMENTARES</v>
      </c>
      <c r="C1343" s="114">
        <v>0.54</v>
      </c>
      <c r="D1343" s="54" t="str">
        <f>'A VII.'!$C$192</f>
        <v>H</v>
      </c>
      <c r="E1343" s="85">
        <f>'A VII.'!$D$192</f>
        <v>0</v>
      </c>
      <c r="F1343" s="59">
        <f t="shared" ref="F1343:F1349" si="76">ROUND(C1343*E1343,2)</f>
        <v>0</v>
      </c>
    </row>
    <row r="1344" spans="1:6" ht="12.75" customHeight="1" x14ac:dyDescent="0.2">
      <c r="A1344" s="3" t="str">
        <f>'A VII.'!$A$196</f>
        <v>3.16</v>
      </c>
      <c r="B1344" s="74" t="str">
        <f>'A VII.'!$B$196</f>
        <v>SERVENTE COM ENCARGOS COMPLEMENTARES</v>
      </c>
      <c r="C1344" s="114">
        <v>0.75</v>
      </c>
      <c r="D1344" s="54" t="str">
        <f>'A VII.'!$C$196</f>
        <v>H</v>
      </c>
      <c r="E1344" s="85">
        <f>'A VII.'!$D$196</f>
        <v>0</v>
      </c>
      <c r="F1344" s="59">
        <f t="shared" si="76"/>
        <v>0</v>
      </c>
    </row>
    <row r="1345" spans="1:6" ht="12.75" customHeight="1" x14ac:dyDescent="0.2">
      <c r="A1345" s="3"/>
      <c r="C1345" s="114"/>
      <c r="E1345" s="85"/>
      <c r="F1345" s="59">
        <f t="shared" si="76"/>
        <v>0</v>
      </c>
    </row>
    <row r="1346" spans="1:6" ht="12.75" customHeight="1" x14ac:dyDescent="0.2">
      <c r="A1346" s="3"/>
      <c r="C1346" s="114"/>
      <c r="E1346" s="85"/>
      <c r="F1346" s="59">
        <f t="shared" si="76"/>
        <v>0</v>
      </c>
    </row>
    <row r="1347" spans="1:6" ht="12.75" customHeight="1" x14ac:dyDescent="0.2">
      <c r="A1347" s="3"/>
      <c r="C1347" s="114"/>
      <c r="E1347" s="85"/>
      <c r="F1347" s="59">
        <f t="shared" si="76"/>
        <v>0</v>
      </c>
    </row>
    <row r="1348" spans="1:6" ht="12.75" customHeight="1" x14ac:dyDescent="0.2">
      <c r="A1348" s="3"/>
      <c r="C1348" s="114"/>
      <c r="E1348" s="85"/>
      <c r="F1348" s="59">
        <f t="shared" si="76"/>
        <v>0</v>
      </c>
    </row>
    <row r="1349" spans="1:6" ht="12.75" customHeight="1" x14ac:dyDescent="0.2">
      <c r="A1349" s="3"/>
      <c r="C1349" s="114"/>
      <c r="E1349" s="85"/>
      <c r="F1349" s="59">
        <f t="shared" si="76"/>
        <v>0</v>
      </c>
    </row>
    <row r="1350" spans="1:6" ht="12.75" customHeight="1" x14ac:dyDescent="0.2">
      <c r="A1350" s="3"/>
      <c r="B1350" s="86" t="s">
        <v>258</v>
      </c>
      <c r="C1350" s="87"/>
      <c r="D1350" s="88"/>
      <c r="E1350" s="89"/>
      <c r="F1350" s="90">
        <f>SUM(F1343:F1349)</f>
        <v>0</v>
      </c>
    </row>
    <row r="1351" spans="1:6" ht="12.75" customHeight="1" x14ac:dyDescent="0.2">
      <c r="A1351" s="3"/>
      <c r="B1351" s="91" t="s">
        <v>261</v>
      </c>
      <c r="C1351" s="15">
        <f>'A IX.'!$C$45</f>
        <v>0</v>
      </c>
      <c r="D1351" s="92"/>
      <c r="E1351" s="93"/>
      <c r="F1351" s="94">
        <f>ROUND(F1350*C1351,2)</f>
        <v>0</v>
      </c>
    </row>
    <row r="1352" spans="1:6" ht="12.75" customHeight="1" x14ac:dyDescent="0.2">
      <c r="A1352" s="3"/>
      <c r="B1352" s="91" t="s">
        <v>70</v>
      </c>
      <c r="C1352" s="15">
        <f>$D$8</f>
        <v>0</v>
      </c>
      <c r="D1352" s="92"/>
      <c r="E1352" s="93"/>
      <c r="F1352" s="94">
        <f>ROUND(SUM(F1350:F1351)*C1352,2)</f>
        <v>0</v>
      </c>
    </row>
    <row r="1353" spans="1:6" ht="12.75" customHeight="1" thickBot="1" x14ac:dyDescent="0.25">
      <c r="A1353" s="98"/>
      <c r="B1353" s="99" t="s">
        <v>262</v>
      </c>
      <c r="C1353" s="100"/>
      <c r="D1353" s="100"/>
      <c r="E1353" s="101"/>
      <c r="F1353" s="102">
        <f>SUM(F1350:F1352)</f>
        <v>0</v>
      </c>
    </row>
    <row r="1354" spans="1:6" ht="12.75" customHeight="1" thickBot="1" x14ac:dyDescent="0.25">
      <c r="A1354" s="81"/>
      <c r="B1354" s="82"/>
      <c r="C1354" s="83"/>
      <c r="D1354" s="83"/>
      <c r="E1354" s="84"/>
      <c r="F1354" s="103"/>
    </row>
    <row r="1355" spans="1:6" ht="30" customHeight="1" x14ac:dyDescent="0.2">
      <c r="A1355" s="5" t="str">
        <f>'A IV.A'!$A$55</f>
        <v>3.2.6</v>
      </c>
      <c r="B1355" s="416" t="str">
        <f>'A IV.A'!B55</f>
        <v>JANELA DE AÇO DE CORRER, TIPO VENEZIANA, FIXAÇÃO COM ARGAMASSA</v>
      </c>
      <c r="C1355" s="526" t="s">
        <v>269</v>
      </c>
      <c r="D1355" s="527"/>
      <c r="E1355" s="417" t="str">
        <f>'A IV.A'!C55</f>
        <v>M2</v>
      </c>
      <c r="F1355" s="58">
        <f>ROUND(F1375+F1389+F1401,2)</f>
        <v>0</v>
      </c>
    </row>
    <row r="1356" spans="1:6" ht="12.75" customHeight="1" x14ac:dyDescent="0.2">
      <c r="A1356" s="1" t="s">
        <v>17</v>
      </c>
      <c r="B1356" s="418" t="s">
        <v>162</v>
      </c>
      <c r="C1356" s="419" t="s">
        <v>263</v>
      </c>
      <c r="D1356" s="419" t="s">
        <v>264</v>
      </c>
      <c r="E1356" s="420" t="s">
        <v>265</v>
      </c>
      <c r="F1356" s="57" t="s">
        <v>266</v>
      </c>
    </row>
    <row r="1357" spans="1:6" ht="12.75" customHeight="1" x14ac:dyDescent="0.2">
      <c r="A1357" s="6" t="str">
        <f>'A VII.'!$A$63</f>
        <v>1.54</v>
      </c>
      <c r="B1357" s="74" t="str">
        <f>VLOOKUP(A1357,'A VII.'!$A$10:$D$199,2,FALSE)</f>
        <v>JANELA DE CORRER, ACO, BATENTE 6 A 14 CM, VENEZIANA, PINT ANTICORROSIVA, SEM VIDRO, 4 FLS, 120 X 150 CM</v>
      </c>
      <c r="C1357" s="114">
        <v>1.0004999999999999</v>
      </c>
      <c r="D1357" s="7" t="str">
        <f>VLOOKUP(A1357,'A VII.'!$A$10:$D$199,3,FALSE)</f>
        <v>M2</v>
      </c>
      <c r="E1357" s="85">
        <f>'A VII.'!$D$63</f>
        <v>0</v>
      </c>
      <c r="F1357" s="59">
        <f>ROUND(C1357*E1357,2)</f>
        <v>0</v>
      </c>
    </row>
    <row r="1358" spans="1:6" ht="12.75" customHeight="1" x14ac:dyDescent="0.2">
      <c r="A1358" s="6" t="str">
        <f>'A VII.'!$A$19</f>
        <v>1.10</v>
      </c>
      <c r="B1358" s="74" t="str">
        <f>VLOOKUP(A1358,'A VII.'!$A$10:$D$199,2,FALSE)</f>
        <v>AREIA MÉDIA LAVADA</v>
      </c>
      <c r="C1358" s="114">
        <v>9.1999999999999998E-3</v>
      </c>
      <c r="D1358" s="7" t="str">
        <f>VLOOKUP(A1358,'A VII.'!$A$10:$D$199,3,FALSE)</f>
        <v>M3</v>
      </c>
      <c r="E1358" s="85">
        <f>'A VII.'!$D$19</f>
        <v>0</v>
      </c>
      <c r="F1358" s="59">
        <f t="shared" ref="F1358:F1372" si="77">ROUND(C1358*E1358,2)</f>
        <v>0</v>
      </c>
    </row>
    <row r="1359" spans="1:6" ht="12.75" customHeight="1" x14ac:dyDescent="0.2">
      <c r="A1359" s="6" t="str">
        <f>'A VII.'!$A$38</f>
        <v>1.29</v>
      </c>
      <c r="B1359" s="74" t="str">
        <f>VLOOKUP(A1359,'A VII.'!$A$10:$D$199,2,FALSE)</f>
        <v>CIMENTO PORTLAND CP II-E-32</v>
      </c>
      <c r="C1359" s="114">
        <v>3.5320800000000001</v>
      </c>
      <c r="D1359" s="7" t="str">
        <f>VLOOKUP(A1359,'A VII.'!$A$10:$D$199,3,FALSE)</f>
        <v>KG</v>
      </c>
      <c r="E1359" s="85">
        <f>'A VII.'!$D$38</f>
        <v>0</v>
      </c>
      <c r="F1359" s="59">
        <f t="shared" si="77"/>
        <v>0</v>
      </c>
    </row>
    <row r="1360" spans="1:6" ht="12.75" customHeight="1" x14ac:dyDescent="0.2">
      <c r="A1360" s="6"/>
      <c r="B1360" s="421"/>
      <c r="C1360" s="114"/>
      <c r="D1360" s="7"/>
      <c r="E1360" s="85"/>
      <c r="F1360" s="59">
        <f t="shared" si="77"/>
        <v>0</v>
      </c>
    </row>
    <row r="1361" spans="1:6" ht="12.75" customHeight="1" x14ac:dyDescent="0.2">
      <c r="A1361" s="6"/>
      <c r="B1361" s="421"/>
      <c r="C1361" s="114"/>
      <c r="D1361" s="7"/>
      <c r="E1361" s="85"/>
      <c r="F1361" s="59">
        <f t="shared" si="77"/>
        <v>0</v>
      </c>
    </row>
    <row r="1362" spans="1:6" ht="12.75" customHeight="1" x14ac:dyDescent="0.2">
      <c r="A1362" s="6"/>
      <c r="B1362" s="421"/>
      <c r="C1362" s="114"/>
      <c r="D1362" s="7"/>
      <c r="E1362" s="85"/>
      <c r="F1362" s="59">
        <f t="shared" si="77"/>
        <v>0</v>
      </c>
    </row>
    <row r="1363" spans="1:6" ht="12.75" customHeight="1" x14ac:dyDescent="0.2">
      <c r="A1363" s="6"/>
      <c r="B1363" s="421"/>
      <c r="C1363" s="114"/>
      <c r="D1363" s="7"/>
      <c r="E1363" s="85"/>
      <c r="F1363" s="59">
        <f t="shared" si="77"/>
        <v>0</v>
      </c>
    </row>
    <row r="1364" spans="1:6" ht="12.75" customHeight="1" x14ac:dyDescent="0.2">
      <c r="A1364" s="6"/>
      <c r="B1364" s="421"/>
      <c r="C1364" s="114"/>
      <c r="D1364" s="7"/>
      <c r="E1364" s="85"/>
      <c r="F1364" s="59">
        <f t="shared" si="77"/>
        <v>0</v>
      </c>
    </row>
    <row r="1365" spans="1:6" ht="12.75" customHeight="1" x14ac:dyDescent="0.2">
      <c r="A1365" s="6"/>
      <c r="B1365" s="421"/>
      <c r="C1365" s="114"/>
      <c r="D1365" s="7"/>
      <c r="E1365" s="85"/>
      <c r="F1365" s="59">
        <f t="shared" si="77"/>
        <v>0</v>
      </c>
    </row>
    <row r="1366" spans="1:6" ht="12.75" customHeight="1" x14ac:dyDescent="0.2">
      <c r="A1366" s="6"/>
      <c r="B1366" s="421"/>
      <c r="C1366" s="114"/>
      <c r="D1366" s="7"/>
      <c r="E1366" s="85"/>
      <c r="F1366" s="59">
        <f t="shared" si="77"/>
        <v>0</v>
      </c>
    </row>
    <row r="1367" spans="1:6" ht="12.75" customHeight="1" x14ac:dyDescent="0.2">
      <c r="A1367" s="6"/>
      <c r="B1367" s="421"/>
      <c r="C1367" s="114"/>
      <c r="D1367" s="7"/>
      <c r="E1367" s="85"/>
      <c r="F1367" s="59">
        <f t="shared" si="77"/>
        <v>0</v>
      </c>
    </row>
    <row r="1368" spans="1:6" ht="12.75" customHeight="1" x14ac:dyDescent="0.2">
      <c r="A1368" s="6"/>
      <c r="B1368" s="421"/>
      <c r="C1368" s="114"/>
      <c r="D1368" s="423"/>
      <c r="E1368" s="85"/>
      <c r="F1368" s="59">
        <f t="shared" si="77"/>
        <v>0</v>
      </c>
    </row>
    <row r="1369" spans="1:6" ht="12.75" customHeight="1" x14ac:dyDescent="0.2">
      <c r="A1369" s="6"/>
      <c r="B1369" s="421"/>
      <c r="C1369" s="114"/>
      <c r="D1369" s="423"/>
      <c r="E1369" s="85"/>
      <c r="F1369" s="59">
        <f t="shared" si="77"/>
        <v>0</v>
      </c>
    </row>
    <row r="1370" spans="1:6" ht="12.75" customHeight="1" x14ac:dyDescent="0.2">
      <c r="A1370" s="6"/>
      <c r="B1370" s="421"/>
      <c r="C1370" s="114"/>
      <c r="D1370" s="423"/>
      <c r="E1370" s="85"/>
      <c r="F1370" s="59">
        <f t="shared" si="77"/>
        <v>0</v>
      </c>
    </row>
    <row r="1371" spans="1:6" ht="12.75" customHeight="1" x14ac:dyDescent="0.2">
      <c r="A1371" s="3"/>
      <c r="C1371" s="114"/>
      <c r="E1371" s="85"/>
      <c r="F1371" s="59">
        <f t="shared" si="77"/>
        <v>0</v>
      </c>
    </row>
    <row r="1372" spans="1:6" ht="12.75" customHeight="1" x14ac:dyDescent="0.2">
      <c r="A1372" s="3"/>
      <c r="C1372" s="114"/>
      <c r="E1372" s="85"/>
      <c r="F1372" s="59">
        <f t="shared" si="77"/>
        <v>0</v>
      </c>
    </row>
    <row r="1373" spans="1:6" ht="12.75" customHeight="1" x14ac:dyDescent="0.2">
      <c r="A1373" s="3"/>
      <c r="B1373" s="86" t="s">
        <v>258</v>
      </c>
      <c r="C1373" s="87"/>
      <c r="D1373" s="88"/>
      <c r="E1373" s="89"/>
      <c r="F1373" s="90">
        <f>SUM(F1357:F1372)</f>
        <v>0</v>
      </c>
    </row>
    <row r="1374" spans="1:6" ht="12.75" customHeight="1" x14ac:dyDescent="0.2">
      <c r="A1374" s="3"/>
      <c r="B1374" s="91" t="s">
        <v>70</v>
      </c>
      <c r="C1374" s="15">
        <f>$D$8</f>
        <v>0</v>
      </c>
      <c r="D1374" s="92"/>
      <c r="E1374" s="93"/>
      <c r="F1374" s="94">
        <f>ROUND(F1373*C1374,2)</f>
        <v>0</v>
      </c>
    </row>
    <row r="1375" spans="1:6" ht="12.75" customHeight="1" x14ac:dyDescent="0.2">
      <c r="A1375" s="95"/>
      <c r="B1375" s="424" t="s">
        <v>259</v>
      </c>
      <c r="C1375" s="425"/>
      <c r="D1375" s="425"/>
      <c r="E1375" s="426"/>
      <c r="F1375" s="96">
        <f>F1373+F1374</f>
        <v>0</v>
      </c>
    </row>
    <row r="1376" spans="1:6" ht="12.75" customHeight="1" x14ac:dyDescent="0.2">
      <c r="A1376" s="1" t="s">
        <v>5</v>
      </c>
      <c r="B1376" s="418" t="s">
        <v>267</v>
      </c>
      <c r="C1376" s="419" t="s">
        <v>263</v>
      </c>
      <c r="D1376" s="419" t="s">
        <v>264</v>
      </c>
      <c r="E1376" s="420" t="s">
        <v>265</v>
      </c>
      <c r="F1376" s="57" t="s">
        <v>266</v>
      </c>
    </row>
    <row r="1377" spans="1:6" ht="12.75" customHeight="1" x14ac:dyDescent="0.2">
      <c r="A1377" s="3"/>
      <c r="B1377" s="71"/>
      <c r="C1377" s="114"/>
      <c r="E1377" s="85"/>
      <c r="F1377" s="59">
        <f t="shared" ref="F1377:F1386" si="78">ROUND(C1377*E1377,2)</f>
        <v>0</v>
      </c>
    </row>
    <row r="1378" spans="1:6" ht="12.75" customHeight="1" x14ac:dyDescent="0.2">
      <c r="A1378" s="3"/>
      <c r="C1378" s="114"/>
      <c r="E1378" s="85"/>
      <c r="F1378" s="59">
        <f t="shared" si="78"/>
        <v>0</v>
      </c>
    </row>
    <row r="1379" spans="1:6" ht="12.75" customHeight="1" x14ac:dyDescent="0.2">
      <c r="A1379" s="3"/>
      <c r="C1379" s="114"/>
      <c r="E1379" s="85"/>
      <c r="F1379" s="59">
        <f t="shared" si="78"/>
        <v>0</v>
      </c>
    </row>
    <row r="1380" spans="1:6" ht="12.75" customHeight="1" x14ac:dyDescent="0.2">
      <c r="A1380" s="3"/>
      <c r="C1380" s="114"/>
      <c r="E1380" s="85"/>
      <c r="F1380" s="59">
        <f t="shared" si="78"/>
        <v>0</v>
      </c>
    </row>
    <row r="1381" spans="1:6" ht="12.75" customHeight="1" x14ac:dyDescent="0.2">
      <c r="A1381" s="3"/>
      <c r="C1381" s="114"/>
      <c r="E1381" s="85"/>
      <c r="F1381" s="59">
        <f t="shared" si="78"/>
        <v>0</v>
      </c>
    </row>
    <row r="1382" spans="1:6" ht="12.75" customHeight="1" x14ac:dyDescent="0.2">
      <c r="A1382" s="3"/>
      <c r="C1382" s="114"/>
      <c r="E1382" s="85"/>
      <c r="F1382" s="59">
        <f t="shared" si="78"/>
        <v>0</v>
      </c>
    </row>
    <row r="1383" spans="1:6" ht="12.75" customHeight="1" x14ac:dyDescent="0.2">
      <c r="A1383" s="3"/>
      <c r="C1383" s="114"/>
      <c r="E1383" s="85"/>
      <c r="F1383" s="59">
        <f t="shared" si="78"/>
        <v>0</v>
      </c>
    </row>
    <row r="1384" spans="1:6" ht="12.75" customHeight="1" x14ac:dyDescent="0.2">
      <c r="A1384" s="3"/>
      <c r="C1384" s="114"/>
      <c r="E1384" s="85"/>
      <c r="F1384" s="59">
        <f t="shared" si="78"/>
        <v>0</v>
      </c>
    </row>
    <row r="1385" spans="1:6" ht="12.75" customHeight="1" x14ac:dyDescent="0.2">
      <c r="A1385" s="3"/>
      <c r="C1385" s="114"/>
      <c r="E1385" s="85"/>
      <c r="F1385" s="59">
        <f t="shared" si="78"/>
        <v>0</v>
      </c>
    </row>
    <row r="1386" spans="1:6" ht="12.75" customHeight="1" x14ac:dyDescent="0.2">
      <c r="A1386" s="3"/>
      <c r="C1386" s="114"/>
      <c r="E1386" s="85"/>
      <c r="F1386" s="59">
        <f t="shared" si="78"/>
        <v>0</v>
      </c>
    </row>
    <row r="1387" spans="1:6" ht="12.75" customHeight="1" x14ac:dyDescent="0.2">
      <c r="A1387" s="3"/>
      <c r="B1387" s="86" t="s">
        <v>258</v>
      </c>
      <c r="C1387" s="87"/>
      <c r="D1387" s="88"/>
      <c r="E1387" s="89"/>
      <c r="F1387" s="90">
        <f>SUM(F1377:F1386)</f>
        <v>0</v>
      </c>
    </row>
    <row r="1388" spans="1:6" ht="12.75" customHeight="1" x14ac:dyDescent="0.2">
      <c r="A1388" s="3"/>
      <c r="B1388" s="91" t="s">
        <v>70</v>
      </c>
      <c r="C1388" s="15">
        <f>$D$8</f>
        <v>0</v>
      </c>
      <c r="D1388" s="92"/>
      <c r="E1388" s="93"/>
      <c r="F1388" s="94">
        <f>ROUND(C1388*F1387,2)</f>
        <v>0</v>
      </c>
    </row>
    <row r="1389" spans="1:6" ht="12.75" customHeight="1" x14ac:dyDescent="0.2">
      <c r="A1389" s="95"/>
      <c r="B1389" s="424" t="s">
        <v>260</v>
      </c>
      <c r="C1389" s="425"/>
      <c r="D1389" s="425"/>
      <c r="E1389" s="426"/>
      <c r="F1389" s="96">
        <f>F1387+F1388</f>
        <v>0</v>
      </c>
    </row>
    <row r="1390" spans="1:6" ht="12.75" customHeight="1" x14ac:dyDescent="0.2">
      <c r="A1390" s="97" t="s">
        <v>54</v>
      </c>
      <c r="B1390" s="427" t="s">
        <v>268</v>
      </c>
      <c r="C1390" s="428" t="s">
        <v>263</v>
      </c>
      <c r="D1390" s="429" t="s">
        <v>264</v>
      </c>
      <c r="E1390" s="430" t="s">
        <v>265</v>
      </c>
      <c r="F1390" s="57" t="s">
        <v>266</v>
      </c>
    </row>
    <row r="1391" spans="1:6" ht="12.75" customHeight="1" x14ac:dyDescent="0.2">
      <c r="A1391" s="3" t="str">
        <f>'A VII.'!A$196</f>
        <v>3.16</v>
      </c>
      <c r="B1391" s="74" t="s">
        <v>189</v>
      </c>
      <c r="C1391" s="114">
        <v>1.1168</v>
      </c>
      <c r="D1391" s="54" t="str">
        <f>VLOOKUP(A1391,'A VII.'!$A$10:$D$199,3,FALSE)</f>
        <v>H</v>
      </c>
      <c r="E1391" s="85">
        <f>'A VII.'!$D$196</f>
        <v>0</v>
      </c>
      <c r="F1391" s="59">
        <f t="shared" ref="F1391:F1397" si="79">ROUND(C1391*E1391,2)</f>
        <v>0</v>
      </c>
    </row>
    <row r="1392" spans="1:6" ht="12.75" customHeight="1" x14ac:dyDescent="0.2">
      <c r="A1392" s="3" t="str">
        <f>'A VII.'!$A$192</f>
        <v>3.12</v>
      </c>
      <c r="B1392" s="74" t="s">
        <v>185</v>
      </c>
      <c r="C1392" s="114">
        <v>2.0990000000000002</v>
      </c>
      <c r="D1392" s="54" t="str">
        <f>VLOOKUP(A1392,'A VII.'!$A$10:$D$199,3,FALSE)</f>
        <v>H</v>
      </c>
      <c r="E1392" s="85">
        <f>'A VII.'!$D$192</f>
        <v>0</v>
      </c>
      <c r="F1392" s="59">
        <f t="shared" si="79"/>
        <v>0</v>
      </c>
    </row>
    <row r="1393" spans="1:6" ht="12.75" customHeight="1" x14ac:dyDescent="0.2">
      <c r="A1393" s="3"/>
      <c r="C1393" s="114"/>
      <c r="E1393" s="85"/>
      <c r="F1393" s="59">
        <f t="shared" si="79"/>
        <v>0</v>
      </c>
    </row>
    <row r="1394" spans="1:6" ht="12.75" customHeight="1" x14ac:dyDescent="0.2">
      <c r="A1394" s="3"/>
      <c r="C1394" s="114"/>
      <c r="E1394" s="85"/>
      <c r="F1394" s="59">
        <f t="shared" si="79"/>
        <v>0</v>
      </c>
    </row>
    <row r="1395" spans="1:6" ht="12.75" customHeight="1" x14ac:dyDescent="0.2">
      <c r="A1395" s="3"/>
      <c r="C1395" s="114"/>
      <c r="E1395" s="85"/>
      <c r="F1395" s="59">
        <f t="shared" si="79"/>
        <v>0</v>
      </c>
    </row>
    <row r="1396" spans="1:6" ht="12.75" customHeight="1" x14ac:dyDescent="0.2">
      <c r="A1396" s="3"/>
      <c r="C1396" s="114"/>
      <c r="E1396" s="85"/>
      <c r="F1396" s="59">
        <f t="shared" si="79"/>
        <v>0</v>
      </c>
    </row>
    <row r="1397" spans="1:6" ht="12.75" customHeight="1" x14ac:dyDescent="0.2">
      <c r="A1397" s="3"/>
      <c r="C1397" s="114"/>
      <c r="E1397" s="85"/>
      <c r="F1397" s="59">
        <f t="shared" si="79"/>
        <v>0</v>
      </c>
    </row>
    <row r="1398" spans="1:6" ht="12.75" customHeight="1" x14ac:dyDescent="0.2">
      <c r="A1398" s="3"/>
      <c r="B1398" s="86" t="s">
        <v>258</v>
      </c>
      <c r="C1398" s="87"/>
      <c r="D1398" s="88"/>
      <c r="E1398" s="89"/>
      <c r="F1398" s="90">
        <f>SUM(F1391:F1397)</f>
        <v>0</v>
      </c>
    </row>
    <row r="1399" spans="1:6" ht="12.75" customHeight="1" x14ac:dyDescent="0.2">
      <c r="A1399" s="3"/>
      <c r="B1399" s="91" t="s">
        <v>261</v>
      </c>
      <c r="C1399" s="15">
        <f>'A IX.'!$C$45</f>
        <v>0</v>
      </c>
      <c r="D1399" s="92"/>
      <c r="E1399" s="93"/>
      <c r="F1399" s="94">
        <f>ROUND(F1398*C1399,2)</f>
        <v>0</v>
      </c>
    </row>
    <row r="1400" spans="1:6" ht="12.75" customHeight="1" x14ac:dyDescent="0.2">
      <c r="A1400" s="3"/>
      <c r="B1400" s="91" t="s">
        <v>70</v>
      </c>
      <c r="C1400" s="15">
        <f>$D$8</f>
        <v>0</v>
      </c>
      <c r="D1400" s="92"/>
      <c r="E1400" s="93"/>
      <c r="F1400" s="94">
        <f>ROUND(SUM(F1398:F1399)*C1400,2)</f>
        <v>0</v>
      </c>
    </row>
    <row r="1401" spans="1:6" ht="12.75" customHeight="1" thickBot="1" x14ac:dyDescent="0.25">
      <c r="A1401" s="98"/>
      <c r="B1401" s="99" t="s">
        <v>262</v>
      </c>
      <c r="C1401" s="100"/>
      <c r="D1401" s="100"/>
      <c r="E1401" s="101"/>
      <c r="F1401" s="102">
        <f>SUM(F1398:F1400)</f>
        <v>0</v>
      </c>
    </row>
    <row r="1402" spans="1:6" ht="12.75" customHeight="1" thickBot="1" x14ac:dyDescent="0.25">
      <c r="A1402" s="81"/>
      <c r="B1402" s="82"/>
      <c r="C1402" s="83"/>
      <c r="D1402" s="83"/>
      <c r="E1402" s="84"/>
      <c r="F1402" s="103"/>
    </row>
    <row r="1403" spans="1:6" ht="30" customHeight="1" x14ac:dyDescent="0.2">
      <c r="A1403" s="5" t="str">
        <f>'A IV.A'!$A$56</f>
        <v>3.2.7</v>
      </c>
      <c r="B1403" s="416" t="str">
        <f>'A IV.A'!$B$56</f>
        <v>TAMPA METÁLICA EM CHAPA DE AÇO GALVANIZADA Nº 16 - PADRÃO SEMAE</v>
      </c>
      <c r="C1403" s="526" t="s">
        <v>269</v>
      </c>
      <c r="D1403" s="527"/>
      <c r="E1403" s="417" t="str">
        <f>'A IV.A'!$C$56</f>
        <v>M2</v>
      </c>
      <c r="F1403" s="58">
        <f>ROUND(F1423+F1437+F1449,2)</f>
        <v>0</v>
      </c>
    </row>
    <row r="1404" spans="1:6" ht="12.75" customHeight="1" x14ac:dyDescent="0.2">
      <c r="A1404" s="1" t="s">
        <v>17</v>
      </c>
      <c r="B1404" s="418" t="s">
        <v>162</v>
      </c>
      <c r="C1404" s="419" t="s">
        <v>263</v>
      </c>
      <c r="D1404" s="419" t="s">
        <v>264</v>
      </c>
      <c r="E1404" s="420" t="s">
        <v>265</v>
      </c>
      <c r="F1404" s="57" t="s">
        <v>266</v>
      </c>
    </row>
    <row r="1405" spans="1:6" ht="12.75" customHeight="1" x14ac:dyDescent="0.2">
      <c r="A1405" s="6" t="str">
        <f>'A VII.'!$A$19</f>
        <v>1.10</v>
      </c>
      <c r="B1405" s="74" t="str">
        <f>VLOOKUP(A1405,'A VII.'!$A$10:$D$199,2,FALSE)</f>
        <v>AREIA MÉDIA LAVADA</v>
      </c>
      <c r="C1405" s="114">
        <f>5*0.0239</f>
        <v>0.11950000000000001</v>
      </c>
      <c r="D1405" s="7" t="str">
        <f>VLOOKUP(A1405,'A VII.'!$A$10:$D$199,3,FALSE)</f>
        <v>M3</v>
      </c>
      <c r="E1405" s="85">
        <f>'A VII.'!$D$19</f>
        <v>0</v>
      </c>
      <c r="F1405" s="59">
        <f>ROUND(C1405*E1405,2)</f>
        <v>0</v>
      </c>
    </row>
    <row r="1406" spans="1:6" ht="12.75" customHeight="1" x14ac:dyDescent="0.2">
      <c r="A1406" s="6" t="str">
        <f>'A VII.'!$A$31</f>
        <v>1.22</v>
      </c>
      <c r="B1406" s="74" t="str">
        <f>VLOOKUP(A1406,'A VII.'!$A$10:$D$199,2,FALSE)</f>
        <v>CANTONEIRA DE AÇO GALVANIZADO COM ABAS IGUAIS DE 1" X 1/8" - 25,4 X 3,17 MM - (L x E) - 1,20 KG/M</v>
      </c>
      <c r="C1406" s="114">
        <v>4</v>
      </c>
      <c r="D1406" s="7" t="str">
        <f>VLOOKUP(A1406,'A VII.'!$A$10:$D$199,3,FALSE)</f>
        <v>M</v>
      </c>
      <c r="E1406" s="85">
        <f>'A VII.'!$D$31</f>
        <v>0</v>
      </c>
      <c r="F1406" s="59">
        <f t="shared" ref="F1406:F1420" si="80">ROUND(C1406*E1406,2)</f>
        <v>0</v>
      </c>
    </row>
    <row r="1407" spans="1:6" ht="12.75" customHeight="1" x14ac:dyDescent="0.2">
      <c r="A1407" s="6" t="str">
        <f>'A VII.'!$A$38</f>
        <v>1.29</v>
      </c>
      <c r="B1407" s="74" t="str">
        <f>VLOOKUP(A1407,'A VII.'!$A$10:$D$199,2,FALSE)</f>
        <v>CIMENTO PORTLAND CP II-E-32</v>
      </c>
      <c r="C1407" s="114">
        <f>5*4.1</f>
        <v>20.5</v>
      </c>
      <c r="D1407" s="7" t="str">
        <f>VLOOKUP(A1407,'A VII.'!$A$10:$D$199,3,FALSE)</f>
        <v>KG</v>
      </c>
      <c r="E1407" s="85">
        <f>'A VII.'!$D$38</f>
        <v>0</v>
      </c>
      <c r="F1407" s="59">
        <f t="shared" si="80"/>
        <v>0</v>
      </c>
    </row>
    <row r="1408" spans="1:6" ht="12.75" customHeight="1" x14ac:dyDescent="0.2">
      <c r="A1408" s="6" t="str">
        <f>'A VII.'!$A$35</f>
        <v>1.26</v>
      </c>
      <c r="B1408" s="74" t="str">
        <f>VLOOKUP(A1408,'A VII.'!$A$10:$D$199,2,FALSE)</f>
        <v>CHAPA DE ACO GALVANIZADA BITOLA GSG 16, E = 1,55 MM (12,40 KG/M2)</v>
      </c>
      <c r="C1408" s="114">
        <v>12.4</v>
      </c>
      <c r="D1408" s="7" t="str">
        <f>VLOOKUP(A1408,'A VII.'!$A$10:$D$199,3,FALSE)</f>
        <v>KG</v>
      </c>
      <c r="E1408" s="85">
        <f>'A VII.'!$D$35</f>
        <v>0</v>
      </c>
      <c r="F1408" s="59">
        <f t="shared" si="80"/>
        <v>0</v>
      </c>
    </row>
    <row r="1409" spans="1:6" ht="12.75" customHeight="1" x14ac:dyDescent="0.2">
      <c r="A1409" s="6" t="str">
        <f>'A VII.'!$A$26</f>
        <v>1.17</v>
      </c>
      <c r="B1409" s="74" t="str">
        <f>VLOOKUP(A1409,'A VII.'!$A$10:$D$199,2,FALSE)</f>
        <v>CADEADO SIMPLES, CORPO EM LATAO MACICO, COM LARGURA DE 50 MM E ALTURA DE APROX 40 MM, HASTE CEMENTADA EM ACO TEMPERADO COM DIAMETRO DE APROX 8,0 MM, INCLUINDO 2 CHAVES</v>
      </c>
      <c r="C1409" s="114">
        <v>1</v>
      </c>
      <c r="D1409" s="7" t="str">
        <f>VLOOKUP(A1409,'A VII.'!$A$10:$D$199,3,FALSE)</f>
        <v>UN</v>
      </c>
      <c r="E1409" s="85">
        <f>'A VII.'!D$26</f>
        <v>0</v>
      </c>
      <c r="F1409" s="59">
        <f t="shared" si="80"/>
        <v>0</v>
      </c>
    </row>
    <row r="1410" spans="1:6" ht="12.75" customHeight="1" x14ac:dyDescent="0.2">
      <c r="A1410" s="6"/>
      <c r="B1410" s="421"/>
      <c r="C1410" s="114"/>
      <c r="D1410" s="7"/>
      <c r="E1410" s="85"/>
      <c r="F1410" s="59">
        <f t="shared" si="80"/>
        <v>0</v>
      </c>
    </row>
    <row r="1411" spans="1:6" ht="12.75" customHeight="1" x14ac:dyDescent="0.2">
      <c r="A1411" s="6"/>
      <c r="B1411" s="421"/>
      <c r="C1411" s="114"/>
      <c r="D1411" s="7"/>
      <c r="E1411" s="85"/>
      <c r="F1411" s="59">
        <f t="shared" si="80"/>
        <v>0</v>
      </c>
    </row>
    <row r="1412" spans="1:6" ht="12.75" customHeight="1" x14ac:dyDescent="0.2">
      <c r="A1412" s="6"/>
      <c r="B1412" s="421"/>
      <c r="C1412" s="114"/>
      <c r="D1412" s="7"/>
      <c r="E1412" s="85"/>
      <c r="F1412" s="59">
        <f t="shared" si="80"/>
        <v>0</v>
      </c>
    </row>
    <row r="1413" spans="1:6" ht="12.75" customHeight="1" x14ac:dyDescent="0.2">
      <c r="A1413" s="6"/>
      <c r="B1413" s="421"/>
      <c r="C1413" s="114"/>
      <c r="D1413" s="7"/>
      <c r="E1413" s="85"/>
      <c r="F1413" s="59">
        <f t="shared" si="80"/>
        <v>0</v>
      </c>
    </row>
    <row r="1414" spans="1:6" ht="12.75" customHeight="1" x14ac:dyDescent="0.2">
      <c r="A1414" s="6"/>
      <c r="B1414" s="421"/>
      <c r="C1414" s="114"/>
      <c r="D1414" s="7"/>
      <c r="E1414" s="85"/>
      <c r="F1414" s="59">
        <f t="shared" si="80"/>
        <v>0</v>
      </c>
    </row>
    <row r="1415" spans="1:6" ht="12.75" customHeight="1" x14ac:dyDescent="0.2">
      <c r="A1415" s="6"/>
      <c r="B1415" s="421"/>
      <c r="C1415" s="114"/>
      <c r="D1415" s="7"/>
      <c r="E1415" s="85"/>
      <c r="F1415" s="59">
        <f t="shared" si="80"/>
        <v>0</v>
      </c>
    </row>
    <row r="1416" spans="1:6" ht="12.75" customHeight="1" x14ac:dyDescent="0.2">
      <c r="A1416" s="6"/>
      <c r="B1416" s="421"/>
      <c r="C1416" s="114"/>
      <c r="D1416" s="423"/>
      <c r="E1416" s="85"/>
      <c r="F1416" s="59">
        <f t="shared" si="80"/>
        <v>0</v>
      </c>
    </row>
    <row r="1417" spans="1:6" ht="12.75" customHeight="1" x14ac:dyDescent="0.2">
      <c r="A1417" s="6"/>
      <c r="B1417" s="421"/>
      <c r="C1417" s="114"/>
      <c r="D1417" s="423"/>
      <c r="E1417" s="85"/>
      <c r="F1417" s="59">
        <f t="shared" si="80"/>
        <v>0</v>
      </c>
    </row>
    <row r="1418" spans="1:6" ht="12.75" customHeight="1" x14ac:dyDescent="0.2">
      <c r="A1418" s="6"/>
      <c r="B1418" s="421"/>
      <c r="C1418" s="114"/>
      <c r="D1418" s="423"/>
      <c r="E1418" s="85"/>
      <c r="F1418" s="59">
        <f t="shared" si="80"/>
        <v>0</v>
      </c>
    </row>
    <row r="1419" spans="1:6" ht="12.75" customHeight="1" x14ac:dyDescent="0.2">
      <c r="A1419" s="3"/>
      <c r="C1419" s="114"/>
      <c r="E1419" s="85"/>
      <c r="F1419" s="59">
        <f t="shared" si="80"/>
        <v>0</v>
      </c>
    </row>
    <row r="1420" spans="1:6" ht="12.75" customHeight="1" x14ac:dyDescent="0.2">
      <c r="A1420" s="3"/>
      <c r="C1420" s="114"/>
      <c r="E1420" s="85"/>
      <c r="F1420" s="59">
        <f t="shared" si="80"/>
        <v>0</v>
      </c>
    </row>
    <row r="1421" spans="1:6" ht="12.75" customHeight="1" x14ac:dyDescent="0.2">
      <c r="A1421" s="3"/>
      <c r="B1421" s="86" t="s">
        <v>258</v>
      </c>
      <c r="C1421" s="87"/>
      <c r="D1421" s="88"/>
      <c r="E1421" s="89"/>
      <c r="F1421" s="90">
        <f>SUM(F1405:F1420)</f>
        <v>0</v>
      </c>
    </row>
    <row r="1422" spans="1:6" ht="12.75" customHeight="1" x14ac:dyDescent="0.2">
      <c r="A1422" s="3"/>
      <c r="B1422" s="91" t="s">
        <v>70</v>
      </c>
      <c r="C1422" s="15">
        <f>$D$8</f>
        <v>0</v>
      </c>
      <c r="D1422" s="92"/>
      <c r="E1422" s="93"/>
      <c r="F1422" s="94">
        <f>ROUND(F1421*C1422,2)</f>
        <v>0</v>
      </c>
    </row>
    <row r="1423" spans="1:6" ht="12.75" customHeight="1" x14ac:dyDescent="0.2">
      <c r="A1423" s="95"/>
      <c r="B1423" s="424" t="s">
        <v>259</v>
      </c>
      <c r="C1423" s="425"/>
      <c r="D1423" s="425"/>
      <c r="E1423" s="426"/>
      <c r="F1423" s="96">
        <f>F1421+F1422</f>
        <v>0</v>
      </c>
    </row>
    <row r="1424" spans="1:6" ht="12.75" customHeight="1" x14ac:dyDescent="0.2">
      <c r="A1424" s="1" t="s">
        <v>5</v>
      </c>
      <c r="B1424" s="418" t="s">
        <v>267</v>
      </c>
      <c r="C1424" s="419" t="s">
        <v>263</v>
      </c>
      <c r="D1424" s="419" t="s">
        <v>264</v>
      </c>
      <c r="E1424" s="420" t="s">
        <v>265</v>
      </c>
      <c r="F1424" s="57" t="s">
        <v>266</v>
      </c>
    </row>
    <row r="1425" spans="1:6" ht="12.75" customHeight="1" x14ac:dyDescent="0.2">
      <c r="A1425" s="3" t="str">
        <f>'A VII.'!$A$159</f>
        <v>2.17</v>
      </c>
      <c r="B1425" s="74" t="str">
        <f>VLOOKUP(A1425,'A VII.'!$A$10:$D$199,2,FALSE)</f>
        <v>GRUPO DE SOLDA 600A, GERADOR DIESEL 60 CV PARA SOLDA ELÉTRICA, SOBRE RODAS, MOTOR 4 CILINDROS - CHP</v>
      </c>
      <c r="C1425" s="114">
        <v>0.75</v>
      </c>
      <c r="D1425" s="54" t="str">
        <f>VLOOKUP(A1425,'A VII.'!$A$10:$D$199,3,FALSE)</f>
        <v>CHP</v>
      </c>
      <c r="E1425" s="85">
        <f>'A VII.'!$D$159</f>
        <v>0</v>
      </c>
      <c r="F1425" s="59">
        <f t="shared" ref="F1425:F1434" si="81">ROUND(C1425*E1425,2)</f>
        <v>0</v>
      </c>
    </row>
    <row r="1426" spans="1:6" ht="12.75" customHeight="1" x14ac:dyDescent="0.2">
      <c r="A1426" s="3"/>
      <c r="C1426" s="114"/>
      <c r="E1426" s="85"/>
      <c r="F1426" s="59">
        <f t="shared" si="81"/>
        <v>0</v>
      </c>
    </row>
    <row r="1427" spans="1:6" ht="12.75" customHeight="1" x14ac:dyDescent="0.2">
      <c r="A1427" s="3"/>
      <c r="C1427" s="114"/>
      <c r="E1427" s="85"/>
      <c r="F1427" s="59">
        <f t="shared" si="81"/>
        <v>0</v>
      </c>
    </row>
    <row r="1428" spans="1:6" ht="12.75" customHeight="1" x14ac:dyDescent="0.2">
      <c r="A1428" s="3"/>
      <c r="C1428" s="114"/>
      <c r="E1428" s="85"/>
      <c r="F1428" s="59">
        <f t="shared" si="81"/>
        <v>0</v>
      </c>
    </row>
    <row r="1429" spans="1:6" ht="12.75" customHeight="1" x14ac:dyDescent="0.2">
      <c r="A1429" s="3"/>
      <c r="C1429" s="114"/>
      <c r="E1429" s="85"/>
      <c r="F1429" s="59">
        <f t="shared" si="81"/>
        <v>0</v>
      </c>
    </row>
    <row r="1430" spans="1:6" ht="12.75" customHeight="1" x14ac:dyDescent="0.2">
      <c r="A1430" s="3"/>
      <c r="C1430" s="114"/>
      <c r="E1430" s="85"/>
      <c r="F1430" s="59">
        <f t="shared" si="81"/>
        <v>0</v>
      </c>
    </row>
    <row r="1431" spans="1:6" ht="12.75" customHeight="1" x14ac:dyDescent="0.2">
      <c r="A1431" s="3"/>
      <c r="C1431" s="114"/>
      <c r="E1431" s="85"/>
      <c r="F1431" s="59">
        <f t="shared" si="81"/>
        <v>0</v>
      </c>
    </row>
    <row r="1432" spans="1:6" ht="12.75" customHeight="1" x14ac:dyDescent="0.2">
      <c r="A1432" s="3"/>
      <c r="C1432" s="114"/>
      <c r="E1432" s="85"/>
      <c r="F1432" s="59">
        <f t="shared" si="81"/>
        <v>0</v>
      </c>
    </row>
    <row r="1433" spans="1:6" ht="12.75" customHeight="1" x14ac:dyDescent="0.2">
      <c r="A1433" s="3"/>
      <c r="C1433" s="114"/>
      <c r="E1433" s="85"/>
      <c r="F1433" s="59">
        <f t="shared" si="81"/>
        <v>0</v>
      </c>
    </row>
    <row r="1434" spans="1:6" ht="12.75" customHeight="1" x14ac:dyDescent="0.2">
      <c r="A1434" s="3"/>
      <c r="C1434" s="114"/>
      <c r="E1434" s="85"/>
      <c r="F1434" s="59">
        <f t="shared" si="81"/>
        <v>0</v>
      </c>
    </row>
    <row r="1435" spans="1:6" ht="12.75" customHeight="1" x14ac:dyDescent="0.2">
      <c r="A1435" s="3"/>
      <c r="B1435" s="86" t="s">
        <v>258</v>
      </c>
      <c r="C1435" s="87"/>
      <c r="D1435" s="88"/>
      <c r="E1435" s="89"/>
      <c r="F1435" s="90">
        <f>SUM(F1425:F1434)</f>
        <v>0</v>
      </c>
    </row>
    <row r="1436" spans="1:6" ht="12.75" customHeight="1" x14ac:dyDescent="0.2">
      <c r="A1436" s="3"/>
      <c r="B1436" s="91" t="s">
        <v>70</v>
      </c>
      <c r="C1436" s="15">
        <f>$D$8</f>
        <v>0</v>
      </c>
      <c r="D1436" s="92"/>
      <c r="E1436" s="93"/>
      <c r="F1436" s="94">
        <f>ROUND(C1436*F1435,2)</f>
        <v>0</v>
      </c>
    </row>
    <row r="1437" spans="1:6" ht="12.75" customHeight="1" x14ac:dyDescent="0.2">
      <c r="A1437" s="95"/>
      <c r="B1437" s="424" t="s">
        <v>260</v>
      </c>
      <c r="C1437" s="425"/>
      <c r="D1437" s="425"/>
      <c r="E1437" s="426"/>
      <c r="F1437" s="96">
        <f>F1435+F1436</f>
        <v>0</v>
      </c>
    </row>
    <row r="1438" spans="1:6" ht="12.75" customHeight="1" x14ac:dyDescent="0.2">
      <c r="A1438" s="97" t="s">
        <v>54</v>
      </c>
      <c r="B1438" s="427" t="s">
        <v>268</v>
      </c>
      <c r="C1438" s="428" t="s">
        <v>263</v>
      </c>
      <c r="D1438" s="429" t="s">
        <v>264</v>
      </c>
      <c r="E1438" s="430" t="s">
        <v>265</v>
      </c>
      <c r="F1438" s="57" t="s">
        <v>266</v>
      </c>
    </row>
    <row r="1439" spans="1:6" ht="12.75" customHeight="1" x14ac:dyDescent="0.2">
      <c r="A1439" s="3" t="str">
        <f>'A VII.'!$A$192</f>
        <v>3.12</v>
      </c>
      <c r="B1439" s="74" t="s">
        <v>185</v>
      </c>
      <c r="C1439" s="114">
        <v>1</v>
      </c>
      <c r="D1439" s="54" t="str">
        <f>VLOOKUP(A1439,'A VII.'!$A$10:$D$199,3,FALSE)</f>
        <v>H</v>
      </c>
      <c r="E1439" s="85">
        <f>'A VII.'!$D$192</f>
        <v>0</v>
      </c>
      <c r="F1439" s="59">
        <f t="shared" ref="F1439:F1445" si="82">ROUND(C1439*E1439,2)</f>
        <v>0</v>
      </c>
    </row>
    <row r="1440" spans="1:6" ht="12.75" customHeight="1" x14ac:dyDescent="0.2">
      <c r="A1440" s="3" t="str">
        <f>'A VII.'!$A$196</f>
        <v>3.16</v>
      </c>
      <c r="B1440" s="74" t="s">
        <v>189</v>
      </c>
      <c r="C1440" s="114">
        <v>1</v>
      </c>
      <c r="D1440" s="54" t="str">
        <f>VLOOKUP(A1440,'A VII.'!$A$10:$D$199,3,FALSE)</f>
        <v>H</v>
      </c>
      <c r="E1440" s="85">
        <f>'A VII.'!$D$196</f>
        <v>0</v>
      </c>
      <c r="F1440" s="59">
        <f t="shared" si="82"/>
        <v>0</v>
      </c>
    </row>
    <row r="1441" spans="1:6" ht="12.75" customHeight="1" x14ac:dyDescent="0.2">
      <c r="A1441" s="3" t="str">
        <f>'A VII.'!$A$195</f>
        <v>3.15</v>
      </c>
      <c r="B1441" s="74" t="s">
        <v>188</v>
      </c>
      <c r="C1441" s="114">
        <v>2</v>
      </c>
      <c r="D1441" s="54" t="str">
        <f>VLOOKUP(A1441,'A VII.'!$A$10:$D$199,3,FALSE)</f>
        <v>H</v>
      </c>
      <c r="E1441" s="85">
        <f>'A VII.'!$D$195</f>
        <v>0</v>
      </c>
      <c r="F1441" s="59">
        <f t="shared" si="82"/>
        <v>0</v>
      </c>
    </row>
    <row r="1442" spans="1:6" ht="12.75" customHeight="1" x14ac:dyDescent="0.2">
      <c r="A1442" s="3"/>
      <c r="C1442" s="114"/>
      <c r="E1442" s="85"/>
      <c r="F1442" s="59">
        <f t="shared" si="82"/>
        <v>0</v>
      </c>
    </row>
    <row r="1443" spans="1:6" ht="12.75" customHeight="1" x14ac:dyDescent="0.2">
      <c r="A1443" s="3"/>
      <c r="C1443" s="114"/>
      <c r="E1443" s="85"/>
      <c r="F1443" s="59">
        <f t="shared" si="82"/>
        <v>0</v>
      </c>
    </row>
    <row r="1444" spans="1:6" ht="12.75" customHeight="1" x14ac:dyDescent="0.2">
      <c r="A1444" s="3"/>
      <c r="C1444" s="114"/>
      <c r="E1444" s="85"/>
      <c r="F1444" s="59">
        <f t="shared" si="82"/>
        <v>0</v>
      </c>
    </row>
    <row r="1445" spans="1:6" ht="12.75" customHeight="1" x14ac:dyDescent="0.2">
      <c r="A1445" s="3"/>
      <c r="C1445" s="114"/>
      <c r="E1445" s="85"/>
      <c r="F1445" s="59">
        <f t="shared" si="82"/>
        <v>0</v>
      </c>
    </row>
    <row r="1446" spans="1:6" ht="12.75" customHeight="1" x14ac:dyDescent="0.2">
      <c r="A1446" s="3"/>
      <c r="B1446" s="86" t="s">
        <v>258</v>
      </c>
      <c r="C1446" s="87"/>
      <c r="D1446" s="88"/>
      <c r="E1446" s="89"/>
      <c r="F1446" s="90">
        <f>SUM(F1439:F1445)</f>
        <v>0</v>
      </c>
    </row>
    <row r="1447" spans="1:6" ht="12.75" customHeight="1" x14ac:dyDescent="0.2">
      <c r="A1447" s="3"/>
      <c r="B1447" s="91" t="s">
        <v>261</v>
      </c>
      <c r="C1447" s="15">
        <f>'A IX.'!$C$45</f>
        <v>0</v>
      </c>
      <c r="D1447" s="92"/>
      <c r="E1447" s="93"/>
      <c r="F1447" s="94">
        <f>ROUND(F1446*C1447,2)</f>
        <v>0</v>
      </c>
    </row>
    <row r="1448" spans="1:6" ht="12.75" customHeight="1" x14ac:dyDescent="0.2">
      <c r="A1448" s="3"/>
      <c r="B1448" s="91" t="s">
        <v>70</v>
      </c>
      <c r="C1448" s="15">
        <f>$D$8</f>
        <v>0</v>
      </c>
      <c r="D1448" s="92"/>
      <c r="E1448" s="93"/>
      <c r="F1448" s="94">
        <f>ROUND(SUM(F1446:F1447)*C1448,2)</f>
        <v>0</v>
      </c>
    </row>
    <row r="1449" spans="1:6" ht="12.75" customHeight="1" thickBot="1" x14ac:dyDescent="0.25">
      <c r="A1449" s="98"/>
      <c r="B1449" s="99" t="s">
        <v>262</v>
      </c>
      <c r="C1449" s="100"/>
      <c r="D1449" s="100"/>
      <c r="E1449" s="101"/>
      <c r="F1449" s="102">
        <f>SUM(F1446:F1448)</f>
        <v>0</v>
      </c>
    </row>
    <row r="1450" spans="1:6" ht="12.75" customHeight="1" thickBot="1" x14ac:dyDescent="0.25">
      <c r="A1450" s="81"/>
      <c r="B1450" s="82"/>
      <c r="C1450" s="83"/>
      <c r="D1450" s="83"/>
      <c r="E1450" s="84"/>
      <c r="F1450" s="103"/>
    </row>
    <row r="1451" spans="1:6" ht="30" customHeight="1" x14ac:dyDescent="0.2">
      <c r="A1451" s="5" t="str">
        <f>'A IV.A'!$A$57</f>
        <v>3.2.8</v>
      </c>
      <c r="B1451" s="416" t="str">
        <f>'A IV.A'!$B$57</f>
        <v>GRADE DE PROTEÇÃO DE FERRO EM BARRA CHATA</v>
      </c>
      <c r="C1451" s="526" t="s">
        <v>269</v>
      </c>
      <c r="D1451" s="527"/>
      <c r="E1451" s="417" t="str">
        <f>'A IV.A'!$C$57</f>
        <v>M2</v>
      </c>
      <c r="F1451" s="58">
        <f>ROUND(F1471+F1485+F1497,2)</f>
        <v>0</v>
      </c>
    </row>
    <row r="1452" spans="1:6" ht="12.75" customHeight="1" x14ac:dyDescent="0.2">
      <c r="A1452" s="1" t="s">
        <v>17</v>
      </c>
      <c r="B1452" s="418" t="s">
        <v>162</v>
      </c>
      <c r="C1452" s="419" t="s">
        <v>263</v>
      </c>
      <c r="D1452" s="419" t="s">
        <v>264</v>
      </c>
      <c r="E1452" s="420" t="s">
        <v>265</v>
      </c>
      <c r="F1452" s="57" t="s">
        <v>266</v>
      </c>
    </row>
    <row r="1453" spans="1:6" ht="12.75" customHeight="1" x14ac:dyDescent="0.2">
      <c r="A1453" s="6" t="str">
        <f>'A VII.'!$A$19</f>
        <v>1.10</v>
      </c>
      <c r="B1453" s="74" t="str">
        <f>VLOOKUP(A1453,'A VII.'!$A$10:$D$199,2,FALSE)</f>
        <v>AREIA MÉDIA LAVADA</v>
      </c>
      <c r="C1453" s="114">
        <f>1.216*0.004</f>
        <v>4.8640000000000003E-3</v>
      </c>
      <c r="D1453" s="7" t="str">
        <f>VLOOKUP(A1453,'A VII.'!$A$10:$D$199,3,FALSE)</f>
        <v>M3</v>
      </c>
      <c r="E1453" s="85">
        <f>'A VII.'!D19</f>
        <v>0</v>
      </c>
      <c r="F1453" s="59">
        <f>ROUND(C1453*E1453,2)</f>
        <v>0</v>
      </c>
    </row>
    <row r="1454" spans="1:6" ht="12.75" customHeight="1" x14ac:dyDescent="0.2">
      <c r="A1454" s="6" t="str">
        <f>'A VII.'!$A$23</f>
        <v>1.14</v>
      </c>
      <c r="B1454" s="74" t="str">
        <f>VLOOKUP(A1454,'A VII.'!$A$10:$D$199,2,FALSE)</f>
        <v>BARRA DE FERRO RETANGULAR, BARRA CHATA  (QUALQUER DIMENSÃO / VALOR MÉDIO)</v>
      </c>
      <c r="C1454" s="114">
        <v>42</v>
      </c>
      <c r="D1454" s="7" t="str">
        <f>VLOOKUP(A1454,'A VII.'!$A$10:$D$199,3,FALSE)</f>
        <v>KG</v>
      </c>
      <c r="E1454" s="85">
        <f>'A VII.'!D23</f>
        <v>0</v>
      </c>
      <c r="F1454" s="59">
        <f t="shared" ref="F1454:F1468" si="83">ROUND(C1454*E1454,2)</f>
        <v>0</v>
      </c>
    </row>
    <row r="1455" spans="1:6" ht="12.75" customHeight="1" x14ac:dyDescent="0.2">
      <c r="A1455" s="6" t="str">
        <f>'A VII.'!$A$32</f>
        <v>1.23</v>
      </c>
      <c r="B1455" s="74" t="str">
        <f>VLOOKUP(A1455,'A VII.'!$A$10:$D$199,2,FALSE)</f>
        <v>CANTONEIRA DE AÇO ABAS IGUAIS (QUALQUER BITOLA), ESPESSURA ENTRE 1/8" E 1/4"</v>
      </c>
      <c r="C1455" s="114">
        <v>10.8</v>
      </c>
      <c r="D1455" s="7" t="str">
        <f>VLOOKUP(A1455,'A VII.'!$A$10:$D$199,3,FALSE)</f>
        <v>KG</v>
      </c>
      <c r="E1455" s="85">
        <f>'A VII.'!D32</f>
        <v>0</v>
      </c>
      <c r="F1455" s="59">
        <f t="shared" si="83"/>
        <v>0</v>
      </c>
    </row>
    <row r="1456" spans="1:6" ht="12.75" customHeight="1" x14ac:dyDescent="0.2">
      <c r="A1456" s="6" t="str">
        <f>'A VII.'!$A$38</f>
        <v>1.29</v>
      </c>
      <c r="B1456" s="74" t="str">
        <f>VLOOKUP(A1456,'A VII.'!$A$10:$D$199,2,FALSE)</f>
        <v>CIMENTO PORTLAND CP II-E-32</v>
      </c>
      <c r="C1456" s="114">
        <f>0.004*365</f>
        <v>1.46</v>
      </c>
      <c r="D1456" s="7" t="str">
        <f>VLOOKUP(A1456,'A VII.'!$A$10:$D$199,3,FALSE)</f>
        <v>KG</v>
      </c>
      <c r="E1456" s="85">
        <f>'A VII.'!D38</f>
        <v>0</v>
      </c>
      <c r="F1456" s="59">
        <f t="shared" si="83"/>
        <v>0</v>
      </c>
    </row>
    <row r="1457" spans="1:6" ht="12.75" customHeight="1" x14ac:dyDescent="0.2">
      <c r="A1457" s="6" t="str">
        <f>'A VII.'!$A$114</f>
        <v>1.104</v>
      </c>
      <c r="B1457" s="74" t="str">
        <f>VLOOKUP(A1457,'A VII.'!$A$10:$D$199,2,FALSE)</f>
        <v>TRAVA DE SEGURANÇA TIPO FERROLHO</v>
      </c>
      <c r="C1457" s="114">
        <v>1</v>
      </c>
      <c r="D1457" s="7" t="str">
        <f>VLOOKUP(A1457,'A VII.'!$A$10:$D$199,3,FALSE)</f>
        <v>UN</v>
      </c>
      <c r="E1457" s="85">
        <f>'A VII.'!$D$114</f>
        <v>0</v>
      </c>
      <c r="F1457" s="59">
        <f t="shared" si="83"/>
        <v>0</v>
      </c>
    </row>
    <row r="1458" spans="1:6" ht="12.75" customHeight="1" x14ac:dyDescent="0.2">
      <c r="A1458" s="6" t="str">
        <f>'A VII.'!$A$26</f>
        <v>1.17</v>
      </c>
      <c r="B1458" s="74" t="str">
        <f>VLOOKUP(A1458,'A VII.'!$A$10:$D$199,2,FALSE)</f>
        <v>CADEADO SIMPLES, CORPO EM LATAO MACICO, COM LARGURA DE 50 MM E ALTURA DE APROX 40 MM, HASTE CEMENTADA EM ACO TEMPERADO COM DIAMETRO DE APROX 8,0 MM, INCLUINDO 2 CHAVES</v>
      </c>
      <c r="C1458" s="114">
        <v>0.5</v>
      </c>
      <c r="D1458" s="7" t="str">
        <f>VLOOKUP(A1458,'A VII.'!$A$10:$D$199,3,FALSE)</f>
        <v>UN</v>
      </c>
      <c r="E1458" s="85">
        <f>'A VII.'!$D$26</f>
        <v>0</v>
      </c>
      <c r="F1458" s="59">
        <f t="shared" si="83"/>
        <v>0</v>
      </c>
    </row>
    <row r="1459" spans="1:6" ht="12.75" customHeight="1" x14ac:dyDescent="0.2">
      <c r="A1459" s="6"/>
      <c r="B1459" s="421"/>
      <c r="C1459" s="114"/>
      <c r="D1459" s="7"/>
      <c r="E1459" s="85"/>
      <c r="F1459" s="59">
        <f t="shared" si="83"/>
        <v>0</v>
      </c>
    </row>
    <row r="1460" spans="1:6" ht="12.75" customHeight="1" x14ac:dyDescent="0.2">
      <c r="A1460" s="6"/>
      <c r="B1460" s="421"/>
      <c r="C1460" s="114"/>
      <c r="D1460" s="7"/>
      <c r="E1460" s="85"/>
      <c r="F1460" s="59">
        <f t="shared" si="83"/>
        <v>0</v>
      </c>
    </row>
    <row r="1461" spans="1:6" ht="12.75" customHeight="1" x14ac:dyDescent="0.2">
      <c r="A1461" s="6"/>
      <c r="B1461" s="421"/>
      <c r="C1461" s="114"/>
      <c r="D1461" s="7"/>
      <c r="E1461" s="85"/>
      <c r="F1461" s="59">
        <f t="shared" si="83"/>
        <v>0</v>
      </c>
    </row>
    <row r="1462" spans="1:6" ht="12.75" customHeight="1" x14ac:dyDescent="0.2">
      <c r="A1462" s="6"/>
      <c r="B1462" s="421"/>
      <c r="C1462" s="114"/>
      <c r="D1462" s="7"/>
      <c r="E1462" s="85"/>
      <c r="F1462" s="59">
        <f t="shared" si="83"/>
        <v>0</v>
      </c>
    </row>
    <row r="1463" spans="1:6" ht="12.75" customHeight="1" x14ac:dyDescent="0.2">
      <c r="A1463" s="6"/>
      <c r="B1463" s="421"/>
      <c r="C1463" s="114"/>
      <c r="D1463" s="7"/>
      <c r="E1463" s="85"/>
      <c r="F1463" s="59">
        <f t="shared" si="83"/>
        <v>0</v>
      </c>
    </row>
    <row r="1464" spans="1:6" ht="12.75" customHeight="1" x14ac:dyDescent="0.2">
      <c r="A1464" s="6"/>
      <c r="B1464" s="421"/>
      <c r="C1464" s="114"/>
      <c r="D1464" s="423"/>
      <c r="E1464" s="85"/>
      <c r="F1464" s="59">
        <f t="shared" si="83"/>
        <v>0</v>
      </c>
    </row>
    <row r="1465" spans="1:6" ht="12.75" customHeight="1" x14ac:dyDescent="0.2">
      <c r="A1465" s="6"/>
      <c r="B1465" s="421"/>
      <c r="C1465" s="114"/>
      <c r="D1465" s="423"/>
      <c r="E1465" s="85"/>
      <c r="F1465" s="59">
        <f t="shared" si="83"/>
        <v>0</v>
      </c>
    </row>
    <row r="1466" spans="1:6" ht="12.75" customHeight="1" x14ac:dyDescent="0.2">
      <c r="A1466" s="6"/>
      <c r="B1466" s="421"/>
      <c r="C1466" s="114"/>
      <c r="D1466" s="423"/>
      <c r="E1466" s="85"/>
      <c r="F1466" s="59">
        <f t="shared" si="83"/>
        <v>0</v>
      </c>
    </row>
    <row r="1467" spans="1:6" ht="12.75" customHeight="1" x14ac:dyDescent="0.2">
      <c r="A1467" s="3"/>
      <c r="C1467" s="114"/>
      <c r="E1467" s="85"/>
      <c r="F1467" s="59">
        <f t="shared" si="83"/>
        <v>0</v>
      </c>
    </row>
    <row r="1468" spans="1:6" ht="12.75" customHeight="1" x14ac:dyDescent="0.2">
      <c r="A1468" s="3"/>
      <c r="C1468" s="114"/>
      <c r="E1468" s="85"/>
      <c r="F1468" s="59">
        <f t="shared" si="83"/>
        <v>0</v>
      </c>
    </row>
    <row r="1469" spans="1:6" ht="12.75" customHeight="1" x14ac:dyDescent="0.2">
      <c r="A1469" s="3"/>
      <c r="B1469" s="86" t="s">
        <v>258</v>
      </c>
      <c r="C1469" s="87"/>
      <c r="D1469" s="88"/>
      <c r="E1469" s="89"/>
      <c r="F1469" s="90">
        <f>SUM(F1453:F1468)</f>
        <v>0</v>
      </c>
    </row>
    <row r="1470" spans="1:6" ht="12.75" customHeight="1" x14ac:dyDescent="0.2">
      <c r="A1470" s="3"/>
      <c r="B1470" s="91" t="s">
        <v>70</v>
      </c>
      <c r="C1470" s="15">
        <f>$D$8</f>
        <v>0</v>
      </c>
      <c r="D1470" s="92"/>
      <c r="E1470" s="93"/>
      <c r="F1470" s="94">
        <f>ROUND(F1469*C1470,2)</f>
        <v>0</v>
      </c>
    </row>
    <row r="1471" spans="1:6" ht="12.75" customHeight="1" x14ac:dyDescent="0.2">
      <c r="A1471" s="95"/>
      <c r="B1471" s="424" t="s">
        <v>259</v>
      </c>
      <c r="C1471" s="425"/>
      <c r="D1471" s="425"/>
      <c r="E1471" s="426"/>
      <c r="F1471" s="96">
        <f>F1469+F1470</f>
        <v>0</v>
      </c>
    </row>
    <row r="1472" spans="1:6" ht="12.75" customHeight="1" x14ac:dyDescent="0.2">
      <c r="A1472" s="1" t="s">
        <v>5</v>
      </c>
      <c r="B1472" s="418" t="s">
        <v>267</v>
      </c>
      <c r="C1472" s="419" t="s">
        <v>263</v>
      </c>
      <c r="D1472" s="419" t="s">
        <v>264</v>
      </c>
      <c r="E1472" s="420" t="s">
        <v>265</v>
      </c>
      <c r="F1472" s="57" t="s">
        <v>266</v>
      </c>
    </row>
    <row r="1473" spans="1:6" ht="12.75" customHeight="1" x14ac:dyDescent="0.2">
      <c r="A1473" s="3" t="str">
        <f>'A VII.'!$A$159</f>
        <v>2.17</v>
      </c>
      <c r="B1473" s="74" t="str">
        <f>VLOOKUP(A1473,'A VII.'!$A$10:$D$199,2,FALSE)</f>
        <v>GRUPO DE SOLDA 600A, GERADOR DIESEL 60 CV PARA SOLDA ELÉTRICA, SOBRE RODAS, MOTOR 4 CILINDROS - CHP</v>
      </c>
      <c r="C1473" s="114">
        <v>0.5</v>
      </c>
      <c r="D1473" s="54" t="str">
        <f>VLOOKUP(A1473,'A VII.'!$A$10:$D$199,3,FALSE)</f>
        <v>CHP</v>
      </c>
      <c r="E1473" s="85">
        <f>'A VII.'!D159</f>
        <v>0</v>
      </c>
      <c r="F1473" s="59">
        <f t="shared" ref="F1473:F1482" si="84">ROUND(C1473*E1473,2)</f>
        <v>0</v>
      </c>
    </row>
    <row r="1474" spans="1:6" ht="12.75" customHeight="1" x14ac:dyDescent="0.2">
      <c r="A1474" s="3"/>
      <c r="C1474" s="114"/>
      <c r="E1474" s="85"/>
      <c r="F1474" s="59">
        <f t="shared" si="84"/>
        <v>0</v>
      </c>
    </row>
    <row r="1475" spans="1:6" ht="12.75" customHeight="1" x14ac:dyDescent="0.2">
      <c r="A1475" s="3"/>
      <c r="C1475" s="114"/>
      <c r="E1475" s="85"/>
      <c r="F1475" s="59">
        <f t="shared" si="84"/>
        <v>0</v>
      </c>
    </row>
    <row r="1476" spans="1:6" ht="12.75" customHeight="1" x14ac:dyDescent="0.2">
      <c r="A1476" s="3"/>
      <c r="C1476" s="114"/>
      <c r="E1476" s="85"/>
      <c r="F1476" s="59">
        <f t="shared" si="84"/>
        <v>0</v>
      </c>
    </row>
    <row r="1477" spans="1:6" ht="12.75" customHeight="1" x14ac:dyDescent="0.2">
      <c r="A1477" s="3"/>
      <c r="C1477" s="114"/>
      <c r="E1477" s="85"/>
      <c r="F1477" s="59">
        <f t="shared" si="84"/>
        <v>0</v>
      </c>
    </row>
    <row r="1478" spans="1:6" ht="12.75" customHeight="1" x14ac:dyDescent="0.2">
      <c r="A1478" s="3"/>
      <c r="C1478" s="114"/>
      <c r="E1478" s="85"/>
      <c r="F1478" s="59">
        <f t="shared" si="84"/>
        <v>0</v>
      </c>
    </row>
    <row r="1479" spans="1:6" ht="12.75" customHeight="1" x14ac:dyDescent="0.2">
      <c r="A1479" s="3"/>
      <c r="C1479" s="114"/>
      <c r="E1479" s="85"/>
      <c r="F1479" s="59">
        <f t="shared" si="84"/>
        <v>0</v>
      </c>
    </row>
    <row r="1480" spans="1:6" ht="12.75" customHeight="1" x14ac:dyDescent="0.2">
      <c r="A1480" s="3"/>
      <c r="C1480" s="114"/>
      <c r="E1480" s="85"/>
      <c r="F1480" s="59">
        <f t="shared" si="84"/>
        <v>0</v>
      </c>
    </row>
    <row r="1481" spans="1:6" ht="12.75" customHeight="1" x14ac:dyDescent="0.2">
      <c r="A1481" s="3"/>
      <c r="C1481" s="114"/>
      <c r="E1481" s="85"/>
      <c r="F1481" s="59">
        <f t="shared" si="84"/>
        <v>0</v>
      </c>
    </row>
    <row r="1482" spans="1:6" ht="12.75" customHeight="1" x14ac:dyDescent="0.2">
      <c r="A1482" s="3"/>
      <c r="C1482" s="114"/>
      <c r="E1482" s="85"/>
      <c r="F1482" s="59">
        <f t="shared" si="84"/>
        <v>0</v>
      </c>
    </row>
    <row r="1483" spans="1:6" ht="12.75" customHeight="1" x14ac:dyDescent="0.2">
      <c r="A1483" s="3"/>
      <c r="B1483" s="86" t="s">
        <v>258</v>
      </c>
      <c r="C1483" s="87"/>
      <c r="D1483" s="88"/>
      <c r="E1483" s="89"/>
      <c r="F1483" s="90">
        <f>SUM(F1473:F1482)</f>
        <v>0</v>
      </c>
    </row>
    <row r="1484" spans="1:6" ht="12.75" customHeight="1" x14ac:dyDescent="0.2">
      <c r="A1484" s="3"/>
      <c r="B1484" s="91" t="s">
        <v>70</v>
      </c>
      <c r="C1484" s="15">
        <f>$D$8</f>
        <v>0</v>
      </c>
      <c r="D1484" s="92"/>
      <c r="E1484" s="93"/>
      <c r="F1484" s="94">
        <f>ROUND(C1484*F1483,2)</f>
        <v>0</v>
      </c>
    </row>
    <row r="1485" spans="1:6" ht="12.75" customHeight="1" x14ac:dyDescent="0.2">
      <c r="A1485" s="95"/>
      <c r="B1485" s="424" t="s">
        <v>260</v>
      </c>
      <c r="C1485" s="425"/>
      <c r="D1485" s="425"/>
      <c r="E1485" s="426"/>
      <c r="F1485" s="96">
        <f>F1483+F1484</f>
        <v>0</v>
      </c>
    </row>
    <row r="1486" spans="1:6" ht="12.75" customHeight="1" x14ac:dyDescent="0.2">
      <c r="A1486" s="97" t="s">
        <v>54</v>
      </c>
      <c r="B1486" s="427" t="s">
        <v>268</v>
      </c>
      <c r="C1486" s="428" t="s">
        <v>263</v>
      </c>
      <c r="D1486" s="429" t="s">
        <v>264</v>
      </c>
      <c r="E1486" s="430" t="s">
        <v>265</v>
      </c>
      <c r="F1486" s="57" t="s">
        <v>266</v>
      </c>
    </row>
    <row r="1487" spans="1:6" ht="12.75" customHeight="1" x14ac:dyDescent="0.2">
      <c r="A1487" s="3" t="str">
        <f>'A VII.'!$A$195</f>
        <v>3.15</v>
      </c>
      <c r="B1487" s="74" t="s">
        <v>188</v>
      </c>
      <c r="C1487" s="114">
        <v>1.5</v>
      </c>
      <c r="D1487" s="54" t="str">
        <f>VLOOKUP(A1487,'A VII.'!$A$10:$D$199,3,FALSE)</f>
        <v>H</v>
      </c>
      <c r="E1487" s="85">
        <f>'A VII.'!D195</f>
        <v>0</v>
      </c>
      <c r="F1487" s="59">
        <f t="shared" ref="F1487:F1493" si="85">ROUND(C1487*E1487,2)</f>
        <v>0</v>
      </c>
    </row>
    <row r="1488" spans="1:6" ht="12.75" customHeight="1" x14ac:dyDescent="0.2">
      <c r="A1488" s="3" t="str">
        <f>'A VII.'!$A$196</f>
        <v>3.16</v>
      </c>
      <c r="B1488" s="74" t="s">
        <v>189</v>
      </c>
      <c r="C1488" s="114">
        <v>1.6400000000000001</v>
      </c>
      <c r="D1488" s="54" t="str">
        <f>VLOOKUP(A1488,'A VII.'!$A$10:$D$199,3,FALSE)</f>
        <v>H</v>
      </c>
      <c r="E1488" s="85">
        <f>'A VII.'!D196</f>
        <v>0</v>
      </c>
      <c r="F1488" s="59">
        <f t="shared" si="85"/>
        <v>0</v>
      </c>
    </row>
    <row r="1489" spans="1:6" ht="12.75" customHeight="1" x14ac:dyDescent="0.2">
      <c r="A1489" s="3"/>
      <c r="C1489" s="114"/>
      <c r="E1489" s="85"/>
      <c r="F1489" s="59">
        <f t="shared" si="85"/>
        <v>0</v>
      </c>
    </row>
    <row r="1490" spans="1:6" ht="12.75" customHeight="1" x14ac:dyDescent="0.2">
      <c r="A1490" s="3"/>
      <c r="C1490" s="114"/>
      <c r="E1490" s="85"/>
      <c r="F1490" s="59">
        <f t="shared" si="85"/>
        <v>0</v>
      </c>
    </row>
    <row r="1491" spans="1:6" ht="12.75" customHeight="1" x14ac:dyDescent="0.2">
      <c r="A1491" s="3"/>
      <c r="C1491" s="114"/>
      <c r="E1491" s="85"/>
      <c r="F1491" s="59">
        <f t="shared" si="85"/>
        <v>0</v>
      </c>
    </row>
    <row r="1492" spans="1:6" ht="12.75" customHeight="1" x14ac:dyDescent="0.2">
      <c r="A1492" s="3"/>
      <c r="C1492" s="114"/>
      <c r="E1492" s="85"/>
      <c r="F1492" s="59">
        <f t="shared" si="85"/>
        <v>0</v>
      </c>
    </row>
    <row r="1493" spans="1:6" ht="12.75" customHeight="1" x14ac:dyDescent="0.2">
      <c r="A1493" s="3"/>
      <c r="C1493" s="114"/>
      <c r="E1493" s="85"/>
      <c r="F1493" s="59">
        <f t="shared" si="85"/>
        <v>0</v>
      </c>
    </row>
    <row r="1494" spans="1:6" ht="12.75" customHeight="1" x14ac:dyDescent="0.2">
      <c r="A1494" s="3"/>
      <c r="B1494" s="86" t="s">
        <v>258</v>
      </c>
      <c r="C1494" s="87"/>
      <c r="D1494" s="88"/>
      <c r="E1494" s="89"/>
      <c r="F1494" s="90">
        <f>SUM(F1487:F1493)</f>
        <v>0</v>
      </c>
    </row>
    <row r="1495" spans="1:6" ht="12.75" customHeight="1" x14ac:dyDescent="0.2">
      <c r="A1495" s="3"/>
      <c r="B1495" s="91" t="s">
        <v>261</v>
      </c>
      <c r="C1495" s="15">
        <f>'A IX.'!$C$45</f>
        <v>0</v>
      </c>
      <c r="D1495" s="92"/>
      <c r="E1495" s="93"/>
      <c r="F1495" s="94">
        <f>ROUND(F1494*C1495,2)</f>
        <v>0</v>
      </c>
    </row>
    <row r="1496" spans="1:6" ht="12.75" customHeight="1" x14ac:dyDescent="0.2">
      <c r="A1496" s="3"/>
      <c r="B1496" s="91" t="s">
        <v>70</v>
      </c>
      <c r="C1496" s="15">
        <f>$D$8</f>
        <v>0</v>
      </c>
      <c r="D1496" s="92"/>
      <c r="E1496" s="93"/>
      <c r="F1496" s="94">
        <f>ROUND(SUM(F1494:F1495)*C1496,2)</f>
        <v>0</v>
      </c>
    </row>
    <row r="1497" spans="1:6" ht="12.75" customHeight="1" thickBot="1" x14ac:dyDescent="0.25">
      <c r="A1497" s="98"/>
      <c r="B1497" s="99" t="s">
        <v>262</v>
      </c>
      <c r="C1497" s="100"/>
      <c r="D1497" s="100"/>
      <c r="E1497" s="101"/>
      <c r="F1497" s="102">
        <f>SUM(F1494:F1496)</f>
        <v>0</v>
      </c>
    </row>
    <row r="1498" spans="1:6" ht="12.75" customHeight="1" thickBot="1" x14ac:dyDescent="0.25">
      <c r="A1498" s="81"/>
      <c r="B1498" s="82"/>
      <c r="C1498" s="83"/>
      <c r="D1498" s="83"/>
      <c r="E1498" s="84"/>
      <c r="F1498" s="103"/>
    </row>
    <row r="1499" spans="1:6" ht="30" customHeight="1" x14ac:dyDescent="0.2">
      <c r="A1499" s="5" t="str">
        <f>'A IV.A'!A58</f>
        <v>3.2.9</v>
      </c>
      <c r="B1499" s="416" t="str">
        <f>'A IV.A'!B58</f>
        <v>GRELHA EM FERRO FUNDIDO PARA CAIXAS E CANALETAS</v>
      </c>
      <c r="C1499" s="526" t="s">
        <v>269</v>
      </c>
      <c r="D1499" s="527"/>
      <c r="E1499" s="417" t="str">
        <f>'A IV.A'!C58</f>
        <v>M2</v>
      </c>
      <c r="F1499" s="58">
        <f>ROUND(F1519+F1533+F1545,2)</f>
        <v>0</v>
      </c>
    </row>
    <row r="1500" spans="1:6" ht="12.75" customHeight="1" x14ac:dyDescent="0.2">
      <c r="A1500" s="1" t="s">
        <v>17</v>
      </c>
      <c r="B1500" s="418" t="s">
        <v>162</v>
      </c>
      <c r="C1500" s="419" t="s">
        <v>263</v>
      </c>
      <c r="D1500" s="419" t="s">
        <v>264</v>
      </c>
      <c r="E1500" s="420" t="s">
        <v>265</v>
      </c>
      <c r="F1500" s="57" t="s">
        <v>266</v>
      </c>
    </row>
    <row r="1501" spans="1:6" ht="12.75" customHeight="1" x14ac:dyDescent="0.2">
      <c r="A1501" s="6" t="str">
        <f>'A VII.'!$A$59</f>
        <v>1.50</v>
      </c>
      <c r="B1501" s="74" t="str">
        <f>'A VII.'!B59</f>
        <v>GRELHA EM FERRO FUNDIDO COM REQUADRO, CARGA MAXIMA 12,5 T, 300 X 1000 MM, E = 15 MM</v>
      </c>
      <c r="C1501" s="114">
        <v>3.3330000000000002</v>
      </c>
      <c r="D1501" s="7" t="str">
        <f>'A VII.'!C59</f>
        <v>UN</v>
      </c>
      <c r="E1501" s="85">
        <f>'A VII.'!D59</f>
        <v>0</v>
      </c>
      <c r="F1501" s="59">
        <f>ROUND(C1501*E1501,2)</f>
        <v>0</v>
      </c>
    </row>
    <row r="1502" spans="1:6" ht="12.75" customHeight="1" x14ac:dyDescent="0.2">
      <c r="A1502" s="6"/>
      <c r="C1502" s="114"/>
      <c r="D1502" s="7"/>
      <c r="E1502" s="85"/>
      <c r="F1502" s="59">
        <f t="shared" ref="F1502:F1516" si="86">ROUND(C1502*E1502,2)</f>
        <v>0</v>
      </c>
    </row>
    <row r="1503" spans="1:6" ht="12.75" customHeight="1" x14ac:dyDescent="0.2">
      <c r="A1503" s="6"/>
      <c r="C1503" s="114"/>
      <c r="D1503" s="7"/>
      <c r="E1503" s="85"/>
      <c r="F1503" s="59">
        <f t="shared" si="86"/>
        <v>0</v>
      </c>
    </row>
    <row r="1504" spans="1:6" ht="12.75" customHeight="1" x14ac:dyDescent="0.2">
      <c r="A1504" s="6"/>
      <c r="C1504" s="114"/>
      <c r="D1504" s="7"/>
      <c r="E1504" s="85"/>
      <c r="F1504" s="59">
        <f t="shared" si="86"/>
        <v>0</v>
      </c>
    </row>
    <row r="1505" spans="1:6" ht="12.75" customHeight="1" x14ac:dyDescent="0.2">
      <c r="A1505" s="6"/>
      <c r="C1505" s="114"/>
      <c r="D1505" s="7"/>
      <c r="E1505" s="85"/>
      <c r="F1505" s="59">
        <f t="shared" si="86"/>
        <v>0</v>
      </c>
    </row>
    <row r="1506" spans="1:6" ht="12.75" customHeight="1" x14ac:dyDescent="0.2">
      <c r="A1506" s="6"/>
      <c r="C1506" s="114"/>
      <c r="D1506" s="7"/>
      <c r="E1506" s="85"/>
      <c r="F1506" s="59">
        <f t="shared" si="86"/>
        <v>0</v>
      </c>
    </row>
    <row r="1507" spans="1:6" ht="12.75" customHeight="1" x14ac:dyDescent="0.2">
      <c r="A1507" s="6"/>
      <c r="B1507" s="421"/>
      <c r="C1507" s="114"/>
      <c r="D1507" s="7"/>
      <c r="E1507" s="85"/>
      <c r="F1507" s="59">
        <f t="shared" si="86"/>
        <v>0</v>
      </c>
    </row>
    <row r="1508" spans="1:6" ht="12.75" customHeight="1" x14ac:dyDescent="0.2">
      <c r="A1508" s="6"/>
      <c r="B1508" s="421"/>
      <c r="C1508" s="114"/>
      <c r="D1508" s="7"/>
      <c r="E1508" s="85"/>
      <c r="F1508" s="59">
        <f t="shared" si="86"/>
        <v>0</v>
      </c>
    </row>
    <row r="1509" spans="1:6" ht="12.75" customHeight="1" x14ac:dyDescent="0.2">
      <c r="A1509" s="6"/>
      <c r="B1509" s="421"/>
      <c r="C1509" s="114"/>
      <c r="D1509" s="7"/>
      <c r="E1509" s="85"/>
      <c r="F1509" s="59">
        <f t="shared" si="86"/>
        <v>0</v>
      </c>
    </row>
    <row r="1510" spans="1:6" ht="12.75" customHeight="1" x14ac:dyDescent="0.2">
      <c r="A1510" s="6"/>
      <c r="B1510" s="421"/>
      <c r="C1510" s="114"/>
      <c r="D1510" s="7"/>
      <c r="E1510" s="85"/>
      <c r="F1510" s="59">
        <f t="shared" si="86"/>
        <v>0</v>
      </c>
    </row>
    <row r="1511" spans="1:6" ht="12.75" customHeight="1" x14ac:dyDescent="0.2">
      <c r="A1511" s="6"/>
      <c r="B1511" s="421"/>
      <c r="C1511" s="114"/>
      <c r="D1511" s="7"/>
      <c r="E1511" s="85"/>
      <c r="F1511" s="59">
        <f t="shared" si="86"/>
        <v>0</v>
      </c>
    </row>
    <row r="1512" spans="1:6" ht="12.75" customHeight="1" x14ac:dyDescent="0.2">
      <c r="A1512" s="6"/>
      <c r="B1512" s="421"/>
      <c r="C1512" s="114"/>
      <c r="D1512" s="423"/>
      <c r="E1512" s="85"/>
      <c r="F1512" s="59">
        <f t="shared" si="86"/>
        <v>0</v>
      </c>
    </row>
    <row r="1513" spans="1:6" ht="12.75" customHeight="1" x14ac:dyDescent="0.2">
      <c r="A1513" s="6"/>
      <c r="B1513" s="421"/>
      <c r="C1513" s="114"/>
      <c r="D1513" s="423"/>
      <c r="E1513" s="85"/>
      <c r="F1513" s="59">
        <f t="shared" si="86"/>
        <v>0</v>
      </c>
    </row>
    <row r="1514" spans="1:6" ht="12.75" customHeight="1" x14ac:dyDescent="0.2">
      <c r="A1514" s="6"/>
      <c r="B1514" s="421"/>
      <c r="C1514" s="114"/>
      <c r="D1514" s="423"/>
      <c r="E1514" s="85"/>
      <c r="F1514" s="59">
        <f t="shared" si="86"/>
        <v>0</v>
      </c>
    </row>
    <row r="1515" spans="1:6" ht="12.75" customHeight="1" x14ac:dyDescent="0.2">
      <c r="A1515" s="3"/>
      <c r="C1515" s="114"/>
      <c r="E1515" s="85"/>
      <c r="F1515" s="59">
        <f t="shared" si="86"/>
        <v>0</v>
      </c>
    </row>
    <row r="1516" spans="1:6" ht="12.75" customHeight="1" x14ac:dyDescent="0.2">
      <c r="A1516" s="3"/>
      <c r="C1516" s="114"/>
      <c r="E1516" s="85"/>
      <c r="F1516" s="59">
        <f t="shared" si="86"/>
        <v>0</v>
      </c>
    </row>
    <row r="1517" spans="1:6" ht="12.75" customHeight="1" x14ac:dyDescent="0.2">
      <c r="A1517" s="3"/>
      <c r="B1517" s="86" t="s">
        <v>258</v>
      </c>
      <c r="C1517" s="87"/>
      <c r="D1517" s="88"/>
      <c r="E1517" s="89"/>
      <c r="F1517" s="90">
        <f>SUM(F1501:F1516)</f>
        <v>0</v>
      </c>
    </row>
    <row r="1518" spans="1:6" ht="12.75" customHeight="1" x14ac:dyDescent="0.2">
      <c r="A1518" s="3"/>
      <c r="B1518" s="91" t="s">
        <v>70</v>
      </c>
      <c r="C1518" s="15">
        <f>$D$8</f>
        <v>0</v>
      </c>
      <c r="D1518" s="92"/>
      <c r="E1518" s="93"/>
      <c r="F1518" s="94">
        <f>ROUND(F1517*C1518,2)</f>
        <v>0</v>
      </c>
    </row>
    <row r="1519" spans="1:6" ht="12.75" customHeight="1" x14ac:dyDescent="0.2">
      <c r="A1519" s="95"/>
      <c r="B1519" s="424" t="s">
        <v>259</v>
      </c>
      <c r="C1519" s="425"/>
      <c r="D1519" s="425"/>
      <c r="E1519" s="426"/>
      <c r="F1519" s="96">
        <f>F1517+F1518</f>
        <v>0</v>
      </c>
    </row>
    <row r="1520" spans="1:6" ht="12.75" customHeight="1" x14ac:dyDescent="0.2">
      <c r="A1520" s="1" t="s">
        <v>5</v>
      </c>
      <c r="B1520" s="418" t="s">
        <v>267</v>
      </c>
      <c r="C1520" s="419" t="s">
        <v>263</v>
      </c>
      <c r="D1520" s="419" t="s">
        <v>264</v>
      </c>
      <c r="E1520" s="420" t="s">
        <v>265</v>
      </c>
      <c r="F1520" s="57" t="s">
        <v>266</v>
      </c>
    </row>
    <row r="1521" spans="1:6" ht="12.75" customHeight="1" x14ac:dyDescent="0.2">
      <c r="A1521" s="3"/>
      <c r="C1521" s="114"/>
      <c r="E1521" s="85"/>
      <c r="F1521" s="59">
        <f t="shared" ref="F1521:F1530" si="87">ROUND(C1521*E1521,2)</f>
        <v>0</v>
      </c>
    </row>
    <row r="1522" spans="1:6" ht="12.75" customHeight="1" x14ac:dyDescent="0.2">
      <c r="A1522" s="3"/>
      <c r="C1522" s="114"/>
      <c r="E1522" s="85"/>
      <c r="F1522" s="59">
        <f t="shared" si="87"/>
        <v>0</v>
      </c>
    </row>
    <row r="1523" spans="1:6" ht="12.75" customHeight="1" x14ac:dyDescent="0.2">
      <c r="A1523" s="3"/>
      <c r="C1523" s="114"/>
      <c r="E1523" s="85"/>
      <c r="F1523" s="59">
        <f t="shared" si="87"/>
        <v>0</v>
      </c>
    </row>
    <row r="1524" spans="1:6" ht="12.75" customHeight="1" x14ac:dyDescent="0.2">
      <c r="A1524" s="3"/>
      <c r="C1524" s="114"/>
      <c r="E1524" s="85"/>
      <c r="F1524" s="59">
        <f t="shared" si="87"/>
        <v>0</v>
      </c>
    </row>
    <row r="1525" spans="1:6" ht="12.75" customHeight="1" x14ac:dyDescent="0.2">
      <c r="A1525" s="3"/>
      <c r="C1525" s="114"/>
      <c r="E1525" s="85"/>
      <c r="F1525" s="59">
        <f t="shared" si="87"/>
        <v>0</v>
      </c>
    </row>
    <row r="1526" spans="1:6" ht="12.75" customHeight="1" x14ac:dyDescent="0.2">
      <c r="A1526" s="3"/>
      <c r="C1526" s="114"/>
      <c r="E1526" s="85"/>
      <c r="F1526" s="59">
        <f t="shared" si="87"/>
        <v>0</v>
      </c>
    </row>
    <row r="1527" spans="1:6" ht="12.75" customHeight="1" x14ac:dyDescent="0.2">
      <c r="A1527" s="3"/>
      <c r="C1527" s="114"/>
      <c r="E1527" s="85"/>
      <c r="F1527" s="59">
        <f t="shared" si="87"/>
        <v>0</v>
      </c>
    </row>
    <row r="1528" spans="1:6" ht="12.75" customHeight="1" x14ac:dyDescent="0.2">
      <c r="A1528" s="3"/>
      <c r="C1528" s="114"/>
      <c r="E1528" s="85"/>
      <c r="F1528" s="59">
        <f t="shared" si="87"/>
        <v>0</v>
      </c>
    </row>
    <row r="1529" spans="1:6" ht="12.75" customHeight="1" x14ac:dyDescent="0.2">
      <c r="A1529" s="3"/>
      <c r="C1529" s="114"/>
      <c r="E1529" s="85"/>
      <c r="F1529" s="59">
        <f t="shared" si="87"/>
        <v>0</v>
      </c>
    </row>
    <row r="1530" spans="1:6" ht="12.75" customHeight="1" x14ac:dyDescent="0.2">
      <c r="A1530" s="3"/>
      <c r="C1530" s="114"/>
      <c r="E1530" s="85"/>
      <c r="F1530" s="59">
        <f t="shared" si="87"/>
        <v>0</v>
      </c>
    </row>
    <row r="1531" spans="1:6" ht="12.75" customHeight="1" x14ac:dyDescent="0.2">
      <c r="A1531" s="3"/>
      <c r="B1531" s="86" t="s">
        <v>258</v>
      </c>
      <c r="C1531" s="87"/>
      <c r="D1531" s="88"/>
      <c r="E1531" s="89"/>
      <c r="F1531" s="90">
        <f>SUM(F1521:F1530)</f>
        <v>0</v>
      </c>
    </row>
    <row r="1532" spans="1:6" ht="12.75" customHeight="1" x14ac:dyDescent="0.2">
      <c r="A1532" s="3"/>
      <c r="B1532" s="91" t="s">
        <v>70</v>
      </c>
      <c r="C1532" s="15">
        <f>$D$8</f>
        <v>0</v>
      </c>
      <c r="D1532" s="92"/>
      <c r="E1532" s="93"/>
      <c r="F1532" s="94">
        <f>ROUND(C1532*F1531,2)</f>
        <v>0</v>
      </c>
    </row>
    <row r="1533" spans="1:6" ht="12.75" customHeight="1" x14ac:dyDescent="0.2">
      <c r="A1533" s="95"/>
      <c r="B1533" s="424" t="s">
        <v>260</v>
      </c>
      <c r="C1533" s="425"/>
      <c r="D1533" s="425"/>
      <c r="E1533" s="426"/>
      <c r="F1533" s="96">
        <f>F1531+F1532</f>
        <v>0</v>
      </c>
    </row>
    <row r="1534" spans="1:6" ht="12.75" customHeight="1" x14ac:dyDescent="0.2">
      <c r="A1534" s="97" t="s">
        <v>54</v>
      </c>
      <c r="B1534" s="427" t="s">
        <v>268</v>
      </c>
      <c r="C1534" s="428" t="s">
        <v>263</v>
      </c>
      <c r="D1534" s="429" t="s">
        <v>264</v>
      </c>
      <c r="E1534" s="430" t="s">
        <v>265</v>
      </c>
      <c r="F1534" s="57" t="s">
        <v>266</v>
      </c>
    </row>
    <row r="1535" spans="1:6" ht="12.75" customHeight="1" x14ac:dyDescent="0.2">
      <c r="A1535" s="3" t="str">
        <f>'A VII.'!$A$196</f>
        <v>3.16</v>
      </c>
      <c r="B1535" s="74" t="str">
        <f>'A VII.'!B196</f>
        <v>SERVENTE COM ENCARGOS COMPLEMENTARES</v>
      </c>
      <c r="C1535" s="114">
        <v>1</v>
      </c>
      <c r="D1535" s="54" t="str">
        <f>'A VII.'!C196</f>
        <v>H</v>
      </c>
      <c r="E1535" s="85">
        <f>'A VII.'!D196</f>
        <v>0</v>
      </c>
      <c r="F1535" s="59">
        <f t="shared" ref="F1535:F1541" si="88">ROUND(C1535*E1535,2)</f>
        <v>0</v>
      </c>
    </row>
    <row r="1536" spans="1:6" ht="12.75" customHeight="1" x14ac:dyDescent="0.2">
      <c r="A1536" s="3" t="str">
        <f>'A VII.'!$A$192</f>
        <v>3.12</v>
      </c>
      <c r="B1536" s="74" t="str">
        <f>'A VII.'!B192</f>
        <v>PEDREIRO COM ENCARGOS COMPLEMENTARES</v>
      </c>
      <c r="C1536" s="114">
        <v>0.5</v>
      </c>
      <c r="D1536" s="54" t="str">
        <f>'A VII.'!C192</f>
        <v>H</v>
      </c>
      <c r="E1536" s="85">
        <f>'A VII.'!D192</f>
        <v>0</v>
      </c>
      <c r="F1536" s="59">
        <f t="shared" si="88"/>
        <v>0</v>
      </c>
    </row>
    <row r="1537" spans="1:6" ht="12.75" customHeight="1" x14ac:dyDescent="0.2">
      <c r="A1537" s="3"/>
      <c r="C1537" s="114"/>
      <c r="E1537" s="85"/>
      <c r="F1537" s="59">
        <f t="shared" si="88"/>
        <v>0</v>
      </c>
    </row>
    <row r="1538" spans="1:6" ht="12.75" customHeight="1" x14ac:dyDescent="0.2">
      <c r="A1538" s="3"/>
      <c r="C1538" s="114"/>
      <c r="E1538" s="85"/>
      <c r="F1538" s="59">
        <f t="shared" si="88"/>
        <v>0</v>
      </c>
    </row>
    <row r="1539" spans="1:6" ht="12.75" customHeight="1" x14ac:dyDescent="0.2">
      <c r="A1539" s="3"/>
      <c r="C1539" s="114"/>
      <c r="E1539" s="85"/>
      <c r="F1539" s="59">
        <f t="shared" si="88"/>
        <v>0</v>
      </c>
    </row>
    <row r="1540" spans="1:6" ht="12.75" customHeight="1" x14ac:dyDescent="0.2">
      <c r="A1540" s="3"/>
      <c r="C1540" s="114"/>
      <c r="E1540" s="85"/>
      <c r="F1540" s="59">
        <f t="shared" si="88"/>
        <v>0</v>
      </c>
    </row>
    <row r="1541" spans="1:6" ht="12.75" customHeight="1" x14ac:dyDescent="0.2">
      <c r="A1541" s="3"/>
      <c r="C1541" s="114"/>
      <c r="E1541" s="85"/>
      <c r="F1541" s="59">
        <f t="shared" si="88"/>
        <v>0</v>
      </c>
    </row>
    <row r="1542" spans="1:6" ht="12.75" customHeight="1" x14ac:dyDescent="0.2">
      <c r="A1542" s="3"/>
      <c r="B1542" s="86" t="s">
        <v>258</v>
      </c>
      <c r="C1542" s="87"/>
      <c r="D1542" s="88"/>
      <c r="E1542" s="89"/>
      <c r="F1542" s="90">
        <f>SUM(F1535:F1541)</f>
        <v>0</v>
      </c>
    </row>
    <row r="1543" spans="1:6" ht="12.75" customHeight="1" x14ac:dyDescent="0.2">
      <c r="A1543" s="3"/>
      <c r="B1543" s="91" t="s">
        <v>261</v>
      </c>
      <c r="C1543" s="15">
        <f>'A IX.'!$C$45</f>
        <v>0</v>
      </c>
      <c r="D1543" s="92"/>
      <c r="E1543" s="93"/>
      <c r="F1543" s="94">
        <f>ROUND(F1542*C1543,2)</f>
        <v>0</v>
      </c>
    </row>
    <row r="1544" spans="1:6" ht="12.75" customHeight="1" x14ac:dyDescent="0.2">
      <c r="A1544" s="3"/>
      <c r="B1544" s="91" t="s">
        <v>70</v>
      </c>
      <c r="C1544" s="15">
        <f>$D$8</f>
        <v>0</v>
      </c>
      <c r="D1544" s="92"/>
      <c r="E1544" s="93"/>
      <c r="F1544" s="94">
        <f>ROUND(SUM(F1542:F1543)*C1544,2)</f>
        <v>0</v>
      </c>
    </row>
    <row r="1545" spans="1:6" ht="12.75" customHeight="1" thickBot="1" x14ac:dyDescent="0.25">
      <c r="A1545" s="98"/>
      <c r="B1545" s="99" t="s">
        <v>262</v>
      </c>
      <c r="C1545" s="100"/>
      <c r="D1545" s="100"/>
      <c r="E1545" s="101"/>
      <c r="F1545" s="102">
        <f>SUM(F1542:F1544)</f>
        <v>0</v>
      </c>
    </row>
    <row r="1546" spans="1:6" ht="12.75" customHeight="1" thickBot="1" x14ac:dyDescent="0.25">
      <c r="A1546" s="252"/>
      <c r="B1546" s="253"/>
      <c r="C1546" s="254"/>
      <c r="D1546" s="254"/>
      <c r="E1546" s="255"/>
      <c r="F1546" s="256"/>
    </row>
    <row r="1547" spans="1:6" ht="30" customHeight="1" x14ac:dyDescent="0.2">
      <c r="A1547" s="5" t="str">
        <f>'A IV.A'!$A$59</f>
        <v>3.2.10</v>
      </c>
      <c r="B1547" s="416" t="str">
        <f>'A IV.A'!B59</f>
        <v>PORTA EM ALUMÍNIO TIPO VENEZIANA, 1 FOLHA, ACABAMENTO EM PINTURA ELETROSTÁTICA BRANCA, 60 MICRAS, CONFORME MEMORIAL, INCLUSIVE FERRAGENS (TRÊS DOBRADIÇAS E DOIS FERROLHOS COM PORTA-CADEADO)</v>
      </c>
      <c r="C1547" s="526" t="s">
        <v>269</v>
      </c>
      <c r="D1547" s="527"/>
      <c r="E1547" s="417" t="str">
        <f>'A IV.A'!$C$59</f>
        <v>M2</v>
      </c>
      <c r="F1547" s="58">
        <f>ROUND(F1567+F1581+F1593,2)</f>
        <v>0</v>
      </c>
    </row>
    <row r="1548" spans="1:6" ht="12.75" customHeight="1" x14ac:dyDescent="0.2">
      <c r="A1548" s="1" t="s">
        <v>17</v>
      </c>
      <c r="B1548" s="418" t="s">
        <v>162</v>
      </c>
      <c r="C1548" s="419" t="s">
        <v>263</v>
      </c>
      <c r="D1548" s="419" t="s">
        <v>264</v>
      </c>
      <c r="E1548" s="420" t="s">
        <v>265</v>
      </c>
      <c r="F1548" s="57" t="s">
        <v>266</v>
      </c>
    </row>
    <row r="1549" spans="1:6" ht="12.75" customHeight="1" x14ac:dyDescent="0.2">
      <c r="A1549" s="6" t="str">
        <f>'A VII.'!$A$99</f>
        <v>1.89</v>
      </c>
      <c r="B1549" s="74" t="str">
        <f>VLOOKUP(A1549,'A VII.'!$A$10:$D$199,2,FALSE)</f>
        <v>SELANTE ELASTICO MONOCOMPONENTE A BASE DE POLIURETANO PARA JUNTAS DIVERSAS</v>
      </c>
      <c r="C1549" s="114">
        <v>0.88290000000000002</v>
      </c>
      <c r="D1549" s="7" t="str">
        <f>VLOOKUP(A1549,'A VII.'!$A$10:$D$199,3,FALSE)</f>
        <v>310 ML</v>
      </c>
      <c r="E1549" s="85">
        <f>'A VII.'!D99</f>
        <v>0</v>
      </c>
      <c r="F1549" s="59">
        <f>ROUND(C1549*E1549,2)</f>
        <v>0</v>
      </c>
    </row>
    <row r="1550" spans="1:6" ht="12.75" customHeight="1" x14ac:dyDescent="0.2">
      <c r="A1550" s="6" t="str">
        <f>'A VII.'!$A$25</f>
        <v>1.16</v>
      </c>
      <c r="B1550" s="74" t="str">
        <f>VLOOKUP(A1550,'A VII.'!$A$10:$D$199,2,FALSE)</f>
        <v>BUCHA DE NYLON S10 E PARAFUSO 6,10X65MM ACO ZINCADO ROSCA SOBERBA, CAB. CHATA FENDA PHILLIPS</v>
      </c>
      <c r="C1550" s="114">
        <v>4.8166000000000002</v>
      </c>
      <c r="D1550" s="7" t="str">
        <f>VLOOKUP(A1550,'A VII.'!$A$10:$D$199,3,FALSE)</f>
        <v>UN</v>
      </c>
      <c r="E1550" s="85">
        <f>'A VII.'!D25</f>
        <v>0</v>
      </c>
      <c r="F1550" s="59">
        <f t="shared" ref="F1550:F1564" si="89">ROUND(C1550*E1550,2)</f>
        <v>0</v>
      </c>
    </row>
    <row r="1551" spans="1:6" ht="12.75" customHeight="1" x14ac:dyDescent="0.2">
      <c r="A1551" s="6" t="str">
        <f>'A VII.'!$A$89</f>
        <v>1.79</v>
      </c>
      <c r="B1551" s="74" t="str">
        <f>VLOOKUP(A1551,'A VII.'!$A$10:$D$199,2,FALSE)</f>
        <v>PORTA ALUMÍNIO TIPO VENEZIANA, 1 FOLHA, ACABAMENTO EM PINTURA ELETROSTÁTICA BRANCA, 60 MICRAS</v>
      </c>
      <c r="C1551" s="114">
        <v>1</v>
      </c>
      <c r="D1551" s="7" t="str">
        <f>VLOOKUP(A1551,'A VII.'!$A$10:$D$199,3,FALSE)</f>
        <v>M2</v>
      </c>
      <c r="E1551" s="85">
        <f>'A VII.'!D89</f>
        <v>0</v>
      </c>
      <c r="F1551" s="59">
        <f t="shared" si="89"/>
        <v>0</v>
      </c>
    </row>
    <row r="1552" spans="1:6" ht="12.75" customHeight="1" x14ac:dyDescent="0.2">
      <c r="A1552" s="6" t="str">
        <f>'A VII.'!$A$57</f>
        <v>1.48</v>
      </c>
      <c r="B1552" s="74" t="str">
        <f>VLOOKUP(A1552,'A VII.'!$A$10:$D$199,2,FALSE)</f>
        <v>GUARNICAO/MOLDURA DE ACABAMENTO PARA ESQUADRIA DE ALUMINIO ANODIZADO NATURAL, 1 FACE</v>
      </c>
      <c r="C1552" s="114">
        <v>6.8503999999999996</v>
      </c>
      <c r="D1552" s="7" t="str">
        <f>VLOOKUP(A1552,'A VII.'!$A$10:$D$199,3,FALSE)</f>
        <v>M</v>
      </c>
      <c r="E1552" s="85">
        <f>'A VII.'!D57</f>
        <v>0</v>
      </c>
      <c r="F1552" s="59">
        <f t="shared" si="89"/>
        <v>0</v>
      </c>
    </row>
    <row r="1553" spans="1:6" ht="12.75" customHeight="1" x14ac:dyDescent="0.2">
      <c r="A1553" s="6" t="str">
        <f>'A VII.'!$A$26</f>
        <v>1.17</v>
      </c>
      <c r="B1553" s="74" t="str">
        <f>VLOOKUP(A1553,'A VII.'!$A$10:$D$199,2,FALSE)</f>
        <v>CADEADO SIMPLES, CORPO EM LATAO MACICO, COM LARGURA DE 50 MM E ALTURA DE APROX 40 MM, HASTE CEMENTADA EM ACO TEMPERADO COM DIAMETRO DE APROX 8,0 MM, INCLUINDO 2 CHAVES</v>
      </c>
      <c r="C1553" s="114">
        <v>0.1</v>
      </c>
      <c r="D1553" s="7" t="str">
        <f>VLOOKUP(A1553,'A VII.'!$A$10:$D$199,3,FALSE)</f>
        <v>UN</v>
      </c>
      <c r="E1553" s="85">
        <f>'A VII.'!$D$26</f>
        <v>0</v>
      </c>
      <c r="F1553" s="59">
        <f t="shared" si="89"/>
        <v>0</v>
      </c>
    </row>
    <row r="1554" spans="1:6" ht="12.75" customHeight="1" x14ac:dyDescent="0.2">
      <c r="A1554" s="6"/>
      <c r="B1554" s="421"/>
      <c r="C1554" s="114"/>
      <c r="D1554" s="7"/>
      <c r="E1554" s="85"/>
      <c r="F1554" s="59">
        <f t="shared" si="89"/>
        <v>0</v>
      </c>
    </row>
    <row r="1555" spans="1:6" ht="12.75" customHeight="1" x14ac:dyDescent="0.2">
      <c r="A1555" s="6"/>
      <c r="B1555" s="421"/>
      <c r="C1555" s="114"/>
      <c r="D1555" s="7"/>
      <c r="E1555" s="85"/>
      <c r="F1555" s="59">
        <f t="shared" si="89"/>
        <v>0</v>
      </c>
    </row>
    <row r="1556" spans="1:6" ht="12.75" customHeight="1" x14ac:dyDescent="0.2">
      <c r="A1556" s="6"/>
      <c r="B1556" s="421"/>
      <c r="C1556" s="114"/>
      <c r="D1556" s="7"/>
      <c r="E1556" s="85"/>
      <c r="F1556" s="59">
        <f t="shared" si="89"/>
        <v>0</v>
      </c>
    </row>
    <row r="1557" spans="1:6" ht="12.75" customHeight="1" x14ac:dyDescent="0.2">
      <c r="A1557" s="6"/>
      <c r="B1557" s="421"/>
      <c r="C1557" s="114"/>
      <c r="D1557" s="7"/>
      <c r="E1557" s="85"/>
      <c r="F1557" s="59">
        <f t="shared" si="89"/>
        <v>0</v>
      </c>
    </row>
    <row r="1558" spans="1:6" ht="12.75" customHeight="1" x14ac:dyDescent="0.2">
      <c r="A1558" s="6"/>
      <c r="B1558" s="421"/>
      <c r="C1558" s="114"/>
      <c r="D1558" s="7"/>
      <c r="E1558" s="85"/>
      <c r="F1558" s="59">
        <f t="shared" si="89"/>
        <v>0</v>
      </c>
    </row>
    <row r="1559" spans="1:6" ht="12.75" customHeight="1" x14ac:dyDescent="0.2">
      <c r="A1559" s="6"/>
      <c r="B1559" s="421"/>
      <c r="C1559" s="114"/>
      <c r="D1559" s="7"/>
      <c r="E1559" s="85"/>
      <c r="F1559" s="59">
        <f t="shared" si="89"/>
        <v>0</v>
      </c>
    </row>
    <row r="1560" spans="1:6" ht="12.75" customHeight="1" x14ac:dyDescent="0.2">
      <c r="A1560" s="6"/>
      <c r="B1560" s="421"/>
      <c r="C1560" s="114"/>
      <c r="D1560" s="423"/>
      <c r="E1560" s="85"/>
      <c r="F1560" s="59">
        <f t="shared" si="89"/>
        <v>0</v>
      </c>
    </row>
    <row r="1561" spans="1:6" ht="12.75" customHeight="1" x14ac:dyDescent="0.2">
      <c r="A1561" s="6"/>
      <c r="B1561" s="421"/>
      <c r="C1561" s="114"/>
      <c r="D1561" s="423"/>
      <c r="E1561" s="85"/>
      <c r="F1561" s="59">
        <f t="shared" si="89"/>
        <v>0</v>
      </c>
    </row>
    <row r="1562" spans="1:6" ht="12.75" customHeight="1" x14ac:dyDescent="0.2">
      <c r="A1562" s="6"/>
      <c r="B1562" s="421"/>
      <c r="C1562" s="114"/>
      <c r="D1562" s="423"/>
      <c r="E1562" s="85"/>
      <c r="F1562" s="59">
        <f t="shared" si="89"/>
        <v>0</v>
      </c>
    </row>
    <row r="1563" spans="1:6" ht="12.75" customHeight="1" x14ac:dyDescent="0.2">
      <c r="A1563" s="3"/>
      <c r="C1563" s="114"/>
      <c r="E1563" s="85"/>
      <c r="F1563" s="59">
        <f t="shared" si="89"/>
        <v>0</v>
      </c>
    </row>
    <row r="1564" spans="1:6" ht="12.75" customHeight="1" x14ac:dyDescent="0.2">
      <c r="A1564" s="3"/>
      <c r="C1564" s="114"/>
      <c r="E1564" s="85"/>
      <c r="F1564" s="59">
        <f t="shared" si="89"/>
        <v>0</v>
      </c>
    </row>
    <row r="1565" spans="1:6" ht="12.75" customHeight="1" x14ac:dyDescent="0.2">
      <c r="A1565" s="3"/>
      <c r="B1565" s="86" t="s">
        <v>258</v>
      </c>
      <c r="C1565" s="87"/>
      <c r="D1565" s="88"/>
      <c r="E1565" s="89"/>
      <c r="F1565" s="90">
        <f>SUM(F1549:F1564)</f>
        <v>0</v>
      </c>
    </row>
    <row r="1566" spans="1:6" ht="12.75" customHeight="1" x14ac:dyDescent="0.2">
      <c r="A1566" s="3"/>
      <c r="B1566" s="91" t="s">
        <v>70</v>
      </c>
      <c r="C1566" s="15">
        <f>$D$8</f>
        <v>0</v>
      </c>
      <c r="D1566" s="92"/>
      <c r="E1566" s="93"/>
      <c r="F1566" s="94">
        <f>ROUND(F1565*C1566,2)</f>
        <v>0</v>
      </c>
    </row>
    <row r="1567" spans="1:6" ht="12.75" customHeight="1" x14ac:dyDescent="0.2">
      <c r="A1567" s="95"/>
      <c r="B1567" s="424" t="s">
        <v>259</v>
      </c>
      <c r="C1567" s="425"/>
      <c r="D1567" s="425"/>
      <c r="E1567" s="426"/>
      <c r="F1567" s="96">
        <f>F1565+F1566</f>
        <v>0</v>
      </c>
    </row>
    <row r="1568" spans="1:6" ht="12.75" customHeight="1" x14ac:dyDescent="0.2">
      <c r="A1568" s="1" t="s">
        <v>5</v>
      </c>
      <c r="B1568" s="418" t="s">
        <v>267</v>
      </c>
      <c r="C1568" s="419" t="s">
        <v>263</v>
      </c>
      <c r="D1568" s="419" t="s">
        <v>264</v>
      </c>
      <c r="E1568" s="420" t="s">
        <v>265</v>
      </c>
      <c r="F1568" s="57" t="s">
        <v>266</v>
      </c>
    </row>
    <row r="1569" spans="1:6" ht="12.75" customHeight="1" x14ac:dyDescent="0.2">
      <c r="A1569" s="3"/>
      <c r="B1569" s="71"/>
      <c r="C1569" s="114"/>
      <c r="E1569" s="85"/>
      <c r="F1569" s="59">
        <f t="shared" ref="F1569:F1578" si="90">ROUND(C1569*E1569,2)</f>
        <v>0</v>
      </c>
    </row>
    <row r="1570" spans="1:6" ht="12.75" customHeight="1" x14ac:dyDescent="0.2">
      <c r="A1570" s="3"/>
      <c r="C1570" s="114"/>
      <c r="E1570" s="85"/>
      <c r="F1570" s="59">
        <f t="shared" si="90"/>
        <v>0</v>
      </c>
    </row>
    <row r="1571" spans="1:6" ht="12.75" customHeight="1" x14ac:dyDescent="0.2">
      <c r="A1571" s="3"/>
      <c r="C1571" s="114"/>
      <c r="E1571" s="85"/>
      <c r="F1571" s="59">
        <f t="shared" si="90"/>
        <v>0</v>
      </c>
    </row>
    <row r="1572" spans="1:6" ht="12.75" customHeight="1" x14ac:dyDescent="0.2">
      <c r="A1572" s="3"/>
      <c r="C1572" s="114"/>
      <c r="E1572" s="85"/>
      <c r="F1572" s="59">
        <f t="shared" si="90"/>
        <v>0</v>
      </c>
    </row>
    <row r="1573" spans="1:6" ht="12.75" customHeight="1" x14ac:dyDescent="0.2">
      <c r="A1573" s="3"/>
      <c r="C1573" s="114"/>
      <c r="E1573" s="85"/>
      <c r="F1573" s="59">
        <f t="shared" si="90"/>
        <v>0</v>
      </c>
    </row>
    <row r="1574" spans="1:6" ht="12.75" customHeight="1" x14ac:dyDescent="0.2">
      <c r="A1574" s="3"/>
      <c r="C1574" s="114"/>
      <c r="E1574" s="85"/>
      <c r="F1574" s="59">
        <f t="shared" si="90"/>
        <v>0</v>
      </c>
    </row>
    <row r="1575" spans="1:6" ht="12.75" customHeight="1" x14ac:dyDescent="0.2">
      <c r="A1575" s="3"/>
      <c r="C1575" s="114"/>
      <c r="E1575" s="85"/>
      <c r="F1575" s="59">
        <f t="shared" si="90"/>
        <v>0</v>
      </c>
    </row>
    <row r="1576" spans="1:6" ht="12.75" customHeight="1" x14ac:dyDescent="0.2">
      <c r="A1576" s="3"/>
      <c r="C1576" s="114"/>
      <c r="E1576" s="85"/>
      <c r="F1576" s="59">
        <f t="shared" si="90"/>
        <v>0</v>
      </c>
    </row>
    <row r="1577" spans="1:6" ht="12.75" customHeight="1" x14ac:dyDescent="0.2">
      <c r="A1577" s="3"/>
      <c r="C1577" s="114"/>
      <c r="E1577" s="85"/>
      <c r="F1577" s="59">
        <f t="shared" si="90"/>
        <v>0</v>
      </c>
    </row>
    <row r="1578" spans="1:6" ht="12.75" customHeight="1" x14ac:dyDescent="0.2">
      <c r="A1578" s="3"/>
      <c r="C1578" s="114"/>
      <c r="E1578" s="85"/>
      <c r="F1578" s="59">
        <f t="shared" si="90"/>
        <v>0</v>
      </c>
    </row>
    <row r="1579" spans="1:6" ht="12.75" customHeight="1" x14ac:dyDescent="0.2">
      <c r="A1579" s="3"/>
      <c r="B1579" s="86" t="s">
        <v>258</v>
      </c>
      <c r="C1579" s="87"/>
      <c r="D1579" s="88"/>
      <c r="E1579" s="89"/>
      <c r="F1579" s="90">
        <f>SUM(F1569:F1578)</f>
        <v>0</v>
      </c>
    </row>
    <row r="1580" spans="1:6" ht="12.75" customHeight="1" x14ac:dyDescent="0.2">
      <c r="A1580" s="3"/>
      <c r="B1580" s="91" t="s">
        <v>70</v>
      </c>
      <c r="C1580" s="15">
        <f>$D$8</f>
        <v>0</v>
      </c>
      <c r="D1580" s="92"/>
      <c r="E1580" s="93"/>
      <c r="F1580" s="94">
        <f>ROUND(C1580*F1579,2)</f>
        <v>0</v>
      </c>
    </row>
    <row r="1581" spans="1:6" ht="12.75" customHeight="1" x14ac:dyDescent="0.2">
      <c r="A1581" s="95"/>
      <c r="B1581" s="424" t="s">
        <v>260</v>
      </c>
      <c r="C1581" s="425"/>
      <c r="D1581" s="425"/>
      <c r="E1581" s="426"/>
      <c r="F1581" s="96">
        <f>F1579+F1580</f>
        <v>0</v>
      </c>
    </row>
    <row r="1582" spans="1:6" ht="12.75" customHeight="1" x14ac:dyDescent="0.2">
      <c r="A1582" s="97" t="s">
        <v>54</v>
      </c>
      <c r="B1582" s="427" t="s">
        <v>268</v>
      </c>
      <c r="C1582" s="428" t="s">
        <v>263</v>
      </c>
      <c r="D1582" s="429" t="s">
        <v>264</v>
      </c>
      <c r="E1582" s="430" t="s">
        <v>265</v>
      </c>
      <c r="F1582" s="57" t="s">
        <v>266</v>
      </c>
    </row>
    <row r="1583" spans="1:6" ht="12.75" customHeight="1" x14ac:dyDescent="0.2">
      <c r="A1583" s="3" t="str">
        <f>'A VII.'!$A$192</f>
        <v>3.12</v>
      </c>
      <c r="B1583" s="74" t="s">
        <v>185</v>
      </c>
      <c r="C1583" s="114">
        <v>0.3826</v>
      </c>
      <c r="D1583" s="54" t="str">
        <f>VLOOKUP(A1583,'A VII.'!$A$10:$D$199,3,FALSE)</f>
        <v>H</v>
      </c>
      <c r="E1583" s="85">
        <f>'A VII.'!D192</f>
        <v>0</v>
      </c>
      <c r="F1583" s="59">
        <f t="shared" ref="F1583:F1589" si="91">ROUND(C1583*E1583,2)</f>
        <v>0</v>
      </c>
    </row>
    <row r="1584" spans="1:6" ht="12.75" customHeight="1" x14ac:dyDescent="0.2">
      <c r="A1584" s="3" t="str">
        <f>'A VII.'!$A$196</f>
        <v>3.16</v>
      </c>
      <c r="B1584" s="74" t="s">
        <v>189</v>
      </c>
      <c r="C1584" s="114">
        <v>0.191</v>
      </c>
      <c r="D1584" s="54" t="str">
        <f>VLOOKUP(A1584,'A VII.'!$A$10:$D$199,3,FALSE)</f>
        <v>H</v>
      </c>
      <c r="E1584" s="85">
        <f>'A VII.'!D196</f>
        <v>0</v>
      </c>
      <c r="F1584" s="59">
        <f t="shared" si="91"/>
        <v>0</v>
      </c>
    </row>
    <row r="1585" spans="1:6" ht="12.75" customHeight="1" x14ac:dyDescent="0.2">
      <c r="A1585" s="3"/>
      <c r="C1585" s="114"/>
      <c r="E1585" s="85"/>
      <c r="F1585" s="59">
        <f t="shared" si="91"/>
        <v>0</v>
      </c>
    </row>
    <row r="1586" spans="1:6" ht="12.75" customHeight="1" x14ac:dyDescent="0.2">
      <c r="A1586" s="3"/>
      <c r="C1586" s="114"/>
      <c r="E1586" s="85"/>
      <c r="F1586" s="59">
        <f t="shared" si="91"/>
        <v>0</v>
      </c>
    </row>
    <row r="1587" spans="1:6" ht="12.75" customHeight="1" x14ac:dyDescent="0.2">
      <c r="A1587" s="3"/>
      <c r="C1587" s="114"/>
      <c r="E1587" s="85"/>
      <c r="F1587" s="59">
        <f t="shared" si="91"/>
        <v>0</v>
      </c>
    </row>
    <row r="1588" spans="1:6" ht="12.75" customHeight="1" x14ac:dyDescent="0.2">
      <c r="A1588" s="3"/>
      <c r="C1588" s="114"/>
      <c r="E1588" s="85"/>
      <c r="F1588" s="59">
        <f t="shared" si="91"/>
        <v>0</v>
      </c>
    </row>
    <row r="1589" spans="1:6" ht="12.75" customHeight="1" x14ac:dyDescent="0.2">
      <c r="A1589" s="3"/>
      <c r="C1589" s="114"/>
      <c r="E1589" s="85"/>
      <c r="F1589" s="59">
        <f t="shared" si="91"/>
        <v>0</v>
      </c>
    </row>
    <row r="1590" spans="1:6" ht="12.75" customHeight="1" x14ac:dyDescent="0.2">
      <c r="A1590" s="3"/>
      <c r="B1590" s="86" t="s">
        <v>258</v>
      </c>
      <c r="C1590" s="87"/>
      <c r="D1590" s="88"/>
      <c r="E1590" s="89"/>
      <c r="F1590" s="90">
        <f>SUM(F1583:F1589)</f>
        <v>0</v>
      </c>
    </row>
    <row r="1591" spans="1:6" ht="12.75" customHeight="1" x14ac:dyDescent="0.2">
      <c r="A1591" s="3"/>
      <c r="B1591" s="91" t="s">
        <v>261</v>
      </c>
      <c r="C1591" s="15">
        <f>'A IX.'!$C$45</f>
        <v>0</v>
      </c>
      <c r="D1591" s="92"/>
      <c r="E1591" s="93"/>
      <c r="F1591" s="94">
        <f>ROUND(F1590*C1591,2)</f>
        <v>0</v>
      </c>
    </row>
    <row r="1592" spans="1:6" ht="12.75" customHeight="1" x14ac:dyDescent="0.2">
      <c r="A1592" s="3"/>
      <c r="B1592" s="91" t="s">
        <v>70</v>
      </c>
      <c r="C1592" s="15">
        <f>$D$8</f>
        <v>0</v>
      </c>
      <c r="D1592" s="92"/>
      <c r="E1592" s="93"/>
      <c r="F1592" s="94">
        <f>ROUND(SUM(F1590:F1591)*C1592,2)</f>
        <v>0</v>
      </c>
    </row>
    <row r="1593" spans="1:6" ht="12.75" customHeight="1" thickBot="1" x14ac:dyDescent="0.25">
      <c r="A1593" s="98"/>
      <c r="B1593" s="99" t="s">
        <v>262</v>
      </c>
      <c r="C1593" s="100"/>
      <c r="D1593" s="100"/>
      <c r="E1593" s="101"/>
      <c r="F1593" s="102">
        <f>SUM(F1590:F1592)</f>
        <v>0</v>
      </c>
    </row>
    <row r="1594" spans="1:6" ht="12.75" customHeight="1" thickBot="1" x14ac:dyDescent="0.25">
      <c r="A1594" s="252"/>
      <c r="B1594" s="253"/>
      <c r="C1594" s="254"/>
      <c r="D1594" s="254"/>
      <c r="E1594" s="255"/>
      <c r="F1594" s="256"/>
    </row>
    <row r="1595" spans="1:6" ht="30" customHeight="1" x14ac:dyDescent="0.2">
      <c r="A1595" s="5" t="str">
        <f>'A IV.A'!A60</f>
        <v>3.2.11</v>
      </c>
      <c r="B1595" s="416" t="str">
        <f>'A IV.A'!B60</f>
        <v>FORNECIMENTO E INSTALAÇÃO DE ESCADA TIPO MARINHEIRO COM GUARDA CORPO DE PROTEÇÃO</v>
      </c>
      <c r="C1595" s="526" t="s">
        <v>269</v>
      </c>
      <c r="D1595" s="527"/>
      <c r="E1595" s="417" t="str">
        <f>'A IV.A'!C60</f>
        <v>M</v>
      </c>
      <c r="F1595" s="58">
        <f>ROUND(F1615+F1629+F1641,2)</f>
        <v>0</v>
      </c>
    </row>
    <row r="1596" spans="1:6" ht="12.75" customHeight="1" x14ac:dyDescent="0.2">
      <c r="A1596" s="1" t="s">
        <v>17</v>
      </c>
      <c r="B1596" s="418" t="s">
        <v>162</v>
      </c>
      <c r="C1596" s="419" t="s">
        <v>263</v>
      </c>
      <c r="D1596" s="419" t="s">
        <v>264</v>
      </c>
      <c r="E1596" s="420" t="s">
        <v>265</v>
      </c>
      <c r="F1596" s="57" t="s">
        <v>266</v>
      </c>
    </row>
    <row r="1597" spans="1:6" ht="12.75" customHeight="1" x14ac:dyDescent="0.2">
      <c r="A1597" s="6" t="str">
        <f>'A VII.'!$A$76</f>
        <v>1.67</v>
      </c>
      <c r="B1597" s="74" t="str">
        <f>'A VII.'!B76</f>
        <v>PARAFUSO DE ACO TIPO CHUMBADOR PARABOLT, DIAMETRO 1/2", COMPRIMENTO 75 MM</v>
      </c>
      <c r="C1597" s="114">
        <v>4</v>
      </c>
      <c r="D1597" s="7" t="str">
        <f>'A VII.'!C76</f>
        <v>UN</v>
      </c>
      <c r="E1597" s="85">
        <f>'A VII.'!D76</f>
        <v>0</v>
      </c>
      <c r="F1597" s="59">
        <f>ROUND(C1597*E1597,2)</f>
        <v>0</v>
      </c>
    </row>
    <row r="1598" spans="1:6" ht="12.75" customHeight="1" x14ac:dyDescent="0.2">
      <c r="A1598" s="6" t="str">
        <f>'A VII.'!$A$51</f>
        <v>1.42</v>
      </c>
      <c r="B1598" s="74" t="str">
        <f>'A VII.'!B51</f>
        <v>ESTANHO PARA SOLDA</v>
      </c>
      <c r="C1598" s="114">
        <v>1.23</v>
      </c>
      <c r="D1598" s="7" t="str">
        <f>'A VII.'!C51</f>
        <v>KG</v>
      </c>
      <c r="E1598" s="85">
        <f>'A VII.'!D51</f>
        <v>0</v>
      </c>
      <c r="F1598" s="59">
        <f t="shared" ref="F1598:F1612" si="92">ROUND(C1598*E1598,2)</f>
        <v>0</v>
      </c>
    </row>
    <row r="1599" spans="1:6" ht="12.75" customHeight="1" x14ac:dyDescent="0.2">
      <c r="A1599" s="6" t="str">
        <f>'A VII.'!$A$23</f>
        <v>1.14</v>
      </c>
      <c r="B1599" s="74" t="str">
        <f>'A VII.'!B23</f>
        <v>BARRA DE FERRO RETANGULAR, BARRA CHATA  (QUALQUER DIMENSÃO / VALOR MÉDIO)</v>
      </c>
      <c r="C1599" s="114">
        <f>6.12+20.41</f>
        <v>26.53</v>
      </c>
      <c r="D1599" s="7" t="str">
        <f>'A VII.'!C23</f>
        <v>KG</v>
      </c>
      <c r="E1599" s="85">
        <f>'A VII.'!D23</f>
        <v>0</v>
      </c>
      <c r="F1599" s="59">
        <f t="shared" si="92"/>
        <v>0</v>
      </c>
    </row>
    <row r="1600" spans="1:6" ht="12.75" customHeight="1" x14ac:dyDescent="0.2">
      <c r="A1600" s="6"/>
      <c r="C1600" s="114"/>
      <c r="D1600" s="7"/>
      <c r="E1600" s="85"/>
      <c r="F1600" s="59">
        <f t="shared" si="92"/>
        <v>0</v>
      </c>
    </row>
    <row r="1601" spans="1:6" ht="12.75" customHeight="1" x14ac:dyDescent="0.2">
      <c r="A1601" s="6"/>
      <c r="C1601" s="114"/>
      <c r="D1601" s="7"/>
      <c r="E1601" s="85"/>
      <c r="F1601" s="59">
        <f t="shared" si="92"/>
        <v>0</v>
      </c>
    </row>
    <row r="1602" spans="1:6" ht="12.75" customHeight="1" x14ac:dyDescent="0.2">
      <c r="A1602" s="6"/>
      <c r="B1602" s="421"/>
      <c r="C1602" s="114"/>
      <c r="D1602" s="7"/>
      <c r="E1602" s="85"/>
      <c r="F1602" s="59">
        <f t="shared" si="92"/>
        <v>0</v>
      </c>
    </row>
    <row r="1603" spans="1:6" ht="12.75" customHeight="1" x14ac:dyDescent="0.2">
      <c r="A1603" s="6"/>
      <c r="B1603" s="421"/>
      <c r="C1603" s="114"/>
      <c r="D1603" s="7"/>
      <c r="E1603" s="85"/>
      <c r="F1603" s="59">
        <f t="shared" si="92"/>
        <v>0</v>
      </c>
    </row>
    <row r="1604" spans="1:6" ht="12.75" customHeight="1" x14ac:dyDescent="0.2">
      <c r="A1604" s="6"/>
      <c r="B1604" s="421"/>
      <c r="C1604" s="114"/>
      <c r="D1604" s="7"/>
      <c r="E1604" s="85"/>
      <c r="F1604" s="59">
        <f t="shared" si="92"/>
        <v>0</v>
      </c>
    </row>
    <row r="1605" spans="1:6" ht="12.75" customHeight="1" x14ac:dyDescent="0.2">
      <c r="A1605" s="6"/>
      <c r="B1605" s="421"/>
      <c r="C1605" s="114"/>
      <c r="D1605" s="7"/>
      <c r="E1605" s="85"/>
      <c r="F1605" s="59">
        <f t="shared" si="92"/>
        <v>0</v>
      </c>
    </row>
    <row r="1606" spans="1:6" ht="12.75" customHeight="1" x14ac:dyDescent="0.2">
      <c r="A1606" s="6"/>
      <c r="B1606" s="421"/>
      <c r="C1606" s="114"/>
      <c r="D1606" s="7"/>
      <c r="E1606" s="85"/>
      <c r="F1606" s="59">
        <f t="shared" si="92"/>
        <v>0</v>
      </c>
    </row>
    <row r="1607" spans="1:6" ht="12.75" customHeight="1" x14ac:dyDescent="0.2">
      <c r="A1607" s="6"/>
      <c r="B1607" s="421"/>
      <c r="C1607" s="114"/>
      <c r="D1607" s="7"/>
      <c r="E1607" s="85"/>
      <c r="F1607" s="59">
        <f t="shared" si="92"/>
        <v>0</v>
      </c>
    </row>
    <row r="1608" spans="1:6" ht="12.75" customHeight="1" x14ac:dyDescent="0.2">
      <c r="A1608" s="6"/>
      <c r="B1608" s="421"/>
      <c r="C1608" s="114"/>
      <c r="D1608" s="423"/>
      <c r="E1608" s="85"/>
      <c r="F1608" s="59">
        <f t="shared" si="92"/>
        <v>0</v>
      </c>
    </row>
    <row r="1609" spans="1:6" ht="12.75" customHeight="1" x14ac:dyDescent="0.2">
      <c r="A1609" s="6"/>
      <c r="B1609" s="421"/>
      <c r="C1609" s="114"/>
      <c r="D1609" s="423"/>
      <c r="E1609" s="85"/>
      <c r="F1609" s="59">
        <f t="shared" si="92"/>
        <v>0</v>
      </c>
    </row>
    <row r="1610" spans="1:6" ht="12.75" customHeight="1" x14ac:dyDescent="0.2">
      <c r="A1610" s="6"/>
      <c r="B1610" s="421"/>
      <c r="C1610" s="114"/>
      <c r="D1610" s="423"/>
      <c r="E1610" s="85"/>
      <c r="F1610" s="59">
        <f t="shared" si="92"/>
        <v>0</v>
      </c>
    </row>
    <row r="1611" spans="1:6" ht="12.75" customHeight="1" x14ac:dyDescent="0.2">
      <c r="A1611" s="3"/>
      <c r="C1611" s="114"/>
      <c r="E1611" s="85"/>
      <c r="F1611" s="59">
        <f t="shared" si="92"/>
        <v>0</v>
      </c>
    </row>
    <row r="1612" spans="1:6" ht="12.75" customHeight="1" x14ac:dyDescent="0.2">
      <c r="A1612" s="3"/>
      <c r="C1612" s="114"/>
      <c r="E1612" s="85"/>
      <c r="F1612" s="59">
        <f t="shared" si="92"/>
        <v>0</v>
      </c>
    </row>
    <row r="1613" spans="1:6" ht="12.75" customHeight="1" x14ac:dyDescent="0.2">
      <c r="A1613" s="3"/>
      <c r="B1613" s="86" t="s">
        <v>258</v>
      </c>
      <c r="C1613" s="87"/>
      <c r="D1613" s="88"/>
      <c r="E1613" s="89"/>
      <c r="F1613" s="90">
        <f>SUM(F1597:F1612)</f>
        <v>0</v>
      </c>
    </row>
    <row r="1614" spans="1:6" ht="12.75" customHeight="1" x14ac:dyDescent="0.2">
      <c r="A1614" s="3"/>
      <c r="B1614" s="91" t="s">
        <v>70</v>
      </c>
      <c r="C1614" s="15">
        <f>$D$8</f>
        <v>0</v>
      </c>
      <c r="D1614" s="92"/>
      <c r="E1614" s="93"/>
      <c r="F1614" s="94">
        <f>ROUND(F1613*C1614,2)</f>
        <v>0</v>
      </c>
    </row>
    <row r="1615" spans="1:6" ht="12.75" customHeight="1" x14ac:dyDescent="0.2">
      <c r="A1615" s="95"/>
      <c r="B1615" s="424" t="s">
        <v>259</v>
      </c>
      <c r="C1615" s="425"/>
      <c r="D1615" s="425"/>
      <c r="E1615" s="426"/>
      <c r="F1615" s="96">
        <f>F1613+F1614</f>
        <v>0</v>
      </c>
    </row>
    <row r="1616" spans="1:6" ht="12.75" customHeight="1" x14ac:dyDescent="0.2">
      <c r="A1616" s="1" t="s">
        <v>5</v>
      </c>
      <c r="B1616" s="418" t="s">
        <v>267</v>
      </c>
      <c r="C1616" s="419" t="s">
        <v>263</v>
      </c>
      <c r="D1616" s="419" t="s">
        <v>264</v>
      </c>
      <c r="E1616" s="420" t="s">
        <v>265</v>
      </c>
      <c r="F1616" s="57" t="s">
        <v>266</v>
      </c>
    </row>
    <row r="1617" spans="1:6" ht="12.75" customHeight="1" x14ac:dyDescent="0.2">
      <c r="A1617" s="3" t="str">
        <f>'A VII.'!$A$152</f>
        <v>2.10</v>
      </c>
      <c r="B1617" s="71" t="str">
        <f>'A VII.'!B152</f>
        <v>CAMINHÃO - CARROCERIA FIXA ABERTA DE MADEIRA COM CAPACIDADE 5 T *160CV - CHP</v>
      </c>
      <c r="C1617" s="114">
        <v>0.5</v>
      </c>
      <c r="D1617" s="54" t="str">
        <f>'A VII.'!C152</f>
        <v>CHP</v>
      </c>
      <c r="E1617" s="85">
        <f>'A VII.'!D152</f>
        <v>0</v>
      </c>
      <c r="F1617" s="59">
        <f t="shared" ref="F1617:F1626" si="93">ROUND(C1617*E1617,2)</f>
        <v>0</v>
      </c>
    </row>
    <row r="1618" spans="1:6" ht="12.75" customHeight="1" x14ac:dyDescent="0.2">
      <c r="A1618" s="3"/>
      <c r="C1618" s="114"/>
      <c r="E1618" s="85"/>
      <c r="F1618" s="59">
        <f t="shared" si="93"/>
        <v>0</v>
      </c>
    </row>
    <row r="1619" spans="1:6" ht="12.75" customHeight="1" x14ac:dyDescent="0.2">
      <c r="A1619" s="3"/>
      <c r="C1619" s="114"/>
      <c r="E1619" s="85"/>
      <c r="F1619" s="59">
        <f t="shared" si="93"/>
        <v>0</v>
      </c>
    </row>
    <row r="1620" spans="1:6" ht="12.75" customHeight="1" x14ac:dyDescent="0.2">
      <c r="A1620" s="3"/>
      <c r="C1620" s="114"/>
      <c r="E1620" s="85"/>
      <c r="F1620" s="59">
        <f t="shared" si="93"/>
        <v>0</v>
      </c>
    </row>
    <row r="1621" spans="1:6" ht="12.75" customHeight="1" x14ac:dyDescent="0.2">
      <c r="A1621" s="3"/>
      <c r="C1621" s="114"/>
      <c r="E1621" s="85"/>
      <c r="F1621" s="59">
        <f t="shared" si="93"/>
        <v>0</v>
      </c>
    </row>
    <row r="1622" spans="1:6" ht="12.75" customHeight="1" x14ac:dyDescent="0.2">
      <c r="A1622" s="3"/>
      <c r="C1622" s="114"/>
      <c r="E1622" s="85"/>
      <c r="F1622" s="59">
        <f t="shared" si="93"/>
        <v>0</v>
      </c>
    </row>
    <row r="1623" spans="1:6" ht="12.75" customHeight="1" x14ac:dyDescent="0.2">
      <c r="A1623" s="3"/>
      <c r="C1623" s="114"/>
      <c r="E1623" s="85"/>
      <c r="F1623" s="59">
        <f t="shared" si="93"/>
        <v>0</v>
      </c>
    </row>
    <row r="1624" spans="1:6" ht="12.75" customHeight="1" x14ac:dyDescent="0.2">
      <c r="A1624" s="3"/>
      <c r="C1624" s="114"/>
      <c r="E1624" s="85"/>
      <c r="F1624" s="59">
        <f t="shared" si="93"/>
        <v>0</v>
      </c>
    </row>
    <row r="1625" spans="1:6" ht="12.75" customHeight="1" x14ac:dyDescent="0.2">
      <c r="A1625" s="3"/>
      <c r="C1625" s="114"/>
      <c r="E1625" s="85"/>
      <c r="F1625" s="59">
        <f t="shared" si="93"/>
        <v>0</v>
      </c>
    </row>
    <row r="1626" spans="1:6" ht="12.75" customHeight="1" x14ac:dyDescent="0.2">
      <c r="A1626" s="3"/>
      <c r="C1626" s="114"/>
      <c r="E1626" s="85"/>
      <c r="F1626" s="59">
        <f t="shared" si="93"/>
        <v>0</v>
      </c>
    </row>
    <row r="1627" spans="1:6" ht="12.75" customHeight="1" x14ac:dyDescent="0.2">
      <c r="A1627" s="3"/>
      <c r="B1627" s="86" t="s">
        <v>258</v>
      </c>
      <c r="C1627" s="87"/>
      <c r="D1627" s="88"/>
      <c r="E1627" s="89"/>
      <c r="F1627" s="90">
        <f>SUM(F1617:F1626)</f>
        <v>0</v>
      </c>
    </row>
    <row r="1628" spans="1:6" ht="12.75" customHeight="1" x14ac:dyDescent="0.2">
      <c r="A1628" s="3"/>
      <c r="B1628" s="91" t="s">
        <v>70</v>
      </c>
      <c r="C1628" s="15">
        <f>$D$8</f>
        <v>0</v>
      </c>
      <c r="D1628" s="92"/>
      <c r="E1628" s="93"/>
      <c r="F1628" s="94">
        <f>ROUND(C1628*F1627,2)</f>
        <v>0</v>
      </c>
    </row>
    <row r="1629" spans="1:6" ht="12.75" customHeight="1" x14ac:dyDescent="0.2">
      <c r="A1629" s="95"/>
      <c r="B1629" s="424" t="s">
        <v>260</v>
      </c>
      <c r="C1629" s="425"/>
      <c r="D1629" s="425"/>
      <c r="E1629" s="426"/>
      <c r="F1629" s="96">
        <f>F1627+F1628</f>
        <v>0</v>
      </c>
    </row>
    <row r="1630" spans="1:6" ht="12.75" customHeight="1" x14ac:dyDescent="0.2">
      <c r="A1630" s="97" t="s">
        <v>54</v>
      </c>
      <c r="B1630" s="427" t="s">
        <v>268</v>
      </c>
      <c r="C1630" s="428" t="s">
        <v>263</v>
      </c>
      <c r="D1630" s="429" t="s">
        <v>264</v>
      </c>
      <c r="E1630" s="430" t="s">
        <v>265</v>
      </c>
      <c r="F1630" s="57" t="s">
        <v>266</v>
      </c>
    </row>
    <row r="1631" spans="1:6" ht="12.75" customHeight="1" x14ac:dyDescent="0.2">
      <c r="A1631" s="3" t="str">
        <f>'A VII.'!$A$181</f>
        <v>3.1</v>
      </c>
      <c r="B1631" s="74" t="str">
        <f>'A VII.'!B181</f>
        <v>AJUDANTE COM ENCARGOS COMPLEMENTARES</v>
      </c>
      <c r="C1631" s="114">
        <v>6</v>
      </c>
      <c r="D1631" s="54" t="str">
        <f>'A VII.'!C181</f>
        <v>H</v>
      </c>
      <c r="E1631" s="85">
        <f>'A VII.'!D181</f>
        <v>0</v>
      </c>
      <c r="F1631" s="59">
        <f t="shared" ref="F1631:F1637" si="94">ROUND(C1631*E1631,2)</f>
        <v>0</v>
      </c>
    </row>
    <row r="1632" spans="1:6" ht="12.75" customHeight="1" x14ac:dyDescent="0.2">
      <c r="A1632" s="3" t="str">
        <f>'A VII.'!$A$192</f>
        <v>3.12</v>
      </c>
      <c r="B1632" s="74" t="str">
        <f>'A VII.'!B192</f>
        <v>PEDREIRO COM ENCARGOS COMPLEMENTARES</v>
      </c>
      <c r="C1632" s="114">
        <v>3</v>
      </c>
      <c r="D1632" s="54" t="str">
        <f>'A VII.'!C192</f>
        <v>H</v>
      </c>
      <c r="E1632" s="85">
        <f>'A VII.'!D192</f>
        <v>0</v>
      </c>
      <c r="F1632" s="59">
        <f t="shared" si="94"/>
        <v>0</v>
      </c>
    </row>
    <row r="1633" spans="1:6" ht="12.75" customHeight="1" x14ac:dyDescent="0.2">
      <c r="A1633" s="3" t="str">
        <f>'A VII.'!$A$197</f>
        <v>3.17</v>
      </c>
      <c r="B1633" s="74" t="str">
        <f>'A VII.'!B197</f>
        <v>SOLDADOR COM ENCARGOS COMPLEMENTARES</v>
      </c>
      <c r="C1633" s="114">
        <v>3</v>
      </c>
      <c r="D1633" s="54" t="str">
        <f>'A VII.'!C197</f>
        <v>H</v>
      </c>
      <c r="E1633" s="85">
        <f>'A VII.'!D197</f>
        <v>0</v>
      </c>
      <c r="F1633" s="59">
        <f t="shared" si="94"/>
        <v>0</v>
      </c>
    </row>
    <row r="1634" spans="1:6" ht="12.75" customHeight="1" x14ac:dyDescent="0.2">
      <c r="A1634" s="3"/>
      <c r="C1634" s="114"/>
      <c r="E1634" s="85"/>
      <c r="F1634" s="59"/>
    </row>
    <row r="1635" spans="1:6" ht="12.75" customHeight="1" x14ac:dyDescent="0.2">
      <c r="A1635" s="3"/>
      <c r="C1635" s="114"/>
      <c r="E1635" s="85"/>
      <c r="F1635" s="59">
        <f t="shared" si="94"/>
        <v>0</v>
      </c>
    </row>
    <row r="1636" spans="1:6" ht="12.75" customHeight="1" x14ac:dyDescent="0.2">
      <c r="A1636" s="3"/>
      <c r="C1636" s="114"/>
      <c r="E1636" s="85"/>
      <c r="F1636" s="59">
        <f t="shared" si="94"/>
        <v>0</v>
      </c>
    </row>
    <row r="1637" spans="1:6" ht="12.75" customHeight="1" x14ac:dyDescent="0.2">
      <c r="A1637" s="3"/>
      <c r="C1637" s="114"/>
      <c r="E1637" s="85"/>
      <c r="F1637" s="59">
        <f t="shared" si="94"/>
        <v>0</v>
      </c>
    </row>
    <row r="1638" spans="1:6" ht="12.75" customHeight="1" x14ac:dyDescent="0.2">
      <c r="A1638" s="3"/>
      <c r="B1638" s="86" t="s">
        <v>258</v>
      </c>
      <c r="C1638" s="87"/>
      <c r="D1638" s="88"/>
      <c r="E1638" s="89"/>
      <c r="F1638" s="90">
        <f>SUM(F1631:F1637)</f>
        <v>0</v>
      </c>
    </row>
    <row r="1639" spans="1:6" ht="12.75" customHeight="1" x14ac:dyDescent="0.2">
      <c r="A1639" s="3"/>
      <c r="B1639" s="91" t="s">
        <v>261</v>
      </c>
      <c r="C1639" s="15">
        <f>'A IX.'!$C$45</f>
        <v>0</v>
      </c>
      <c r="D1639" s="92"/>
      <c r="E1639" s="93"/>
      <c r="F1639" s="94">
        <f>ROUND(F1638*C1639,2)</f>
        <v>0</v>
      </c>
    </row>
    <row r="1640" spans="1:6" ht="12.75" customHeight="1" x14ac:dyDescent="0.2">
      <c r="A1640" s="3"/>
      <c r="B1640" s="91" t="s">
        <v>70</v>
      </c>
      <c r="C1640" s="15">
        <f>$D$8</f>
        <v>0</v>
      </c>
      <c r="D1640" s="92"/>
      <c r="E1640" s="93"/>
      <c r="F1640" s="94">
        <f>ROUND(SUM(F1638:F1639)*C1640,2)</f>
        <v>0</v>
      </c>
    </row>
    <row r="1641" spans="1:6" ht="12.75" customHeight="1" thickBot="1" x14ac:dyDescent="0.25">
      <c r="A1641" s="98"/>
      <c r="B1641" s="99" t="s">
        <v>262</v>
      </c>
      <c r="C1641" s="100"/>
      <c r="D1641" s="100"/>
      <c r="E1641" s="101"/>
      <c r="F1641" s="102">
        <f>SUM(F1638:F1640)</f>
        <v>0</v>
      </c>
    </row>
    <row r="1642" spans="1:6" ht="12.75" customHeight="1" thickBot="1" x14ac:dyDescent="0.25">
      <c r="A1642" s="252"/>
      <c r="B1642" s="253"/>
      <c r="C1642" s="254"/>
      <c r="D1642" s="254"/>
      <c r="E1642" s="255"/>
      <c r="F1642" s="256"/>
    </row>
    <row r="1643" spans="1:6" ht="30" customHeight="1" x14ac:dyDescent="0.2">
      <c r="A1643" s="5" t="str">
        <f>'A IV.A'!$A$62</f>
        <v>3.3.1</v>
      </c>
      <c r="B1643" s="416" t="str">
        <f>'A IV.A'!$B$62</f>
        <v>RECUPERAÇÃO E EXECUÇÃO DE MURETA</v>
      </c>
      <c r="C1643" s="526" t="s">
        <v>269</v>
      </c>
      <c r="D1643" s="527"/>
      <c r="E1643" s="417" t="str">
        <f>'A IV.A'!$C$62</f>
        <v>M</v>
      </c>
      <c r="F1643" s="58">
        <f>ROUND(F1663+F1677+F1689,2)</f>
        <v>0</v>
      </c>
    </row>
    <row r="1644" spans="1:6" ht="12.75" customHeight="1" x14ac:dyDescent="0.2">
      <c r="A1644" s="1" t="s">
        <v>17</v>
      </c>
      <c r="B1644" s="418" t="s">
        <v>162</v>
      </c>
      <c r="C1644" s="419" t="s">
        <v>263</v>
      </c>
      <c r="D1644" s="419" t="s">
        <v>264</v>
      </c>
      <c r="E1644" s="420" t="s">
        <v>265</v>
      </c>
      <c r="F1644" s="57" t="s">
        <v>266</v>
      </c>
    </row>
    <row r="1645" spans="1:6" ht="12.75" customHeight="1" x14ac:dyDescent="0.2">
      <c r="A1645" s="6" t="str">
        <f>'A VII.'!$A$19</f>
        <v>1.10</v>
      </c>
      <c r="B1645" s="74" t="str">
        <f>VLOOKUP(A1645,'A VII.'!$A$10:$D$199,2,FALSE)</f>
        <v>AREIA MÉDIA LAVADA</v>
      </c>
      <c r="C1645" s="114">
        <v>2.01E-2</v>
      </c>
      <c r="D1645" s="7" t="str">
        <f>VLOOKUP(A1645,'A VII.'!$A$10:$D$199,3,FALSE)</f>
        <v>M3</v>
      </c>
      <c r="E1645" s="85">
        <f>'A VII.'!D19</f>
        <v>0</v>
      </c>
      <c r="F1645" s="59">
        <f>ROUND(C1645*E1645,2)</f>
        <v>0</v>
      </c>
    </row>
    <row r="1646" spans="1:6" ht="12.75" customHeight="1" x14ac:dyDescent="0.2">
      <c r="A1646" s="6" t="str">
        <f>'A VII.'!$A$84</f>
        <v>1.74</v>
      </c>
      <c r="B1646" s="74" t="str">
        <f>VLOOKUP(A1646,'A VII.'!$A$10:$D$199,2,FALSE)</f>
        <v>PEDRA BRITADA Nº 2 GRANULOMETRIA ENTRE (21,0 E 32,0 MM)</v>
      </c>
      <c r="C1646" s="114">
        <v>2.53E-2</v>
      </c>
      <c r="D1646" s="7" t="str">
        <f>VLOOKUP(A1646,'A VII.'!$A$10:$D$199,3,FALSE)</f>
        <v>M3</v>
      </c>
      <c r="E1646" s="85">
        <f>'A VII.'!D84</f>
        <v>0</v>
      </c>
      <c r="F1646" s="59">
        <f t="shared" ref="F1646:F1660" si="95">ROUND(C1646*E1646,2)</f>
        <v>0</v>
      </c>
    </row>
    <row r="1647" spans="1:6" ht="12.75" customHeight="1" x14ac:dyDescent="0.2">
      <c r="A1647" s="6" t="str">
        <f>'A VII.'!$A$38</f>
        <v>1.29</v>
      </c>
      <c r="B1647" s="74" t="str">
        <f>VLOOKUP(A1647,'A VII.'!$A$10:$D$199,2,FALSE)</f>
        <v>CIMENTO PORTLAND CP II-E-32</v>
      </c>
      <c r="C1647" s="114">
        <v>6.34</v>
      </c>
      <c r="D1647" s="7" t="str">
        <f>VLOOKUP(A1647,'A VII.'!$A$10:$D$199,3,FALSE)</f>
        <v>KG</v>
      </c>
      <c r="E1647" s="85">
        <f>'A VII.'!D38</f>
        <v>0</v>
      </c>
      <c r="F1647" s="59">
        <f t="shared" si="95"/>
        <v>0</v>
      </c>
    </row>
    <row r="1648" spans="1:6" ht="12.75" customHeight="1" x14ac:dyDescent="0.2">
      <c r="A1648" s="6" t="str">
        <f>'A VII.'!$A$112</f>
        <v>1.102</v>
      </c>
      <c r="B1648" s="74" t="str">
        <f>VLOOKUP(A1648,'A VII.'!$A$10:$D$199,2,FALSE)</f>
        <v>TINTA LÁTEX ACRÍLICA - 1ª LINHA</v>
      </c>
      <c r="C1648" s="114">
        <v>5.6000000000000001E-2</v>
      </c>
      <c r="D1648" s="7" t="str">
        <f>VLOOKUP(A1648,'A VII.'!$A$10:$D$199,3,FALSE)</f>
        <v>L</v>
      </c>
      <c r="E1648" s="85">
        <f>'A VII.'!$D$112</f>
        <v>0</v>
      </c>
      <c r="F1648" s="59">
        <f t="shared" si="95"/>
        <v>0</v>
      </c>
    </row>
    <row r="1649" spans="1:6" ht="12.75" customHeight="1" x14ac:dyDescent="0.2">
      <c r="A1649" s="6"/>
      <c r="B1649" s="421"/>
      <c r="C1649" s="114"/>
      <c r="D1649" s="7"/>
      <c r="E1649" s="85"/>
      <c r="F1649" s="59">
        <f t="shared" si="95"/>
        <v>0</v>
      </c>
    </row>
    <row r="1650" spans="1:6" ht="12.75" customHeight="1" x14ac:dyDescent="0.2">
      <c r="A1650" s="6"/>
      <c r="B1650" s="421"/>
      <c r="C1650" s="114"/>
      <c r="D1650" s="7"/>
      <c r="E1650" s="85"/>
      <c r="F1650" s="59">
        <f t="shared" si="95"/>
        <v>0</v>
      </c>
    </row>
    <row r="1651" spans="1:6" ht="12.75" customHeight="1" x14ac:dyDescent="0.2">
      <c r="A1651" s="6"/>
      <c r="B1651" s="421"/>
      <c r="C1651" s="114"/>
      <c r="D1651" s="7"/>
      <c r="E1651" s="85"/>
      <c r="F1651" s="59">
        <f t="shared" si="95"/>
        <v>0</v>
      </c>
    </row>
    <row r="1652" spans="1:6" ht="12.75" customHeight="1" x14ac:dyDescent="0.2">
      <c r="A1652" s="6"/>
      <c r="B1652" s="421"/>
      <c r="C1652" s="114"/>
      <c r="D1652" s="7"/>
      <c r="E1652" s="85"/>
      <c r="F1652" s="59">
        <f t="shared" si="95"/>
        <v>0</v>
      </c>
    </row>
    <row r="1653" spans="1:6" ht="12.75" customHeight="1" x14ac:dyDescent="0.2">
      <c r="A1653" s="6"/>
      <c r="B1653" s="421"/>
      <c r="C1653" s="114"/>
      <c r="D1653" s="7"/>
      <c r="E1653" s="85"/>
      <c r="F1653" s="59">
        <f t="shared" si="95"/>
        <v>0</v>
      </c>
    </row>
    <row r="1654" spans="1:6" ht="12.75" customHeight="1" x14ac:dyDescent="0.2">
      <c r="A1654" s="6"/>
      <c r="B1654" s="421"/>
      <c r="C1654" s="114"/>
      <c r="D1654" s="7"/>
      <c r="E1654" s="85"/>
      <c r="F1654" s="59">
        <f t="shared" si="95"/>
        <v>0</v>
      </c>
    </row>
    <row r="1655" spans="1:6" ht="12.75" customHeight="1" x14ac:dyDescent="0.2">
      <c r="A1655" s="6"/>
      <c r="B1655" s="421"/>
      <c r="C1655" s="114"/>
      <c r="D1655" s="7"/>
      <c r="E1655" s="85"/>
      <c r="F1655" s="59">
        <f t="shared" si="95"/>
        <v>0</v>
      </c>
    </row>
    <row r="1656" spans="1:6" ht="12.75" customHeight="1" x14ac:dyDescent="0.2">
      <c r="A1656" s="6"/>
      <c r="B1656" s="421"/>
      <c r="C1656" s="114"/>
      <c r="D1656" s="423"/>
      <c r="E1656" s="85"/>
      <c r="F1656" s="59">
        <f t="shared" si="95"/>
        <v>0</v>
      </c>
    </row>
    <row r="1657" spans="1:6" ht="12.75" customHeight="1" x14ac:dyDescent="0.2">
      <c r="A1657" s="6"/>
      <c r="B1657" s="421"/>
      <c r="C1657" s="114"/>
      <c r="D1657" s="423"/>
      <c r="E1657" s="85"/>
      <c r="F1657" s="59">
        <f t="shared" si="95"/>
        <v>0</v>
      </c>
    </row>
    <row r="1658" spans="1:6" ht="12.75" customHeight="1" x14ac:dyDescent="0.2">
      <c r="A1658" s="6"/>
      <c r="B1658" s="421"/>
      <c r="C1658" s="114"/>
      <c r="D1658" s="423"/>
      <c r="E1658" s="85"/>
      <c r="F1658" s="59">
        <f t="shared" si="95"/>
        <v>0</v>
      </c>
    </row>
    <row r="1659" spans="1:6" ht="12.75" customHeight="1" x14ac:dyDescent="0.2">
      <c r="A1659" s="3"/>
      <c r="C1659" s="114"/>
      <c r="E1659" s="85"/>
      <c r="F1659" s="59">
        <f t="shared" si="95"/>
        <v>0</v>
      </c>
    </row>
    <row r="1660" spans="1:6" ht="12.75" customHeight="1" x14ac:dyDescent="0.2">
      <c r="A1660" s="3"/>
      <c r="C1660" s="114"/>
      <c r="E1660" s="85"/>
      <c r="F1660" s="59">
        <f t="shared" si="95"/>
        <v>0</v>
      </c>
    </row>
    <row r="1661" spans="1:6" ht="12.75" customHeight="1" x14ac:dyDescent="0.2">
      <c r="A1661" s="3"/>
      <c r="B1661" s="86" t="s">
        <v>258</v>
      </c>
      <c r="C1661" s="87"/>
      <c r="D1661" s="88"/>
      <c r="E1661" s="89"/>
      <c r="F1661" s="90">
        <f>SUM(F1645:F1660)</f>
        <v>0</v>
      </c>
    </row>
    <row r="1662" spans="1:6" ht="12.75" customHeight="1" x14ac:dyDescent="0.2">
      <c r="A1662" s="3"/>
      <c r="B1662" s="91" t="s">
        <v>70</v>
      </c>
      <c r="C1662" s="15">
        <f>$D$8</f>
        <v>0</v>
      </c>
      <c r="D1662" s="92"/>
      <c r="E1662" s="93"/>
      <c r="F1662" s="94">
        <f>ROUND(F1661*C1662,2)</f>
        <v>0</v>
      </c>
    </row>
    <row r="1663" spans="1:6" ht="12.75" customHeight="1" x14ac:dyDescent="0.2">
      <c r="A1663" s="95"/>
      <c r="B1663" s="424" t="s">
        <v>259</v>
      </c>
      <c r="C1663" s="425"/>
      <c r="D1663" s="425"/>
      <c r="E1663" s="426"/>
      <c r="F1663" s="96">
        <f>F1661+F1662</f>
        <v>0</v>
      </c>
    </row>
    <row r="1664" spans="1:6" ht="12.75" customHeight="1" x14ac:dyDescent="0.2">
      <c r="A1664" s="1" t="s">
        <v>5</v>
      </c>
      <c r="B1664" s="418" t="s">
        <v>267</v>
      </c>
      <c r="C1664" s="419" t="s">
        <v>263</v>
      </c>
      <c r="D1664" s="419" t="s">
        <v>264</v>
      </c>
      <c r="E1664" s="420" t="s">
        <v>265</v>
      </c>
      <c r="F1664" s="57" t="s">
        <v>266</v>
      </c>
    </row>
    <row r="1665" spans="1:6" ht="12.75" customHeight="1" x14ac:dyDescent="0.2">
      <c r="A1665" s="3" t="str">
        <f>'A VII.'!$A$149</f>
        <v>2.7</v>
      </c>
      <c r="B1665" s="74" t="str">
        <f>VLOOKUP(A1665,'A VII.'!$A$10:$D$199,2,FALSE)</f>
        <v>BETONEIRA, CAPACIDADE NOMINAL DE 400L, MOTOR ELÉTRICO TRIFÁSICO DE  2CV - CHP</v>
      </c>
      <c r="C1665" s="114">
        <v>1.4500000000000001E-2</v>
      </c>
      <c r="D1665" s="54" t="str">
        <f>VLOOKUP(A1665,'A VII.'!$A$10:$D$199,3,FALSE)</f>
        <v>CHP</v>
      </c>
      <c r="E1665" s="85">
        <f>'A VII.'!$D$149</f>
        <v>0</v>
      </c>
      <c r="F1665" s="59">
        <f t="shared" ref="F1665:F1674" si="96">ROUND(C1665*E1665,2)</f>
        <v>0</v>
      </c>
    </row>
    <row r="1666" spans="1:6" ht="12.75" customHeight="1" x14ac:dyDescent="0.2">
      <c r="A1666" s="3"/>
      <c r="C1666" s="114"/>
      <c r="E1666" s="85"/>
      <c r="F1666" s="59">
        <f t="shared" si="96"/>
        <v>0</v>
      </c>
    </row>
    <row r="1667" spans="1:6" ht="12.75" customHeight="1" x14ac:dyDescent="0.2">
      <c r="A1667" s="3"/>
      <c r="C1667" s="114"/>
      <c r="E1667" s="85"/>
      <c r="F1667" s="59">
        <f t="shared" si="96"/>
        <v>0</v>
      </c>
    </row>
    <row r="1668" spans="1:6" ht="12.75" customHeight="1" x14ac:dyDescent="0.2">
      <c r="A1668" s="3"/>
      <c r="C1668" s="114"/>
      <c r="E1668" s="85"/>
      <c r="F1668" s="59">
        <f t="shared" si="96"/>
        <v>0</v>
      </c>
    </row>
    <row r="1669" spans="1:6" ht="12.75" customHeight="1" x14ac:dyDescent="0.2">
      <c r="A1669" s="3"/>
      <c r="C1669" s="114"/>
      <c r="E1669" s="85"/>
      <c r="F1669" s="59">
        <f t="shared" si="96"/>
        <v>0</v>
      </c>
    </row>
    <row r="1670" spans="1:6" ht="12.75" customHeight="1" x14ac:dyDescent="0.2">
      <c r="A1670" s="3"/>
      <c r="C1670" s="114"/>
      <c r="E1670" s="85"/>
      <c r="F1670" s="59">
        <f t="shared" si="96"/>
        <v>0</v>
      </c>
    </row>
    <row r="1671" spans="1:6" ht="12.75" customHeight="1" x14ac:dyDescent="0.2">
      <c r="A1671" s="3"/>
      <c r="C1671" s="114"/>
      <c r="E1671" s="85"/>
      <c r="F1671" s="59">
        <f t="shared" si="96"/>
        <v>0</v>
      </c>
    </row>
    <row r="1672" spans="1:6" ht="12.75" customHeight="1" x14ac:dyDescent="0.2">
      <c r="A1672" s="3"/>
      <c r="C1672" s="114"/>
      <c r="E1672" s="85"/>
      <c r="F1672" s="59">
        <f t="shared" si="96"/>
        <v>0</v>
      </c>
    </row>
    <row r="1673" spans="1:6" ht="12.75" customHeight="1" x14ac:dyDescent="0.2">
      <c r="A1673" s="3"/>
      <c r="C1673" s="114"/>
      <c r="E1673" s="85"/>
      <c r="F1673" s="59">
        <f t="shared" si="96"/>
        <v>0</v>
      </c>
    </row>
    <row r="1674" spans="1:6" ht="12.75" customHeight="1" x14ac:dyDescent="0.2">
      <c r="A1674" s="3"/>
      <c r="C1674" s="114"/>
      <c r="E1674" s="85"/>
      <c r="F1674" s="59">
        <f t="shared" si="96"/>
        <v>0</v>
      </c>
    </row>
    <row r="1675" spans="1:6" ht="12.75" customHeight="1" x14ac:dyDescent="0.2">
      <c r="A1675" s="3"/>
      <c r="B1675" s="86" t="s">
        <v>258</v>
      </c>
      <c r="C1675" s="87"/>
      <c r="D1675" s="88"/>
      <c r="E1675" s="89"/>
      <c r="F1675" s="90">
        <f>SUM(F1665:F1674)</f>
        <v>0</v>
      </c>
    </row>
    <row r="1676" spans="1:6" ht="12.75" customHeight="1" x14ac:dyDescent="0.2">
      <c r="A1676" s="3"/>
      <c r="B1676" s="91" t="s">
        <v>70</v>
      </c>
      <c r="C1676" s="15">
        <f>$D$8</f>
        <v>0</v>
      </c>
      <c r="D1676" s="92"/>
      <c r="E1676" s="93"/>
      <c r="F1676" s="94">
        <f>ROUND(C1676*F1675,2)</f>
        <v>0</v>
      </c>
    </row>
    <row r="1677" spans="1:6" ht="12.75" customHeight="1" x14ac:dyDescent="0.2">
      <c r="A1677" s="95"/>
      <c r="B1677" s="424" t="s">
        <v>260</v>
      </c>
      <c r="C1677" s="425"/>
      <c r="D1677" s="425"/>
      <c r="E1677" s="426"/>
      <c r="F1677" s="96">
        <f>F1675+F1676</f>
        <v>0</v>
      </c>
    </row>
    <row r="1678" spans="1:6" ht="12.75" customHeight="1" x14ac:dyDescent="0.2">
      <c r="A1678" s="97" t="s">
        <v>54</v>
      </c>
      <c r="B1678" s="427" t="s">
        <v>268</v>
      </c>
      <c r="C1678" s="428" t="s">
        <v>263</v>
      </c>
      <c r="D1678" s="429" t="s">
        <v>264</v>
      </c>
      <c r="E1678" s="430" t="s">
        <v>265</v>
      </c>
      <c r="F1678" s="57" t="s">
        <v>266</v>
      </c>
    </row>
    <row r="1679" spans="1:6" ht="12.75" customHeight="1" x14ac:dyDescent="0.2">
      <c r="A1679" s="3" t="str">
        <f>'A VII.'!$A$196</f>
        <v>3.16</v>
      </c>
      <c r="B1679" s="74" t="s">
        <v>189</v>
      </c>
      <c r="C1679" s="114">
        <v>0.8</v>
      </c>
      <c r="D1679" s="54" t="str">
        <f>VLOOKUP(A1679,'A VII.'!$A$10:$D$199,3,FALSE)</f>
        <v>H</v>
      </c>
      <c r="E1679" s="85">
        <f>'A VII.'!D196</f>
        <v>0</v>
      </c>
      <c r="F1679" s="59">
        <f t="shared" ref="F1679:F1685" si="97">ROUND(C1679*E1679,2)</f>
        <v>0</v>
      </c>
    </row>
    <row r="1680" spans="1:6" ht="12.75" customHeight="1" x14ac:dyDescent="0.2">
      <c r="A1680" s="3" t="str">
        <f>'A VII.'!$A$192</f>
        <v>3.12</v>
      </c>
      <c r="B1680" s="74" t="s">
        <v>185</v>
      </c>
      <c r="C1680" s="114">
        <v>0.3</v>
      </c>
      <c r="D1680" s="54" t="str">
        <f>VLOOKUP(A1680,'A VII.'!$A$10:$D$199,3,FALSE)</f>
        <v>H</v>
      </c>
      <c r="E1680" s="85">
        <f>'A VII.'!$D$192</f>
        <v>0</v>
      </c>
      <c r="F1680" s="59">
        <f t="shared" si="97"/>
        <v>0</v>
      </c>
    </row>
    <row r="1681" spans="1:6" ht="12.75" customHeight="1" x14ac:dyDescent="0.2">
      <c r="A1681" s="3"/>
      <c r="C1681" s="114"/>
      <c r="E1681" s="85"/>
      <c r="F1681" s="59">
        <f t="shared" si="97"/>
        <v>0</v>
      </c>
    </row>
    <row r="1682" spans="1:6" ht="12.75" customHeight="1" x14ac:dyDescent="0.2">
      <c r="A1682" s="3"/>
      <c r="C1682" s="114"/>
      <c r="E1682" s="85"/>
      <c r="F1682" s="59">
        <f t="shared" si="97"/>
        <v>0</v>
      </c>
    </row>
    <row r="1683" spans="1:6" ht="12.75" customHeight="1" x14ac:dyDescent="0.2">
      <c r="A1683" s="3"/>
      <c r="C1683" s="114"/>
      <c r="E1683" s="85"/>
      <c r="F1683" s="59">
        <f t="shared" si="97"/>
        <v>0</v>
      </c>
    </row>
    <row r="1684" spans="1:6" ht="12.75" customHeight="1" x14ac:dyDescent="0.2">
      <c r="A1684" s="3"/>
      <c r="C1684" s="114"/>
      <c r="E1684" s="85"/>
      <c r="F1684" s="59">
        <f t="shared" si="97"/>
        <v>0</v>
      </c>
    </row>
    <row r="1685" spans="1:6" ht="12.75" customHeight="1" x14ac:dyDescent="0.2">
      <c r="A1685" s="3"/>
      <c r="C1685" s="114"/>
      <c r="E1685" s="85"/>
      <c r="F1685" s="59">
        <f t="shared" si="97"/>
        <v>0</v>
      </c>
    </row>
    <row r="1686" spans="1:6" ht="12.75" customHeight="1" x14ac:dyDescent="0.2">
      <c r="A1686" s="3"/>
      <c r="B1686" s="86" t="s">
        <v>258</v>
      </c>
      <c r="C1686" s="87"/>
      <c r="D1686" s="88"/>
      <c r="E1686" s="89"/>
      <c r="F1686" s="90">
        <f>SUM(F1679:F1685)</f>
        <v>0</v>
      </c>
    </row>
    <row r="1687" spans="1:6" ht="12.75" customHeight="1" x14ac:dyDescent="0.2">
      <c r="A1687" s="3"/>
      <c r="B1687" s="91" t="s">
        <v>261</v>
      </c>
      <c r="C1687" s="15">
        <f>'A IX.'!$C$45</f>
        <v>0</v>
      </c>
      <c r="D1687" s="92"/>
      <c r="E1687" s="93"/>
      <c r="F1687" s="94">
        <f>ROUND(F1686*C1687,2)</f>
        <v>0</v>
      </c>
    </row>
    <row r="1688" spans="1:6" ht="12.75" customHeight="1" x14ac:dyDescent="0.2">
      <c r="A1688" s="3"/>
      <c r="B1688" s="91" t="s">
        <v>70</v>
      </c>
      <c r="C1688" s="15">
        <f>$D$8</f>
        <v>0</v>
      </c>
      <c r="D1688" s="92"/>
      <c r="E1688" s="93"/>
      <c r="F1688" s="94">
        <f>ROUND(SUM(F1686:F1687)*C1688,2)</f>
        <v>0</v>
      </c>
    </row>
    <row r="1689" spans="1:6" ht="12.75" customHeight="1" thickBot="1" x14ac:dyDescent="0.25">
      <c r="A1689" s="98"/>
      <c r="B1689" s="99" t="s">
        <v>262</v>
      </c>
      <c r="C1689" s="100"/>
      <c r="D1689" s="100"/>
      <c r="E1689" s="101"/>
      <c r="F1689" s="102">
        <f>SUM(F1686:F1688)</f>
        <v>0</v>
      </c>
    </row>
    <row r="1690" spans="1:6" ht="12.75" customHeight="1" thickBot="1" x14ac:dyDescent="0.25">
      <c r="A1690" s="81"/>
      <c r="B1690" s="82"/>
      <c r="C1690" s="83"/>
      <c r="D1690" s="83"/>
      <c r="E1690" s="84"/>
      <c r="F1690" s="103"/>
    </row>
    <row r="1691" spans="1:6" ht="30" customHeight="1" x14ac:dyDescent="0.2">
      <c r="A1691" s="5" t="str">
        <f>'A IV.A'!$A$63</f>
        <v>3.3.2</v>
      </c>
      <c r="B1691" s="416" t="str">
        <f>'A IV.A'!$B$63</f>
        <v>ALVENARIA DE TIJOLO MACIÇO CERÂMICO 1/2 VEZ</v>
      </c>
      <c r="C1691" s="526" t="s">
        <v>269</v>
      </c>
      <c r="D1691" s="527"/>
      <c r="E1691" s="417" t="str">
        <f>'A IV.A'!$C$63</f>
        <v>M2</v>
      </c>
      <c r="F1691" s="58">
        <f>ROUND(F1711+F1725+F1737,2)</f>
        <v>0</v>
      </c>
    </row>
    <row r="1692" spans="1:6" ht="12.75" customHeight="1" x14ac:dyDescent="0.2">
      <c r="A1692" s="1" t="s">
        <v>17</v>
      </c>
      <c r="B1692" s="418" t="s">
        <v>162</v>
      </c>
      <c r="C1692" s="419" t="s">
        <v>263</v>
      </c>
      <c r="D1692" s="419" t="s">
        <v>264</v>
      </c>
      <c r="E1692" s="420" t="s">
        <v>265</v>
      </c>
      <c r="F1692" s="57" t="s">
        <v>266</v>
      </c>
    </row>
    <row r="1693" spans="1:6" ht="12.75" customHeight="1" x14ac:dyDescent="0.2">
      <c r="A1693" s="6" t="str">
        <f>'A VII.'!$A$19</f>
        <v>1.10</v>
      </c>
      <c r="B1693" s="74" t="str">
        <f>VLOOKUP(A1693,'A VII.'!$A$10:$D$199,2,FALSE)</f>
        <v>AREIA MÉDIA LAVADA</v>
      </c>
      <c r="C1693" s="114">
        <v>5.7456E-3</v>
      </c>
      <c r="D1693" s="7" t="str">
        <f>VLOOKUP(A1693,'A VII.'!$A$10:$D$199,3,FALSE)</f>
        <v>M3</v>
      </c>
      <c r="E1693" s="85">
        <f>'A VII.'!$D$19</f>
        <v>0</v>
      </c>
      <c r="F1693" s="59">
        <f>ROUND(C1693*E1693,2)</f>
        <v>0</v>
      </c>
    </row>
    <row r="1694" spans="1:6" ht="12.75" customHeight="1" x14ac:dyDescent="0.2">
      <c r="A1694" s="6" t="str">
        <f>'A VII.'!$A$29</f>
        <v>1.20</v>
      </c>
      <c r="B1694" s="74" t="str">
        <f>VLOOKUP(A1694,'A VII.'!$A$10:$D$199,2,FALSE)</f>
        <v>CAL HIDRATADA CH III - NBR 7175</v>
      </c>
      <c r="C1694" s="114">
        <v>0.86156639999999995</v>
      </c>
      <c r="D1694" s="7" t="str">
        <f>VLOOKUP(A1694,'A VII.'!$A$10:$D$199,3,FALSE)</f>
        <v>KG</v>
      </c>
      <c r="E1694" s="85">
        <f>'A VII.'!$D$29</f>
        <v>0</v>
      </c>
      <c r="F1694" s="59">
        <f t="shared" ref="F1694:F1708" si="98">ROUND(C1694*E1694,2)</f>
        <v>0</v>
      </c>
    </row>
    <row r="1695" spans="1:6" ht="12.75" customHeight="1" x14ac:dyDescent="0.2">
      <c r="A1695" s="6" t="str">
        <f>'A VII.'!$A$38</f>
        <v>1.29</v>
      </c>
      <c r="B1695" s="74" t="str">
        <f>VLOOKUP(A1695,'A VII.'!$A$10:$D$199,2,FALSE)</f>
        <v>CIMENTO PORTLAND CP II-E-32</v>
      </c>
      <c r="C1695" s="114">
        <v>0.82567919999999995</v>
      </c>
      <c r="D1695" s="7" t="str">
        <f>VLOOKUP(A1695,'A VII.'!$A$10:$D$199,3,FALSE)</f>
        <v>KG</v>
      </c>
      <c r="E1695" s="85">
        <f>'A VII.'!$D$38</f>
        <v>0</v>
      </c>
      <c r="F1695" s="59">
        <f t="shared" si="98"/>
        <v>0</v>
      </c>
    </row>
    <row r="1696" spans="1:6" ht="12.75" customHeight="1" x14ac:dyDescent="0.2">
      <c r="A1696" s="6" t="str">
        <f>'A VII.'!$A$108</f>
        <v>1.98</v>
      </c>
      <c r="B1696" s="74" t="str">
        <f>VLOOKUP(A1696,'A VII.'!$A$10:$D$199,2,FALSE)</f>
        <v>TIJOLO CERÂMICO MACIÇO 5,7 X 9 X 19 (190MM / 90MM / 57MM)</v>
      </c>
      <c r="C1696" s="114">
        <v>83</v>
      </c>
      <c r="D1696" s="7" t="str">
        <f>VLOOKUP(A1696,'A VII.'!$A$10:$D$199,3,FALSE)</f>
        <v>UN</v>
      </c>
      <c r="E1696" s="85">
        <f>'A VII.'!$D$108</f>
        <v>0</v>
      </c>
      <c r="F1696" s="59">
        <f t="shared" si="98"/>
        <v>0</v>
      </c>
    </row>
    <row r="1697" spans="1:6" ht="12.75" customHeight="1" x14ac:dyDescent="0.2">
      <c r="A1697" s="6"/>
      <c r="B1697" s="421"/>
      <c r="C1697" s="114"/>
      <c r="D1697" s="7"/>
      <c r="E1697" s="85"/>
      <c r="F1697" s="59">
        <f t="shared" si="98"/>
        <v>0</v>
      </c>
    </row>
    <row r="1698" spans="1:6" ht="12.75" customHeight="1" x14ac:dyDescent="0.2">
      <c r="A1698" s="6"/>
      <c r="B1698" s="421"/>
      <c r="C1698" s="114"/>
      <c r="D1698" s="7"/>
      <c r="E1698" s="85"/>
      <c r="F1698" s="59">
        <f t="shared" si="98"/>
        <v>0</v>
      </c>
    </row>
    <row r="1699" spans="1:6" ht="12.75" customHeight="1" x14ac:dyDescent="0.2">
      <c r="A1699" s="6"/>
      <c r="B1699" s="421"/>
      <c r="C1699" s="114"/>
      <c r="D1699" s="7"/>
      <c r="E1699" s="85"/>
      <c r="F1699" s="59">
        <f t="shared" si="98"/>
        <v>0</v>
      </c>
    </row>
    <row r="1700" spans="1:6" ht="12.75" customHeight="1" x14ac:dyDescent="0.2">
      <c r="A1700" s="6"/>
      <c r="B1700" s="421"/>
      <c r="C1700" s="114"/>
      <c r="D1700" s="7"/>
      <c r="E1700" s="85"/>
      <c r="F1700" s="59">
        <f t="shared" si="98"/>
        <v>0</v>
      </c>
    </row>
    <row r="1701" spans="1:6" ht="12.75" customHeight="1" x14ac:dyDescent="0.2">
      <c r="A1701" s="6"/>
      <c r="B1701" s="421"/>
      <c r="C1701" s="114"/>
      <c r="D1701" s="7"/>
      <c r="E1701" s="85"/>
      <c r="F1701" s="59">
        <f t="shared" si="98"/>
        <v>0</v>
      </c>
    </row>
    <row r="1702" spans="1:6" ht="12.75" customHeight="1" x14ac:dyDescent="0.2">
      <c r="A1702" s="6"/>
      <c r="B1702" s="421"/>
      <c r="C1702" s="114"/>
      <c r="D1702" s="7"/>
      <c r="E1702" s="85"/>
      <c r="F1702" s="59">
        <f t="shared" si="98"/>
        <v>0</v>
      </c>
    </row>
    <row r="1703" spans="1:6" ht="12.75" customHeight="1" x14ac:dyDescent="0.2">
      <c r="A1703" s="6"/>
      <c r="B1703" s="421"/>
      <c r="C1703" s="114"/>
      <c r="D1703" s="7"/>
      <c r="E1703" s="85"/>
      <c r="F1703" s="59">
        <f t="shared" si="98"/>
        <v>0</v>
      </c>
    </row>
    <row r="1704" spans="1:6" ht="12.75" customHeight="1" x14ac:dyDescent="0.2">
      <c r="A1704" s="6"/>
      <c r="B1704" s="421"/>
      <c r="C1704" s="114"/>
      <c r="D1704" s="423"/>
      <c r="E1704" s="85"/>
      <c r="F1704" s="59">
        <f t="shared" si="98"/>
        <v>0</v>
      </c>
    </row>
    <row r="1705" spans="1:6" ht="12.75" customHeight="1" x14ac:dyDescent="0.2">
      <c r="A1705" s="6"/>
      <c r="B1705" s="421"/>
      <c r="C1705" s="114"/>
      <c r="D1705" s="423"/>
      <c r="E1705" s="85"/>
      <c r="F1705" s="59">
        <f t="shared" si="98"/>
        <v>0</v>
      </c>
    </row>
    <row r="1706" spans="1:6" ht="12.75" customHeight="1" x14ac:dyDescent="0.2">
      <c r="A1706" s="6"/>
      <c r="B1706" s="421"/>
      <c r="C1706" s="114"/>
      <c r="D1706" s="423"/>
      <c r="E1706" s="85"/>
      <c r="F1706" s="59">
        <f t="shared" si="98"/>
        <v>0</v>
      </c>
    </row>
    <row r="1707" spans="1:6" ht="12.75" customHeight="1" x14ac:dyDescent="0.2">
      <c r="A1707" s="3"/>
      <c r="C1707" s="114"/>
      <c r="E1707" s="85"/>
      <c r="F1707" s="59">
        <f t="shared" si="98"/>
        <v>0</v>
      </c>
    </row>
    <row r="1708" spans="1:6" ht="12.75" customHeight="1" x14ac:dyDescent="0.2">
      <c r="A1708" s="3"/>
      <c r="C1708" s="114"/>
      <c r="E1708" s="85"/>
      <c r="F1708" s="59">
        <f t="shared" si="98"/>
        <v>0</v>
      </c>
    </row>
    <row r="1709" spans="1:6" ht="12.75" customHeight="1" x14ac:dyDescent="0.2">
      <c r="A1709" s="3"/>
      <c r="B1709" s="86" t="s">
        <v>258</v>
      </c>
      <c r="C1709" s="87"/>
      <c r="D1709" s="88"/>
      <c r="E1709" s="89"/>
      <c r="F1709" s="90">
        <f>SUM(F1693:F1708)</f>
        <v>0</v>
      </c>
    </row>
    <row r="1710" spans="1:6" ht="12.75" customHeight="1" x14ac:dyDescent="0.2">
      <c r="A1710" s="3"/>
      <c r="B1710" s="91" t="s">
        <v>70</v>
      </c>
      <c r="C1710" s="15">
        <f>$D$8</f>
        <v>0</v>
      </c>
      <c r="D1710" s="92"/>
      <c r="E1710" s="93"/>
      <c r="F1710" s="94">
        <f>ROUND(F1709*C1710,2)</f>
        <v>0</v>
      </c>
    </row>
    <row r="1711" spans="1:6" ht="12.75" customHeight="1" x14ac:dyDescent="0.2">
      <c r="A1711" s="95"/>
      <c r="B1711" s="424" t="s">
        <v>259</v>
      </c>
      <c r="C1711" s="425"/>
      <c r="D1711" s="425"/>
      <c r="E1711" s="426"/>
      <c r="F1711" s="96">
        <f>F1709+F1710</f>
        <v>0</v>
      </c>
    </row>
    <row r="1712" spans="1:6" ht="12.75" customHeight="1" x14ac:dyDescent="0.2">
      <c r="A1712" s="1" t="s">
        <v>5</v>
      </c>
      <c r="B1712" s="418" t="s">
        <v>267</v>
      </c>
      <c r="C1712" s="419" t="s">
        <v>263</v>
      </c>
      <c r="D1712" s="419" t="s">
        <v>264</v>
      </c>
      <c r="E1712" s="420" t="s">
        <v>265</v>
      </c>
      <c r="F1712" s="57" t="s">
        <v>266</v>
      </c>
    </row>
    <row r="1713" spans="1:6" ht="12.75" customHeight="1" x14ac:dyDescent="0.2">
      <c r="A1713" s="3"/>
      <c r="B1713" s="71"/>
      <c r="C1713" s="114"/>
      <c r="E1713" s="85"/>
      <c r="F1713" s="59">
        <f t="shared" ref="F1713:F1722" si="99">ROUND(C1713*E1713,2)</f>
        <v>0</v>
      </c>
    </row>
    <row r="1714" spans="1:6" ht="12.75" customHeight="1" x14ac:dyDescent="0.2">
      <c r="A1714" s="3"/>
      <c r="C1714" s="114"/>
      <c r="E1714" s="85"/>
      <c r="F1714" s="59">
        <f t="shared" si="99"/>
        <v>0</v>
      </c>
    </row>
    <row r="1715" spans="1:6" ht="12.75" customHeight="1" x14ac:dyDescent="0.2">
      <c r="A1715" s="3"/>
      <c r="C1715" s="114"/>
      <c r="E1715" s="85"/>
      <c r="F1715" s="59">
        <f t="shared" si="99"/>
        <v>0</v>
      </c>
    </row>
    <row r="1716" spans="1:6" ht="12.75" customHeight="1" x14ac:dyDescent="0.2">
      <c r="A1716" s="3"/>
      <c r="C1716" s="114"/>
      <c r="E1716" s="85"/>
      <c r="F1716" s="59">
        <f t="shared" si="99"/>
        <v>0</v>
      </c>
    </row>
    <row r="1717" spans="1:6" ht="12.75" customHeight="1" x14ac:dyDescent="0.2">
      <c r="A1717" s="3"/>
      <c r="C1717" s="114"/>
      <c r="E1717" s="85"/>
      <c r="F1717" s="59">
        <f t="shared" si="99"/>
        <v>0</v>
      </c>
    </row>
    <row r="1718" spans="1:6" ht="12.75" customHeight="1" x14ac:dyDescent="0.2">
      <c r="A1718" s="3"/>
      <c r="C1718" s="114"/>
      <c r="E1718" s="85"/>
      <c r="F1718" s="59">
        <f t="shared" si="99"/>
        <v>0</v>
      </c>
    </row>
    <row r="1719" spans="1:6" ht="12.75" customHeight="1" x14ac:dyDescent="0.2">
      <c r="A1719" s="3"/>
      <c r="C1719" s="114"/>
      <c r="E1719" s="85"/>
      <c r="F1719" s="59">
        <f t="shared" si="99"/>
        <v>0</v>
      </c>
    </row>
    <row r="1720" spans="1:6" ht="12.75" customHeight="1" x14ac:dyDescent="0.2">
      <c r="A1720" s="3"/>
      <c r="C1720" s="114"/>
      <c r="E1720" s="85"/>
      <c r="F1720" s="59">
        <f t="shared" si="99"/>
        <v>0</v>
      </c>
    </row>
    <row r="1721" spans="1:6" ht="12.75" customHeight="1" x14ac:dyDescent="0.2">
      <c r="A1721" s="3"/>
      <c r="C1721" s="114"/>
      <c r="E1721" s="85"/>
      <c r="F1721" s="59">
        <f t="shared" si="99"/>
        <v>0</v>
      </c>
    </row>
    <row r="1722" spans="1:6" ht="12.75" customHeight="1" x14ac:dyDescent="0.2">
      <c r="A1722" s="3"/>
      <c r="C1722" s="114"/>
      <c r="E1722" s="85"/>
      <c r="F1722" s="59">
        <f t="shared" si="99"/>
        <v>0</v>
      </c>
    </row>
    <row r="1723" spans="1:6" ht="12.75" customHeight="1" x14ac:dyDescent="0.2">
      <c r="A1723" s="3"/>
      <c r="B1723" s="86" t="s">
        <v>258</v>
      </c>
      <c r="C1723" s="87"/>
      <c r="D1723" s="88"/>
      <c r="E1723" s="89"/>
      <c r="F1723" s="90">
        <f>SUM(F1713:F1722)</f>
        <v>0</v>
      </c>
    </row>
    <row r="1724" spans="1:6" ht="12.75" customHeight="1" x14ac:dyDescent="0.2">
      <c r="A1724" s="3"/>
      <c r="B1724" s="91" t="s">
        <v>70</v>
      </c>
      <c r="C1724" s="15">
        <f>$D$8</f>
        <v>0</v>
      </c>
      <c r="D1724" s="92"/>
      <c r="E1724" s="93"/>
      <c r="F1724" s="94">
        <f>ROUND(C1724*F1723,2)</f>
        <v>0</v>
      </c>
    </row>
    <row r="1725" spans="1:6" ht="12.75" customHeight="1" x14ac:dyDescent="0.2">
      <c r="A1725" s="95"/>
      <c r="B1725" s="424" t="s">
        <v>260</v>
      </c>
      <c r="C1725" s="425"/>
      <c r="D1725" s="425"/>
      <c r="E1725" s="426"/>
      <c r="F1725" s="96">
        <f>F1723+F1724</f>
        <v>0</v>
      </c>
    </row>
    <row r="1726" spans="1:6" ht="12.75" customHeight="1" x14ac:dyDescent="0.2">
      <c r="A1726" s="97" t="s">
        <v>54</v>
      </c>
      <c r="B1726" s="427" t="s">
        <v>268</v>
      </c>
      <c r="C1726" s="428" t="s">
        <v>263</v>
      </c>
      <c r="D1726" s="429" t="s">
        <v>264</v>
      </c>
      <c r="E1726" s="430" t="s">
        <v>265</v>
      </c>
      <c r="F1726" s="57" t="s">
        <v>266</v>
      </c>
    </row>
    <row r="1727" spans="1:6" ht="12.75" customHeight="1" x14ac:dyDescent="0.2">
      <c r="A1727" s="3" t="str">
        <f>'A VII.'!$A$196</f>
        <v>3.16</v>
      </c>
      <c r="B1727" s="74" t="s">
        <v>189</v>
      </c>
      <c r="C1727" s="114">
        <f>0.9344+0.0518472</f>
        <v>0.98624719999999999</v>
      </c>
      <c r="D1727" s="54" t="str">
        <f>VLOOKUP(A1727,'A VII.'!$A$10:$D$199,3,FALSE)</f>
        <v>H</v>
      </c>
      <c r="E1727" s="85">
        <f>'A VII.'!$D$196</f>
        <v>0</v>
      </c>
      <c r="F1727" s="59">
        <f t="shared" ref="F1727:F1733" si="100">ROUND(C1727*E1727,2)</f>
        <v>0</v>
      </c>
    </row>
    <row r="1728" spans="1:6" ht="12.75" customHeight="1" x14ac:dyDescent="0.2">
      <c r="A1728" s="3" t="str">
        <f>'A VII.'!$A$192</f>
        <v>3.12</v>
      </c>
      <c r="B1728" s="74" t="s">
        <v>185</v>
      </c>
      <c r="C1728" s="114">
        <v>0.9</v>
      </c>
      <c r="D1728" s="54" t="str">
        <f>VLOOKUP(A1728,'A VII.'!$A$10:$D$199,3,FALSE)</f>
        <v>H</v>
      </c>
      <c r="E1728" s="85">
        <f>'A VII.'!$D$192</f>
        <v>0</v>
      </c>
      <c r="F1728" s="59">
        <f t="shared" si="100"/>
        <v>0</v>
      </c>
    </row>
    <row r="1729" spans="1:6" ht="12.75" customHeight="1" x14ac:dyDescent="0.2">
      <c r="A1729" s="3"/>
      <c r="C1729" s="114"/>
      <c r="E1729" s="85"/>
      <c r="F1729" s="59">
        <f t="shared" si="100"/>
        <v>0</v>
      </c>
    </row>
    <row r="1730" spans="1:6" ht="12.75" customHeight="1" x14ac:dyDescent="0.2">
      <c r="A1730" s="3"/>
      <c r="C1730" s="114"/>
      <c r="E1730" s="85"/>
      <c r="F1730" s="59">
        <f t="shared" si="100"/>
        <v>0</v>
      </c>
    </row>
    <row r="1731" spans="1:6" ht="12.75" customHeight="1" x14ac:dyDescent="0.2">
      <c r="A1731" s="3"/>
      <c r="C1731" s="114"/>
      <c r="E1731" s="85"/>
      <c r="F1731" s="59">
        <f t="shared" si="100"/>
        <v>0</v>
      </c>
    </row>
    <row r="1732" spans="1:6" ht="12.75" customHeight="1" x14ac:dyDescent="0.2">
      <c r="A1732" s="3"/>
      <c r="C1732" s="114"/>
      <c r="E1732" s="85"/>
      <c r="F1732" s="59">
        <f t="shared" si="100"/>
        <v>0</v>
      </c>
    </row>
    <row r="1733" spans="1:6" ht="12.75" customHeight="1" x14ac:dyDescent="0.2">
      <c r="A1733" s="3"/>
      <c r="C1733" s="114"/>
      <c r="E1733" s="85"/>
      <c r="F1733" s="59">
        <f t="shared" si="100"/>
        <v>0</v>
      </c>
    </row>
    <row r="1734" spans="1:6" ht="12.75" customHeight="1" x14ac:dyDescent="0.2">
      <c r="A1734" s="3"/>
      <c r="B1734" s="86" t="s">
        <v>258</v>
      </c>
      <c r="C1734" s="87"/>
      <c r="D1734" s="88"/>
      <c r="E1734" s="89"/>
      <c r="F1734" s="90">
        <f>SUM(F1727:F1733)</f>
        <v>0</v>
      </c>
    </row>
    <row r="1735" spans="1:6" ht="12.75" customHeight="1" x14ac:dyDescent="0.2">
      <c r="A1735" s="3"/>
      <c r="B1735" s="91" t="s">
        <v>261</v>
      </c>
      <c r="C1735" s="15">
        <f>'A IX.'!$C$45</f>
        <v>0</v>
      </c>
      <c r="D1735" s="92"/>
      <c r="E1735" s="93"/>
      <c r="F1735" s="94">
        <f>ROUND(F1734*C1735,2)</f>
        <v>0</v>
      </c>
    </row>
    <row r="1736" spans="1:6" ht="12.75" customHeight="1" x14ac:dyDescent="0.2">
      <c r="A1736" s="3"/>
      <c r="B1736" s="91" t="s">
        <v>70</v>
      </c>
      <c r="C1736" s="15">
        <f>$D$8</f>
        <v>0</v>
      </c>
      <c r="D1736" s="92"/>
      <c r="E1736" s="93"/>
      <c r="F1736" s="94">
        <f>ROUND(SUM(F1734:F1735)*C1736,2)</f>
        <v>0</v>
      </c>
    </row>
    <row r="1737" spans="1:6" ht="12.75" customHeight="1" thickBot="1" x14ac:dyDescent="0.25">
      <c r="A1737" s="98"/>
      <c r="B1737" s="99" t="s">
        <v>262</v>
      </c>
      <c r="C1737" s="100"/>
      <c r="D1737" s="100"/>
      <c r="E1737" s="101"/>
      <c r="F1737" s="102">
        <f>SUM(F1734:F1736)</f>
        <v>0</v>
      </c>
    </row>
    <row r="1738" spans="1:6" ht="12.75" customHeight="1" thickBot="1" x14ac:dyDescent="0.25">
      <c r="A1738" s="81"/>
      <c r="B1738" s="82"/>
      <c r="C1738" s="83"/>
      <c r="D1738" s="83"/>
      <c r="E1738" s="84"/>
      <c r="F1738" s="103"/>
    </row>
    <row r="1739" spans="1:6" ht="30" customHeight="1" x14ac:dyDescent="0.2">
      <c r="A1739" s="5" t="str">
        <f>'A IV.A'!$A$64</f>
        <v>3.3.3</v>
      </c>
      <c r="B1739" s="416" t="str">
        <f>'A IV.A'!$B$64</f>
        <v>ALVENARIA DE TIJOLO MACIÇO CERÂMICO 1 VEZ</v>
      </c>
      <c r="C1739" s="526" t="s">
        <v>269</v>
      </c>
      <c r="D1739" s="527"/>
      <c r="E1739" s="417" t="str">
        <f>'A IV.A'!$C$64</f>
        <v>M2</v>
      </c>
      <c r="F1739" s="58">
        <f>ROUND(F1759+F1773+F1785,2)</f>
        <v>0</v>
      </c>
    </row>
    <row r="1740" spans="1:6" ht="12.75" customHeight="1" x14ac:dyDescent="0.2">
      <c r="A1740" s="1" t="s">
        <v>17</v>
      </c>
      <c r="B1740" s="418" t="s">
        <v>162</v>
      </c>
      <c r="C1740" s="419" t="s">
        <v>263</v>
      </c>
      <c r="D1740" s="419" t="s">
        <v>264</v>
      </c>
      <c r="E1740" s="420" t="s">
        <v>265</v>
      </c>
      <c r="F1740" s="57" t="s">
        <v>266</v>
      </c>
    </row>
    <row r="1741" spans="1:6" ht="12.75" customHeight="1" x14ac:dyDescent="0.2">
      <c r="A1741" s="6" t="str">
        <f>'A VII.'!$A$19</f>
        <v>1.10</v>
      </c>
      <c r="B1741" s="74" t="str">
        <f>VLOOKUP(A1741,'A VII.'!$A$10:$D$199,2,FALSE)</f>
        <v>AREIA MÉDIA LAVADA</v>
      </c>
      <c r="C1741" s="114">
        <v>2.7720000000000002E-2</v>
      </c>
      <c r="D1741" s="7" t="str">
        <f>VLOOKUP(A1741,'A VII.'!$A$10:$D$199,3,FALSE)</f>
        <v>M3</v>
      </c>
      <c r="E1741" s="85">
        <f>'A VII.'!$D$19</f>
        <v>0</v>
      </c>
      <c r="F1741" s="59">
        <f>ROUND(C1741*E1741,2)</f>
        <v>0</v>
      </c>
    </row>
    <row r="1742" spans="1:6" ht="12.75" customHeight="1" x14ac:dyDescent="0.2">
      <c r="A1742" s="6" t="str">
        <f>'A VII.'!$A$29</f>
        <v>1.20</v>
      </c>
      <c r="B1742" s="74" t="str">
        <f>VLOOKUP(A1742,'A VII.'!$A$10:$D$199,2,FALSE)</f>
        <v>CAL HIDRATADA CH III - NBR 7175</v>
      </c>
      <c r="C1742" s="114">
        <v>4.1566799999999997</v>
      </c>
      <c r="D1742" s="7" t="str">
        <f>VLOOKUP(A1742,'A VII.'!$A$10:$D$199,3,FALSE)</f>
        <v>KG</v>
      </c>
      <c r="E1742" s="85">
        <f>'A VII.'!$D$29</f>
        <v>0</v>
      </c>
      <c r="F1742" s="59">
        <f t="shared" ref="F1742:F1756" si="101">ROUND(C1742*E1742,2)</f>
        <v>0</v>
      </c>
    </row>
    <row r="1743" spans="1:6" ht="12.75" customHeight="1" x14ac:dyDescent="0.2">
      <c r="A1743" s="6" t="str">
        <f>'A VII.'!$A$38</f>
        <v>1.29</v>
      </c>
      <c r="B1743" s="74" t="str">
        <f>VLOOKUP(A1743,'A VII.'!$A$10:$D$199,2,FALSE)</f>
        <v>CIMENTO PORTLAND CP II-E-32</v>
      </c>
      <c r="C1743" s="114">
        <v>3.9835400000000001</v>
      </c>
      <c r="D1743" s="7" t="str">
        <f>VLOOKUP(A1743,'A VII.'!$A$10:$D$199,3,FALSE)</f>
        <v>KG</v>
      </c>
      <c r="E1743" s="85">
        <f>'A VII.'!$D$38</f>
        <v>0</v>
      </c>
      <c r="F1743" s="59">
        <f t="shared" si="101"/>
        <v>0</v>
      </c>
    </row>
    <row r="1744" spans="1:6" ht="12.75" customHeight="1" x14ac:dyDescent="0.2">
      <c r="A1744" s="6" t="str">
        <f>'A VII.'!$A$108</f>
        <v>1.98</v>
      </c>
      <c r="B1744" s="74" t="str">
        <f>VLOOKUP(A1744,'A VII.'!$A$10:$D$199,2,FALSE)</f>
        <v>TIJOLO CERÂMICO MACIÇO 5,7 X 9 X 19 (190MM / 90MM / 57MM)</v>
      </c>
      <c r="C1744" s="114">
        <v>160</v>
      </c>
      <c r="D1744" s="7" t="str">
        <f>VLOOKUP(A1744,'A VII.'!$A$10:$D$199,3,FALSE)</f>
        <v>UN</v>
      </c>
      <c r="E1744" s="85">
        <f>'A VII.'!$D$108</f>
        <v>0</v>
      </c>
      <c r="F1744" s="59">
        <f t="shared" si="101"/>
        <v>0</v>
      </c>
    </row>
    <row r="1745" spans="1:6" ht="12.75" customHeight="1" x14ac:dyDescent="0.2">
      <c r="A1745" s="6"/>
      <c r="B1745" s="421"/>
      <c r="C1745" s="114"/>
      <c r="D1745" s="7"/>
      <c r="E1745" s="85"/>
      <c r="F1745" s="59">
        <f t="shared" si="101"/>
        <v>0</v>
      </c>
    </row>
    <row r="1746" spans="1:6" ht="12.75" customHeight="1" x14ac:dyDescent="0.2">
      <c r="A1746" s="6"/>
      <c r="B1746" s="421"/>
      <c r="C1746" s="114"/>
      <c r="D1746" s="7"/>
      <c r="E1746" s="85"/>
      <c r="F1746" s="59">
        <f t="shared" si="101"/>
        <v>0</v>
      </c>
    </row>
    <row r="1747" spans="1:6" ht="12.75" customHeight="1" x14ac:dyDescent="0.2">
      <c r="A1747" s="6"/>
      <c r="B1747" s="421"/>
      <c r="C1747" s="114"/>
      <c r="D1747" s="7"/>
      <c r="E1747" s="85"/>
      <c r="F1747" s="59">
        <f t="shared" si="101"/>
        <v>0</v>
      </c>
    </row>
    <row r="1748" spans="1:6" ht="12.75" customHeight="1" x14ac:dyDescent="0.2">
      <c r="A1748" s="6"/>
      <c r="B1748" s="421"/>
      <c r="C1748" s="114"/>
      <c r="D1748" s="7"/>
      <c r="E1748" s="85"/>
      <c r="F1748" s="59">
        <f t="shared" si="101"/>
        <v>0</v>
      </c>
    </row>
    <row r="1749" spans="1:6" ht="12.75" customHeight="1" x14ac:dyDescent="0.2">
      <c r="A1749" s="6"/>
      <c r="B1749" s="421"/>
      <c r="C1749" s="114"/>
      <c r="D1749" s="7"/>
      <c r="E1749" s="85"/>
      <c r="F1749" s="59">
        <f t="shared" si="101"/>
        <v>0</v>
      </c>
    </row>
    <row r="1750" spans="1:6" ht="12.75" customHeight="1" x14ac:dyDescent="0.2">
      <c r="A1750" s="6"/>
      <c r="B1750" s="421"/>
      <c r="C1750" s="114"/>
      <c r="D1750" s="7"/>
      <c r="E1750" s="85"/>
      <c r="F1750" s="59">
        <f t="shared" si="101"/>
        <v>0</v>
      </c>
    </row>
    <row r="1751" spans="1:6" ht="12.75" customHeight="1" x14ac:dyDescent="0.2">
      <c r="A1751" s="6"/>
      <c r="B1751" s="421"/>
      <c r="C1751" s="114"/>
      <c r="D1751" s="7"/>
      <c r="E1751" s="85"/>
      <c r="F1751" s="59">
        <f t="shared" si="101"/>
        <v>0</v>
      </c>
    </row>
    <row r="1752" spans="1:6" ht="12.75" customHeight="1" x14ac:dyDescent="0.2">
      <c r="A1752" s="6"/>
      <c r="B1752" s="421"/>
      <c r="C1752" s="114"/>
      <c r="D1752" s="423"/>
      <c r="E1752" s="85"/>
      <c r="F1752" s="59">
        <f t="shared" si="101"/>
        <v>0</v>
      </c>
    </row>
    <row r="1753" spans="1:6" ht="12.75" customHeight="1" x14ac:dyDescent="0.2">
      <c r="A1753" s="6"/>
      <c r="B1753" s="421"/>
      <c r="C1753" s="114"/>
      <c r="D1753" s="423"/>
      <c r="E1753" s="85"/>
      <c r="F1753" s="59">
        <f t="shared" si="101"/>
        <v>0</v>
      </c>
    </row>
    <row r="1754" spans="1:6" ht="12.75" customHeight="1" x14ac:dyDescent="0.2">
      <c r="A1754" s="6"/>
      <c r="B1754" s="421"/>
      <c r="C1754" s="114"/>
      <c r="D1754" s="423"/>
      <c r="E1754" s="85"/>
      <c r="F1754" s="59">
        <f t="shared" si="101"/>
        <v>0</v>
      </c>
    </row>
    <row r="1755" spans="1:6" ht="12.75" customHeight="1" x14ac:dyDescent="0.2">
      <c r="A1755" s="3"/>
      <c r="C1755" s="114"/>
      <c r="E1755" s="85"/>
      <c r="F1755" s="59">
        <f t="shared" si="101"/>
        <v>0</v>
      </c>
    </row>
    <row r="1756" spans="1:6" ht="12.75" customHeight="1" x14ac:dyDescent="0.2">
      <c r="A1756" s="3"/>
      <c r="C1756" s="114"/>
      <c r="E1756" s="85"/>
      <c r="F1756" s="59">
        <f t="shared" si="101"/>
        <v>0</v>
      </c>
    </row>
    <row r="1757" spans="1:6" ht="12.75" customHeight="1" x14ac:dyDescent="0.2">
      <c r="A1757" s="3"/>
      <c r="B1757" s="86" t="s">
        <v>258</v>
      </c>
      <c r="C1757" s="87"/>
      <c r="D1757" s="88"/>
      <c r="E1757" s="89"/>
      <c r="F1757" s="90">
        <f>SUM(F1741:F1756)</f>
        <v>0</v>
      </c>
    </row>
    <row r="1758" spans="1:6" ht="12.75" customHeight="1" x14ac:dyDescent="0.2">
      <c r="A1758" s="3"/>
      <c r="B1758" s="91" t="s">
        <v>70</v>
      </c>
      <c r="C1758" s="15">
        <f>$D$8</f>
        <v>0</v>
      </c>
      <c r="D1758" s="92"/>
      <c r="E1758" s="93"/>
      <c r="F1758" s="94">
        <f>ROUND(F1757*C1758,2)</f>
        <v>0</v>
      </c>
    </row>
    <row r="1759" spans="1:6" ht="12.75" customHeight="1" x14ac:dyDescent="0.2">
      <c r="A1759" s="95"/>
      <c r="B1759" s="424" t="s">
        <v>259</v>
      </c>
      <c r="C1759" s="425"/>
      <c r="D1759" s="425"/>
      <c r="E1759" s="426"/>
      <c r="F1759" s="96">
        <f>F1757+F1758</f>
        <v>0</v>
      </c>
    </row>
    <row r="1760" spans="1:6" ht="12.75" customHeight="1" x14ac:dyDescent="0.2">
      <c r="A1760" s="1" t="s">
        <v>5</v>
      </c>
      <c r="B1760" s="418" t="s">
        <v>267</v>
      </c>
      <c r="C1760" s="419" t="s">
        <v>263</v>
      </c>
      <c r="D1760" s="419" t="s">
        <v>264</v>
      </c>
      <c r="E1760" s="420" t="s">
        <v>265</v>
      </c>
      <c r="F1760" s="57" t="s">
        <v>266</v>
      </c>
    </row>
    <row r="1761" spans="1:6" ht="12.75" customHeight="1" x14ac:dyDescent="0.2">
      <c r="A1761" s="3"/>
      <c r="B1761" s="71"/>
      <c r="C1761" s="114"/>
      <c r="E1761" s="85"/>
      <c r="F1761" s="59">
        <f t="shared" ref="F1761:F1770" si="102">ROUND(C1761*E1761,2)</f>
        <v>0</v>
      </c>
    </row>
    <row r="1762" spans="1:6" ht="12.75" customHeight="1" x14ac:dyDescent="0.2">
      <c r="A1762" s="3"/>
      <c r="C1762" s="114"/>
      <c r="E1762" s="85"/>
      <c r="F1762" s="59">
        <f t="shared" si="102"/>
        <v>0</v>
      </c>
    </row>
    <row r="1763" spans="1:6" ht="12.75" customHeight="1" x14ac:dyDescent="0.2">
      <c r="A1763" s="3"/>
      <c r="C1763" s="114"/>
      <c r="E1763" s="85"/>
      <c r="F1763" s="59">
        <f t="shared" si="102"/>
        <v>0</v>
      </c>
    </row>
    <row r="1764" spans="1:6" ht="12.75" customHeight="1" x14ac:dyDescent="0.2">
      <c r="A1764" s="3"/>
      <c r="C1764" s="114"/>
      <c r="E1764" s="85"/>
      <c r="F1764" s="59">
        <f t="shared" si="102"/>
        <v>0</v>
      </c>
    </row>
    <row r="1765" spans="1:6" ht="12.75" customHeight="1" x14ac:dyDescent="0.2">
      <c r="A1765" s="3"/>
      <c r="C1765" s="114"/>
      <c r="E1765" s="85"/>
      <c r="F1765" s="59">
        <f t="shared" si="102"/>
        <v>0</v>
      </c>
    </row>
    <row r="1766" spans="1:6" ht="12.75" customHeight="1" x14ac:dyDescent="0.2">
      <c r="A1766" s="3"/>
      <c r="C1766" s="114"/>
      <c r="E1766" s="85"/>
      <c r="F1766" s="59">
        <f t="shared" si="102"/>
        <v>0</v>
      </c>
    </row>
    <row r="1767" spans="1:6" ht="12.75" customHeight="1" x14ac:dyDescent="0.2">
      <c r="A1767" s="3"/>
      <c r="C1767" s="114"/>
      <c r="E1767" s="85"/>
      <c r="F1767" s="59">
        <f t="shared" si="102"/>
        <v>0</v>
      </c>
    </row>
    <row r="1768" spans="1:6" ht="12.75" customHeight="1" x14ac:dyDescent="0.2">
      <c r="A1768" s="3"/>
      <c r="C1768" s="114"/>
      <c r="E1768" s="85"/>
      <c r="F1768" s="59">
        <f t="shared" si="102"/>
        <v>0</v>
      </c>
    </row>
    <row r="1769" spans="1:6" ht="12.75" customHeight="1" x14ac:dyDescent="0.2">
      <c r="A1769" s="3"/>
      <c r="C1769" s="114"/>
      <c r="E1769" s="85"/>
      <c r="F1769" s="59">
        <f t="shared" si="102"/>
        <v>0</v>
      </c>
    </row>
    <row r="1770" spans="1:6" ht="12.75" customHeight="1" x14ac:dyDescent="0.2">
      <c r="A1770" s="3"/>
      <c r="C1770" s="114"/>
      <c r="E1770" s="85"/>
      <c r="F1770" s="59">
        <f t="shared" si="102"/>
        <v>0</v>
      </c>
    </row>
    <row r="1771" spans="1:6" ht="12.75" customHeight="1" x14ac:dyDescent="0.2">
      <c r="A1771" s="3"/>
      <c r="B1771" s="86" t="s">
        <v>258</v>
      </c>
      <c r="C1771" s="87"/>
      <c r="D1771" s="88"/>
      <c r="E1771" s="89"/>
      <c r="F1771" s="90">
        <f>SUM(F1761:F1770)</f>
        <v>0</v>
      </c>
    </row>
    <row r="1772" spans="1:6" ht="12.75" customHeight="1" x14ac:dyDescent="0.2">
      <c r="A1772" s="3"/>
      <c r="B1772" s="91" t="s">
        <v>70</v>
      </c>
      <c r="C1772" s="15">
        <f>$D$8</f>
        <v>0</v>
      </c>
      <c r="D1772" s="92"/>
      <c r="E1772" s="93"/>
      <c r="F1772" s="94">
        <f>ROUND(C1772*F1771,2)</f>
        <v>0</v>
      </c>
    </row>
    <row r="1773" spans="1:6" ht="12.75" customHeight="1" x14ac:dyDescent="0.2">
      <c r="A1773" s="95"/>
      <c r="B1773" s="424" t="s">
        <v>260</v>
      </c>
      <c r="C1773" s="425"/>
      <c r="D1773" s="425"/>
      <c r="E1773" s="426"/>
      <c r="F1773" s="96">
        <f>F1771+F1772</f>
        <v>0</v>
      </c>
    </row>
    <row r="1774" spans="1:6" ht="12.75" customHeight="1" x14ac:dyDescent="0.2">
      <c r="A1774" s="97" t="s">
        <v>54</v>
      </c>
      <c r="B1774" s="427" t="s">
        <v>268</v>
      </c>
      <c r="C1774" s="428" t="s">
        <v>263</v>
      </c>
      <c r="D1774" s="429" t="s">
        <v>264</v>
      </c>
      <c r="E1774" s="430" t="s">
        <v>265</v>
      </c>
      <c r="F1774" s="57" t="s">
        <v>266</v>
      </c>
    </row>
    <row r="1775" spans="1:6" ht="12.75" customHeight="1" x14ac:dyDescent="0.2">
      <c r="A1775" s="3" t="str">
        <f>'A VII.'!$A$196</f>
        <v>3.16</v>
      </c>
      <c r="B1775" s="74" t="s">
        <v>189</v>
      </c>
      <c r="C1775" s="114">
        <f>1.7+0.25014</f>
        <v>1.95014</v>
      </c>
      <c r="D1775" s="54" t="str">
        <f>VLOOKUP(A1775,'A VII.'!$A$10:$D$199,3,FALSE)</f>
        <v>H</v>
      </c>
      <c r="E1775" s="85">
        <f>'A VII.'!$D$196</f>
        <v>0</v>
      </c>
      <c r="F1775" s="59">
        <f t="shared" ref="F1775:F1781" si="103">ROUND(C1775*E1775,2)</f>
        <v>0</v>
      </c>
    </row>
    <row r="1776" spans="1:6" ht="12.75" customHeight="1" x14ac:dyDescent="0.2">
      <c r="A1776" s="3" t="str">
        <f>'A VII.'!$A$192</f>
        <v>3.12</v>
      </c>
      <c r="B1776" s="74" t="s">
        <v>185</v>
      </c>
      <c r="C1776" s="114">
        <v>1.6</v>
      </c>
      <c r="D1776" s="54" t="str">
        <f>VLOOKUP(A1776,'A VII.'!$A$10:$D$199,3,FALSE)</f>
        <v>H</v>
      </c>
      <c r="E1776" s="85">
        <f>'A VII.'!$D$192</f>
        <v>0</v>
      </c>
      <c r="F1776" s="59">
        <f t="shared" si="103"/>
        <v>0</v>
      </c>
    </row>
    <row r="1777" spans="1:6" ht="12.75" customHeight="1" x14ac:dyDescent="0.2">
      <c r="A1777" s="3"/>
      <c r="C1777" s="114"/>
      <c r="E1777" s="85"/>
      <c r="F1777" s="59">
        <f t="shared" si="103"/>
        <v>0</v>
      </c>
    </row>
    <row r="1778" spans="1:6" ht="12.75" customHeight="1" x14ac:dyDescent="0.2">
      <c r="A1778" s="3"/>
      <c r="C1778" s="114"/>
      <c r="E1778" s="85"/>
      <c r="F1778" s="59">
        <f t="shared" si="103"/>
        <v>0</v>
      </c>
    </row>
    <row r="1779" spans="1:6" ht="12.75" customHeight="1" x14ac:dyDescent="0.2">
      <c r="A1779" s="3"/>
      <c r="C1779" s="114"/>
      <c r="E1779" s="85"/>
      <c r="F1779" s="59">
        <f t="shared" si="103"/>
        <v>0</v>
      </c>
    </row>
    <row r="1780" spans="1:6" ht="12.75" customHeight="1" x14ac:dyDescent="0.2">
      <c r="A1780" s="3"/>
      <c r="C1780" s="114"/>
      <c r="E1780" s="85"/>
      <c r="F1780" s="59">
        <f t="shared" si="103"/>
        <v>0</v>
      </c>
    </row>
    <row r="1781" spans="1:6" ht="12.75" customHeight="1" x14ac:dyDescent="0.2">
      <c r="A1781" s="3"/>
      <c r="C1781" s="114"/>
      <c r="E1781" s="85"/>
      <c r="F1781" s="59">
        <f t="shared" si="103"/>
        <v>0</v>
      </c>
    </row>
    <row r="1782" spans="1:6" ht="12.75" customHeight="1" x14ac:dyDescent="0.2">
      <c r="A1782" s="3"/>
      <c r="B1782" s="86" t="s">
        <v>258</v>
      </c>
      <c r="C1782" s="87"/>
      <c r="D1782" s="88"/>
      <c r="E1782" s="89"/>
      <c r="F1782" s="90">
        <f>SUM(F1775:F1781)</f>
        <v>0</v>
      </c>
    </row>
    <row r="1783" spans="1:6" ht="12.75" customHeight="1" x14ac:dyDescent="0.2">
      <c r="A1783" s="3"/>
      <c r="B1783" s="91" t="s">
        <v>261</v>
      </c>
      <c r="C1783" s="15">
        <f>'A IX.'!$C$45</f>
        <v>0</v>
      </c>
      <c r="D1783" s="92"/>
      <c r="E1783" s="93"/>
      <c r="F1783" s="94">
        <f>ROUND(F1782*C1783,2)</f>
        <v>0</v>
      </c>
    </row>
    <row r="1784" spans="1:6" ht="12.75" customHeight="1" x14ac:dyDescent="0.2">
      <c r="A1784" s="3"/>
      <c r="B1784" s="91" t="s">
        <v>70</v>
      </c>
      <c r="C1784" s="15">
        <f>$D$8</f>
        <v>0</v>
      </c>
      <c r="D1784" s="92"/>
      <c r="E1784" s="93"/>
      <c r="F1784" s="94">
        <f>ROUND(SUM(F1782:F1783)*C1784,2)</f>
        <v>0</v>
      </c>
    </row>
    <row r="1785" spans="1:6" ht="12.75" customHeight="1" thickBot="1" x14ac:dyDescent="0.25">
      <c r="A1785" s="98"/>
      <c r="B1785" s="99" t="s">
        <v>262</v>
      </c>
      <c r="C1785" s="100"/>
      <c r="D1785" s="100"/>
      <c r="E1785" s="101"/>
      <c r="F1785" s="102">
        <f>SUM(F1782:F1784)</f>
        <v>0</v>
      </c>
    </row>
    <row r="1786" spans="1:6" ht="12.75" customHeight="1" thickBot="1" x14ac:dyDescent="0.25">
      <c r="A1786" s="81"/>
      <c r="B1786" s="82"/>
      <c r="C1786" s="83"/>
      <c r="D1786" s="83"/>
      <c r="E1786" s="84"/>
      <c r="F1786" s="103"/>
    </row>
    <row r="1787" spans="1:6" ht="30" customHeight="1" x14ac:dyDescent="0.2">
      <c r="A1787" s="5" t="str">
        <f>'A IV.A'!$A$65</f>
        <v>3.3.4</v>
      </c>
      <c r="B1787" s="416" t="str">
        <f>'A IV.A'!$B$65</f>
        <v>ALVENARIA EM BLOCO DE CONCRETO 9 X 19 X 39 CM</v>
      </c>
      <c r="C1787" s="526" t="s">
        <v>269</v>
      </c>
      <c r="D1787" s="527"/>
      <c r="E1787" s="417" t="str">
        <f>'A IV.A'!$C$65</f>
        <v>M2</v>
      </c>
      <c r="F1787" s="58">
        <f>ROUND(F1807+F1821+F1833,2)</f>
        <v>0</v>
      </c>
    </row>
    <row r="1788" spans="1:6" ht="12.75" customHeight="1" x14ac:dyDescent="0.2">
      <c r="A1788" s="1" t="s">
        <v>17</v>
      </c>
      <c r="B1788" s="418" t="s">
        <v>162</v>
      </c>
      <c r="C1788" s="419" t="s">
        <v>263</v>
      </c>
      <c r="D1788" s="419" t="s">
        <v>264</v>
      </c>
      <c r="E1788" s="420" t="s">
        <v>265</v>
      </c>
      <c r="F1788" s="57" t="s">
        <v>266</v>
      </c>
    </row>
    <row r="1789" spans="1:6" ht="12.75" customHeight="1" x14ac:dyDescent="0.2">
      <c r="A1789" s="6" t="str">
        <f>'A VII.'!$A$19</f>
        <v>1.10</v>
      </c>
      <c r="B1789" s="74" t="str">
        <f>VLOOKUP(A1789,'A VII.'!$A$10:$D$199,2,FALSE)</f>
        <v>AREIA MÉDIA LAVADA</v>
      </c>
      <c r="C1789" s="114">
        <v>1.1088000000000001E-2</v>
      </c>
      <c r="D1789" s="7" t="str">
        <f>VLOOKUP(A1789,'A VII.'!$A$10:$D$199,3,FALSE)</f>
        <v>M3</v>
      </c>
      <c r="E1789" s="85">
        <f>'A VII.'!$D$19</f>
        <v>0</v>
      </c>
      <c r="F1789" s="59">
        <f>ROUND(C1789*E1789,2)</f>
        <v>0</v>
      </c>
    </row>
    <row r="1790" spans="1:6" ht="12.75" customHeight="1" x14ac:dyDescent="0.2">
      <c r="A1790" s="6" t="str">
        <f>'A VII.'!$A$24</f>
        <v>1.15</v>
      </c>
      <c r="B1790" s="74" t="str">
        <f>VLOOKUP(A1790,'A VII.'!$A$10:$D$199,2,FALSE)</f>
        <v>BLOCO DE CONCRETO PARA VEDAÇÃO - 9 X 19 X 39 CM - CLASSE D - M-10</v>
      </c>
      <c r="C1790" s="114">
        <v>13.6</v>
      </c>
      <c r="D1790" s="7" t="str">
        <f>VLOOKUP(A1790,'A VII.'!$A$10:$D$199,3,FALSE)</f>
        <v>UN</v>
      </c>
      <c r="E1790" s="85">
        <f>'A VII.'!$D$24</f>
        <v>0</v>
      </c>
      <c r="F1790" s="59">
        <f t="shared" ref="F1790:F1804" si="104">ROUND(C1790*E1790,2)</f>
        <v>0</v>
      </c>
    </row>
    <row r="1791" spans="1:6" ht="12.75" customHeight="1" x14ac:dyDescent="0.2">
      <c r="A1791" s="6" t="str">
        <f>'A VII.'!$A$29</f>
        <v>1.20</v>
      </c>
      <c r="B1791" s="74" t="str">
        <f>VLOOKUP(A1791,'A VII.'!$A$10:$D$199,2,FALSE)</f>
        <v>CAL HIDRATADA CH III - NBR 7175</v>
      </c>
      <c r="C1791" s="114">
        <v>1.6626719999999999</v>
      </c>
      <c r="D1791" s="7" t="str">
        <f>VLOOKUP(A1791,'A VII.'!$A$10:$D$199,3,FALSE)</f>
        <v>KG</v>
      </c>
      <c r="E1791" s="85">
        <f>'A VII.'!$D$29</f>
        <v>0</v>
      </c>
      <c r="F1791" s="59">
        <f t="shared" si="104"/>
        <v>0</v>
      </c>
    </row>
    <row r="1792" spans="1:6" ht="12.75" customHeight="1" x14ac:dyDescent="0.2">
      <c r="A1792" s="6" t="str">
        <f>'A VII.'!$A$38</f>
        <v>1.29</v>
      </c>
      <c r="B1792" s="74" t="str">
        <f>VLOOKUP(A1792,'A VII.'!$A$10:$D$199,2,FALSE)</f>
        <v>CIMENTO PORTLAND CP II-E-32</v>
      </c>
      <c r="C1792" s="114">
        <v>1.5934159999999999</v>
      </c>
      <c r="D1792" s="7" t="str">
        <f>VLOOKUP(A1792,'A VII.'!$A$10:$D$199,3,FALSE)</f>
        <v>KG</v>
      </c>
      <c r="E1792" s="85">
        <f>'A VII.'!$D$38</f>
        <v>0</v>
      </c>
      <c r="F1792" s="59">
        <f t="shared" si="104"/>
        <v>0</v>
      </c>
    </row>
    <row r="1793" spans="1:6" ht="12.75" customHeight="1" x14ac:dyDescent="0.2">
      <c r="A1793" s="6" t="str">
        <f>'A VII.'!$A$104</f>
        <v>1.94</v>
      </c>
      <c r="B1793" s="421" t="str">
        <f>'A VII.'!B104</f>
        <v>TELA DE AÇO SOLDADA GALVANIZADA/ZINCADA PARA ALVENARIA, FIO D = 1,20 A 1,70 MM, MALHA 15 X 15 MM, (C X L) 50 X 7,5CM</v>
      </c>
      <c r="C1793" s="114">
        <v>0.78500000000000003</v>
      </c>
      <c r="D1793" s="7" t="str">
        <f>'A VII.'!C104</f>
        <v>M</v>
      </c>
      <c r="E1793" s="85">
        <f>'A VII.'!D104</f>
        <v>0</v>
      </c>
      <c r="F1793" s="59">
        <f t="shared" si="104"/>
        <v>0</v>
      </c>
    </row>
    <row r="1794" spans="1:6" ht="12.75" customHeight="1" x14ac:dyDescent="0.2">
      <c r="A1794" s="6"/>
      <c r="B1794" s="421"/>
      <c r="C1794" s="114"/>
      <c r="D1794" s="7"/>
      <c r="E1794" s="85"/>
      <c r="F1794" s="59">
        <f t="shared" si="104"/>
        <v>0</v>
      </c>
    </row>
    <row r="1795" spans="1:6" ht="12.75" customHeight="1" x14ac:dyDescent="0.2">
      <c r="A1795" s="6"/>
      <c r="B1795" s="421"/>
      <c r="C1795" s="114"/>
      <c r="D1795" s="7"/>
      <c r="E1795" s="85"/>
      <c r="F1795" s="59">
        <f t="shared" si="104"/>
        <v>0</v>
      </c>
    </row>
    <row r="1796" spans="1:6" ht="12.75" customHeight="1" x14ac:dyDescent="0.2">
      <c r="A1796" s="6"/>
      <c r="B1796" s="421"/>
      <c r="C1796" s="114"/>
      <c r="D1796" s="7"/>
      <c r="E1796" s="85"/>
      <c r="F1796" s="59">
        <f t="shared" si="104"/>
        <v>0</v>
      </c>
    </row>
    <row r="1797" spans="1:6" ht="12.75" customHeight="1" x14ac:dyDescent="0.2">
      <c r="A1797" s="6"/>
      <c r="B1797" s="421"/>
      <c r="C1797" s="114"/>
      <c r="D1797" s="7"/>
      <c r="E1797" s="85"/>
      <c r="F1797" s="59">
        <f t="shared" si="104"/>
        <v>0</v>
      </c>
    </row>
    <row r="1798" spans="1:6" ht="12.75" customHeight="1" x14ac:dyDescent="0.2">
      <c r="A1798" s="6"/>
      <c r="B1798" s="421"/>
      <c r="C1798" s="114"/>
      <c r="D1798" s="7"/>
      <c r="E1798" s="85"/>
      <c r="F1798" s="59">
        <f t="shared" si="104"/>
        <v>0</v>
      </c>
    </row>
    <row r="1799" spans="1:6" ht="12.75" customHeight="1" x14ac:dyDescent="0.2">
      <c r="A1799" s="6"/>
      <c r="B1799" s="421"/>
      <c r="C1799" s="114"/>
      <c r="D1799" s="7"/>
      <c r="E1799" s="85"/>
      <c r="F1799" s="59">
        <f t="shared" si="104"/>
        <v>0</v>
      </c>
    </row>
    <row r="1800" spans="1:6" ht="12.75" customHeight="1" x14ac:dyDescent="0.2">
      <c r="A1800" s="6"/>
      <c r="B1800" s="421"/>
      <c r="C1800" s="114"/>
      <c r="D1800" s="423"/>
      <c r="E1800" s="85"/>
      <c r="F1800" s="59">
        <f t="shared" si="104"/>
        <v>0</v>
      </c>
    </row>
    <row r="1801" spans="1:6" ht="12.75" customHeight="1" x14ac:dyDescent="0.2">
      <c r="A1801" s="6"/>
      <c r="B1801" s="421"/>
      <c r="C1801" s="114"/>
      <c r="D1801" s="423"/>
      <c r="E1801" s="85"/>
      <c r="F1801" s="59">
        <f t="shared" si="104"/>
        <v>0</v>
      </c>
    </row>
    <row r="1802" spans="1:6" ht="12.75" customHeight="1" x14ac:dyDescent="0.2">
      <c r="A1802" s="6"/>
      <c r="B1802" s="421"/>
      <c r="C1802" s="114"/>
      <c r="D1802" s="423"/>
      <c r="E1802" s="85"/>
      <c r="F1802" s="59">
        <f t="shared" si="104"/>
        <v>0</v>
      </c>
    </row>
    <row r="1803" spans="1:6" ht="12.75" customHeight="1" x14ac:dyDescent="0.2">
      <c r="A1803" s="3"/>
      <c r="C1803" s="114"/>
      <c r="E1803" s="85"/>
      <c r="F1803" s="59">
        <f t="shared" si="104"/>
        <v>0</v>
      </c>
    </row>
    <row r="1804" spans="1:6" ht="12.75" customHeight="1" x14ac:dyDescent="0.2">
      <c r="A1804" s="3"/>
      <c r="C1804" s="114"/>
      <c r="E1804" s="85"/>
      <c r="F1804" s="59">
        <f t="shared" si="104"/>
        <v>0</v>
      </c>
    </row>
    <row r="1805" spans="1:6" ht="12.75" customHeight="1" x14ac:dyDescent="0.2">
      <c r="A1805" s="3"/>
      <c r="B1805" s="86" t="s">
        <v>258</v>
      </c>
      <c r="C1805" s="87"/>
      <c r="D1805" s="88"/>
      <c r="E1805" s="89"/>
      <c r="F1805" s="90">
        <f>SUM(F1789:F1804)</f>
        <v>0</v>
      </c>
    </row>
    <row r="1806" spans="1:6" ht="12.75" customHeight="1" x14ac:dyDescent="0.2">
      <c r="A1806" s="3"/>
      <c r="B1806" s="91" t="s">
        <v>70</v>
      </c>
      <c r="C1806" s="15">
        <f>$D$8</f>
        <v>0</v>
      </c>
      <c r="D1806" s="92"/>
      <c r="E1806" s="93"/>
      <c r="F1806" s="94">
        <f>ROUND(F1805*C1806,2)</f>
        <v>0</v>
      </c>
    </row>
    <row r="1807" spans="1:6" ht="12.75" customHeight="1" x14ac:dyDescent="0.2">
      <c r="A1807" s="95"/>
      <c r="B1807" s="424" t="s">
        <v>259</v>
      </c>
      <c r="C1807" s="425"/>
      <c r="D1807" s="425"/>
      <c r="E1807" s="426"/>
      <c r="F1807" s="96">
        <f>F1805+F1806</f>
        <v>0</v>
      </c>
    </row>
    <row r="1808" spans="1:6" ht="12.75" customHeight="1" x14ac:dyDescent="0.2">
      <c r="A1808" s="1" t="s">
        <v>5</v>
      </c>
      <c r="B1808" s="418" t="s">
        <v>267</v>
      </c>
      <c r="C1808" s="419" t="s">
        <v>263</v>
      </c>
      <c r="D1808" s="419" t="s">
        <v>264</v>
      </c>
      <c r="E1808" s="420" t="s">
        <v>265</v>
      </c>
      <c r="F1808" s="57" t="s">
        <v>266</v>
      </c>
    </row>
    <row r="1809" spans="1:6" ht="12.75" customHeight="1" x14ac:dyDescent="0.2">
      <c r="A1809" s="3"/>
      <c r="C1809" s="114"/>
      <c r="E1809" s="85"/>
      <c r="F1809" s="59">
        <f t="shared" ref="F1809:F1818" si="105">ROUND(C1809*E1809,2)</f>
        <v>0</v>
      </c>
    </row>
    <row r="1810" spans="1:6" ht="12.75" customHeight="1" x14ac:dyDescent="0.2">
      <c r="A1810" s="3"/>
      <c r="C1810" s="114"/>
      <c r="E1810" s="85"/>
      <c r="F1810" s="59">
        <f t="shared" si="105"/>
        <v>0</v>
      </c>
    </row>
    <row r="1811" spans="1:6" ht="12.75" customHeight="1" x14ac:dyDescent="0.2">
      <c r="A1811" s="3"/>
      <c r="C1811" s="114"/>
      <c r="E1811" s="85"/>
      <c r="F1811" s="59">
        <f t="shared" si="105"/>
        <v>0</v>
      </c>
    </row>
    <row r="1812" spans="1:6" ht="12.75" customHeight="1" x14ac:dyDescent="0.2">
      <c r="A1812" s="3"/>
      <c r="C1812" s="114"/>
      <c r="E1812" s="85"/>
      <c r="F1812" s="59">
        <f t="shared" si="105"/>
        <v>0</v>
      </c>
    </row>
    <row r="1813" spans="1:6" ht="12.75" customHeight="1" x14ac:dyDescent="0.2">
      <c r="A1813" s="3"/>
      <c r="C1813" s="114"/>
      <c r="E1813" s="85"/>
      <c r="F1813" s="59">
        <f t="shared" si="105"/>
        <v>0</v>
      </c>
    </row>
    <row r="1814" spans="1:6" ht="12.75" customHeight="1" x14ac:dyDescent="0.2">
      <c r="A1814" s="3"/>
      <c r="C1814" s="114"/>
      <c r="E1814" s="85"/>
      <c r="F1814" s="59">
        <f t="shared" si="105"/>
        <v>0</v>
      </c>
    </row>
    <row r="1815" spans="1:6" ht="12.75" customHeight="1" x14ac:dyDescent="0.2">
      <c r="A1815" s="3"/>
      <c r="C1815" s="114"/>
      <c r="E1815" s="85"/>
      <c r="F1815" s="59">
        <f t="shared" si="105"/>
        <v>0</v>
      </c>
    </row>
    <row r="1816" spans="1:6" ht="12.75" customHeight="1" x14ac:dyDescent="0.2">
      <c r="A1816" s="3"/>
      <c r="C1816" s="114"/>
      <c r="E1816" s="85"/>
      <c r="F1816" s="59">
        <f t="shared" si="105"/>
        <v>0</v>
      </c>
    </row>
    <row r="1817" spans="1:6" ht="12.75" customHeight="1" x14ac:dyDescent="0.2">
      <c r="A1817" s="3"/>
      <c r="C1817" s="114"/>
      <c r="E1817" s="85"/>
      <c r="F1817" s="59">
        <f t="shared" si="105"/>
        <v>0</v>
      </c>
    </row>
    <row r="1818" spans="1:6" ht="12.75" customHeight="1" x14ac:dyDescent="0.2">
      <c r="A1818" s="3"/>
      <c r="C1818" s="114"/>
      <c r="E1818" s="85"/>
      <c r="F1818" s="59">
        <f t="shared" si="105"/>
        <v>0</v>
      </c>
    </row>
    <row r="1819" spans="1:6" ht="12.75" customHeight="1" x14ac:dyDescent="0.2">
      <c r="A1819" s="3"/>
      <c r="B1819" s="86" t="s">
        <v>258</v>
      </c>
      <c r="C1819" s="87"/>
      <c r="D1819" s="88"/>
      <c r="E1819" s="89"/>
      <c r="F1819" s="90">
        <f>SUM(F1809:F1818)</f>
        <v>0</v>
      </c>
    </row>
    <row r="1820" spans="1:6" ht="12.75" customHeight="1" x14ac:dyDescent="0.2">
      <c r="A1820" s="3"/>
      <c r="B1820" s="91" t="s">
        <v>70</v>
      </c>
      <c r="C1820" s="15">
        <f>$D$8</f>
        <v>0</v>
      </c>
      <c r="D1820" s="92"/>
      <c r="E1820" s="93"/>
      <c r="F1820" s="94">
        <f>ROUND(C1820*F1819,2)</f>
        <v>0</v>
      </c>
    </row>
    <row r="1821" spans="1:6" ht="12.75" customHeight="1" x14ac:dyDescent="0.2">
      <c r="A1821" s="95"/>
      <c r="B1821" s="424" t="s">
        <v>260</v>
      </c>
      <c r="C1821" s="425"/>
      <c r="D1821" s="425"/>
      <c r="E1821" s="426"/>
      <c r="F1821" s="96">
        <f>F1819+F1820</f>
        <v>0</v>
      </c>
    </row>
    <row r="1822" spans="1:6" ht="12.75" customHeight="1" x14ac:dyDescent="0.2">
      <c r="A1822" s="97" t="s">
        <v>54</v>
      </c>
      <c r="B1822" s="427" t="s">
        <v>268</v>
      </c>
      <c r="C1822" s="428" t="s">
        <v>263</v>
      </c>
      <c r="D1822" s="429" t="s">
        <v>264</v>
      </c>
      <c r="E1822" s="430" t="s">
        <v>265</v>
      </c>
      <c r="F1822" s="57" t="s">
        <v>266</v>
      </c>
    </row>
    <row r="1823" spans="1:6" ht="12.75" customHeight="1" x14ac:dyDescent="0.2">
      <c r="A1823" s="3" t="str">
        <f>'A VII.'!$A$196</f>
        <v>3.16</v>
      </c>
      <c r="B1823" s="74" t="s">
        <v>189</v>
      </c>
      <c r="C1823" s="114">
        <f>0.365+0.100056</f>
        <v>0.46505600000000002</v>
      </c>
      <c r="D1823" s="54" t="str">
        <f>VLOOKUP(A1823,'A VII.'!$A$10:$D$199,3,FALSE)</f>
        <v>H</v>
      </c>
      <c r="E1823" s="85">
        <f>'A VII.'!$D$196</f>
        <v>0</v>
      </c>
      <c r="F1823" s="59">
        <f t="shared" ref="F1823:F1829" si="106">ROUND(C1823*E1823,2)</f>
        <v>0</v>
      </c>
    </row>
    <row r="1824" spans="1:6" ht="12.75" customHeight="1" x14ac:dyDescent="0.2">
      <c r="A1824" s="3" t="str">
        <f>'A VII.'!$A$192</f>
        <v>3.12</v>
      </c>
      <c r="B1824" s="74" t="s">
        <v>185</v>
      </c>
      <c r="C1824" s="114">
        <v>0.73</v>
      </c>
      <c r="D1824" s="54" t="str">
        <f>VLOOKUP(A1824,'A VII.'!$A$10:$D$199,3,FALSE)</f>
        <v>H</v>
      </c>
      <c r="E1824" s="85">
        <f>'A VII.'!$D$192</f>
        <v>0</v>
      </c>
      <c r="F1824" s="59">
        <f t="shared" si="106"/>
        <v>0</v>
      </c>
    </row>
    <row r="1825" spans="1:6" ht="12.75" customHeight="1" x14ac:dyDescent="0.2">
      <c r="A1825" s="3"/>
      <c r="C1825" s="114"/>
      <c r="E1825" s="85"/>
      <c r="F1825" s="59">
        <f t="shared" si="106"/>
        <v>0</v>
      </c>
    </row>
    <row r="1826" spans="1:6" ht="12.75" customHeight="1" x14ac:dyDescent="0.2">
      <c r="A1826" s="3"/>
      <c r="C1826" s="114"/>
      <c r="E1826" s="85"/>
      <c r="F1826" s="59">
        <f t="shared" si="106"/>
        <v>0</v>
      </c>
    </row>
    <row r="1827" spans="1:6" ht="12.75" customHeight="1" x14ac:dyDescent="0.2">
      <c r="A1827" s="3"/>
      <c r="C1827" s="114"/>
      <c r="E1827" s="85"/>
      <c r="F1827" s="59">
        <f t="shared" si="106"/>
        <v>0</v>
      </c>
    </row>
    <row r="1828" spans="1:6" ht="12.75" customHeight="1" x14ac:dyDescent="0.2">
      <c r="A1828" s="3"/>
      <c r="C1828" s="114"/>
      <c r="E1828" s="85"/>
      <c r="F1828" s="59">
        <f t="shared" si="106"/>
        <v>0</v>
      </c>
    </row>
    <row r="1829" spans="1:6" ht="12.75" customHeight="1" x14ac:dyDescent="0.2">
      <c r="A1829" s="3"/>
      <c r="C1829" s="114"/>
      <c r="E1829" s="85"/>
      <c r="F1829" s="59">
        <f t="shared" si="106"/>
        <v>0</v>
      </c>
    </row>
    <row r="1830" spans="1:6" ht="12.75" customHeight="1" x14ac:dyDescent="0.2">
      <c r="A1830" s="3"/>
      <c r="B1830" s="86" t="s">
        <v>258</v>
      </c>
      <c r="C1830" s="87"/>
      <c r="D1830" s="88"/>
      <c r="E1830" s="89"/>
      <c r="F1830" s="90">
        <f>SUM(F1823:F1829)</f>
        <v>0</v>
      </c>
    </row>
    <row r="1831" spans="1:6" ht="12.75" customHeight="1" x14ac:dyDescent="0.2">
      <c r="A1831" s="3"/>
      <c r="B1831" s="91" t="s">
        <v>261</v>
      </c>
      <c r="C1831" s="15">
        <f>'A IX.'!$C$45</f>
        <v>0</v>
      </c>
      <c r="D1831" s="92"/>
      <c r="E1831" s="93"/>
      <c r="F1831" s="94">
        <f>ROUND(F1830*C1831,2)</f>
        <v>0</v>
      </c>
    </row>
    <row r="1832" spans="1:6" ht="12.75" customHeight="1" x14ac:dyDescent="0.2">
      <c r="A1832" s="3"/>
      <c r="B1832" s="91" t="s">
        <v>70</v>
      </c>
      <c r="C1832" s="15">
        <f>$D$8</f>
        <v>0</v>
      </c>
      <c r="D1832" s="92"/>
      <c r="E1832" s="93"/>
      <c r="F1832" s="94">
        <f>ROUND(SUM(F1830:F1831)*C1832,2)</f>
        <v>0</v>
      </c>
    </row>
    <row r="1833" spans="1:6" ht="12.75" customHeight="1" thickBot="1" x14ac:dyDescent="0.25">
      <c r="A1833" s="98"/>
      <c r="B1833" s="99" t="s">
        <v>262</v>
      </c>
      <c r="C1833" s="100"/>
      <c r="D1833" s="100"/>
      <c r="E1833" s="101"/>
      <c r="F1833" s="102">
        <f>SUM(F1830:F1832)</f>
        <v>0</v>
      </c>
    </row>
    <row r="1834" spans="1:6" ht="12.75" customHeight="1" thickBot="1" x14ac:dyDescent="0.25">
      <c r="A1834" s="333"/>
      <c r="B1834" s="431"/>
      <c r="C1834" s="432"/>
      <c r="D1834" s="432"/>
      <c r="E1834" s="433"/>
      <c r="F1834" s="334"/>
    </row>
    <row r="1835" spans="1:6" ht="30" customHeight="1" x14ac:dyDescent="0.2">
      <c r="A1835" s="5" t="str">
        <f>'A IV.A'!$A$66</f>
        <v>3.3.5</v>
      </c>
      <c r="B1835" s="416" t="str">
        <f>'A IV.A'!$B$66</f>
        <v>ALVENARIA EM BLOCO DE CONCRETO 14 X 19 X 39 CM</v>
      </c>
      <c r="C1835" s="526" t="s">
        <v>269</v>
      </c>
      <c r="D1835" s="527"/>
      <c r="E1835" s="417" t="str">
        <f>'A IV.A'!$C$66</f>
        <v>M2</v>
      </c>
      <c r="F1835" s="58">
        <f>ROUND(F1855+F1869+F1881,2)</f>
        <v>0</v>
      </c>
    </row>
    <row r="1836" spans="1:6" ht="12.75" customHeight="1" x14ac:dyDescent="0.2">
      <c r="A1836" s="1" t="s">
        <v>17</v>
      </c>
      <c r="B1836" s="418" t="s">
        <v>162</v>
      </c>
      <c r="C1836" s="419" t="s">
        <v>263</v>
      </c>
      <c r="D1836" s="419" t="s">
        <v>264</v>
      </c>
      <c r="E1836" s="420" t="s">
        <v>265</v>
      </c>
      <c r="F1836" s="57" t="s">
        <v>266</v>
      </c>
    </row>
    <row r="1837" spans="1:6" ht="12.75" customHeight="1" x14ac:dyDescent="0.2">
      <c r="A1837" s="6" t="str">
        <f>'A VII.'!$A$19</f>
        <v>1.10</v>
      </c>
      <c r="B1837" s="74" t="str">
        <f>VLOOKUP(A1837,'A VII.'!$A$10:$D$199,2,FALSE)</f>
        <v>AREIA MÉDIA LAVADA</v>
      </c>
      <c r="C1837" s="114">
        <v>1.47E-2</v>
      </c>
      <c r="D1837" s="7" t="str">
        <f>VLOOKUP(A1837,'A VII.'!$A$10:$D$199,3,FALSE)</f>
        <v>M3</v>
      </c>
      <c r="E1837" s="85">
        <f>'A VII.'!$D$19</f>
        <v>0</v>
      </c>
      <c r="F1837" s="59">
        <f>ROUND(C1837*E1837,2)</f>
        <v>0</v>
      </c>
    </row>
    <row r="1838" spans="1:6" ht="12.75" customHeight="1" x14ac:dyDescent="0.2">
      <c r="A1838" s="338" t="str">
        <f>'A VII.'!$A$127</f>
        <v>1.117</v>
      </c>
      <c r="B1838" s="74" t="str">
        <f>VLOOKUP(A1838,'A VII.'!$A$10:$D$199,2,FALSE)</f>
        <v>BLOCO DE CONCRETO ESTRUTURAL 14 x 19 x 39 CM - CLASSE A NBR 6136</v>
      </c>
      <c r="C1838" s="114">
        <v>13.6</v>
      </c>
      <c r="D1838" s="7" t="str">
        <f>VLOOKUP($A$1838,'A VII.'!$A$10:$D$199,3,FALSE)</f>
        <v>UN</v>
      </c>
      <c r="E1838" s="85">
        <f>VLOOKUP(A1838,'A VII.'!$A$10:$D$199,4,FALSE)</f>
        <v>0</v>
      </c>
      <c r="F1838" s="59">
        <f t="shared" ref="F1838:F1852" si="107">ROUND(C1838*E1838,2)</f>
        <v>0</v>
      </c>
    </row>
    <row r="1839" spans="1:6" ht="12.75" customHeight="1" x14ac:dyDescent="0.2">
      <c r="A1839" s="6" t="str">
        <f>'A VII.'!$A$29</f>
        <v>1.20</v>
      </c>
      <c r="B1839" s="74" t="str">
        <f>VLOOKUP(A1839,'A VII.'!$A$10:$D$199,2,FALSE)</f>
        <v>CAL HIDRATADA CH III - NBR 7175</v>
      </c>
      <c r="C1839" s="114">
        <v>2.2075999999999998</v>
      </c>
      <c r="D1839" s="7" t="str">
        <f>VLOOKUP(A1839,'A VII.'!$A$10:$D$199,3,FALSE)</f>
        <v>KG</v>
      </c>
      <c r="E1839" s="85">
        <f>'A VII.'!$D$29</f>
        <v>0</v>
      </c>
      <c r="F1839" s="59">
        <f t="shared" si="107"/>
        <v>0</v>
      </c>
    </row>
    <row r="1840" spans="1:6" ht="12.75" customHeight="1" x14ac:dyDescent="0.2">
      <c r="A1840" s="6" t="str">
        <f>'A VII.'!$A$38</f>
        <v>1.29</v>
      </c>
      <c r="B1840" s="74" t="str">
        <f>VLOOKUP(A1840,'A VII.'!$A$10:$D$199,2,FALSE)</f>
        <v>CIMENTO PORTLAND CP II-E-32</v>
      </c>
      <c r="C1840" s="114">
        <v>2.4834999999999998</v>
      </c>
      <c r="D1840" s="7" t="str">
        <f>VLOOKUP(A1840,'A VII.'!$A$10:$D$199,3,FALSE)</f>
        <v>KG</v>
      </c>
      <c r="E1840" s="85">
        <f>'A VII.'!$D$38</f>
        <v>0</v>
      </c>
      <c r="F1840" s="59">
        <f t="shared" si="107"/>
        <v>0</v>
      </c>
    </row>
    <row r="1841" spans="1:6" ht="12.75" customHeight="1" x14ac:dyDescent="0.2">
      <c r="A1841" s="6" t="str">
        <f>'A VII.'!$A$104</f>
        <v>1.94</v>
      </c>
      <c r="B1841" s="421" t="str">
        <f>'A VII.'!B104</f>
        <v>TELA DE AÇO SOLDADA GALVANIZADA/ZINCADA PARA ALVENARIA, FIO D = 1,20 A 1,70 MM, MALHA 15 X 15 MM, (C X L) 50 X 7,5CM</v>
      </c>
      <c r="C1841" s="114">
        <v>0.42</v>
      </c>
      <c r="D1841" s="7" t="str">
        <f>'A VII.'!C104</f>
        <v>M</v>
      </c>
      <c r="E1841" s="85">
        <f>'A VII.'!D104</f>
        <v>0</v>
      </c>
      <c r="F1841" s="59">
        <f t="shared" si="107"/>
        <v>0</v>
      </c>
    </row>
    <row r="1842" spans="1:6" ht="12.75" customHeight="1" x14ac:dyDescent="0.2">
      <c r="A1842" s="6"/>
      <c r="B1842" s="421"/>
      <c r="C1842" s="114"/>
      <c r="D1842" s="7"/>
      <c r="E1842" s="85"/>
      <c r="F1842" s="59">
        <f t="shared" si="107"/>
        <v>0</v>
      </c>
    </row>
    <row r="1843" spans="1:6" ht="12.75" customHeight="1" x14ac:dyDescent="0.2">
      <c r="A1843" s="6"/>
      <c r="B1843" s="421"/>
      <c r="C1843" s="114"/>
      <c r="D1843" s="7"/>
      <c r="E1843" s="85"/>
      <c r="F1843" s="59">
        <f t="shared" si="107"/>
        <v>0</v>
      </c>
    </row>
    <row r="1844" spans="1:6" ht="12.75" customHeight="1" x14ac:dyDescent="0.2">
      <c r="A1844" s="6"/>
      <c r="B1844" s="421"/>
      <c r="C1844" s="114"/>
      <c r="D1844" s="7"/>
      <c r="E1844" s="85"/>
      <c r="F1844" s="59">
        <f t="shared" si="107"/>
        <v>0</v>
      </c>
    </row>
    <row r="1845" spans="1:6" ht="12.75" customHeight="1" x14ac:dyDescent="0.2">
      <c r="A1845" s="6"/>
      <c r="B1845" s="421"/>
      <c r="C1845" s="114"/>
      <c r="D1845" s="7"/>
      <c r="E1845" s="85"/>
      <c r="F1845" s="59">
        <f t="shared" si="107"/>
        <v>0</v>
      </c>
    </row>
    <row r="1846" spans="1:6" ht="12.75" customHeight="1" x14ac:dyDescent="0.2">
      <c r="A1846" s="6"/>
      <c r="B1846" s="421"/>
      <c r="C1846" s="114"/>
      <c r="D1846" s="7"/>
      <c r="E1846" s="85"/>
      <c r="F1846" s="59">
        <f t="shared" si="107"/>
        <v>0</v>
      </c>
    </row>
    <row r="1847" spans="1:6" ht="12.75" customHeight="1" x14ac:dyDescent="0.2">
      <c r="A1847" s="6"/>
      <c r="B1847" s="421"/>
      <c r="C1847" s="114"/>
      <c r="D1847" s="7"/>
      <c r="E1847" s="85"/>
      <c r="F1847" s="59">
        <f t="shared" si="107"/>
        <v>0</v>
      </c>
    </row>
    <row r="1848" spans="1:6" ht="12.75" customHeight="1" x14ac:dyDescent="0.2">
      <c r="A1848" s="6"/>
      <c r="B1848" s="421"/>
      <c r="C1848" s="114"/>
      <c r="D1848" s="423"/>
      <c r="E1848" s="85"/>
      <c r="F1848" s="59">
        <f t="shared" si="107"/>
        <v>0</v>
      </c>
    </row>
    <row r="1849" spans="1:6" ht="12.75" customHeight="1" x14ac:dyDescent="0.2">
      <c r="A1849" s="6"/>
      <c r="B1849" s="421"/>
      <c r="C1849" s="114"/>
      <c r="D1849" s="423"/>
      <c r="E1849" s="85"/>
      <c r="F1849" s="59">
        <f t="shared" si="107"/>
        <v>0</v>
      </c>
    </row>
    <row r="1850" spans="1:6" ht="12.75" customHeight="1" x14ac:dyDescent="0.2">
      <c r="A1850" s="6"/>
      <c r="B1850" s="421"/>
      <c r="C1850" s="114"/>
      <c r="D1850" s="423"/>
      <c r="E1850" s="85"/>
      <c r="F1850" s="59">
        <f t="shared" si="107"/>
        <v>0</v>
      </c>
    </row>
    <row r="1851" spans="1:6" ht="12.75" customHeight="1" x14ac:dyDescent="0.2">
      <c r="A1851" s="3"/>
      <c r="C1851" s="114"/>
      <c r="E1851" s="85"/>
      <c r="F1851" s="59">
        <f t="shared" si="107"/>
        <v>0</v>
      </c>
    </row>
    <row r="1852" spans="1:6" ht="12.75" customHeight="1" x14ac:dyDescent="0.2">
      <c r="A1852" s="3"/>
      <c r="C1852" s="114"/>
      <c r="E1852" s="85"/>
      <c r="F1852" s="59">
        <f t="shared" si="107"/>
        <v>0</v>
      </c>
    </row>
    <row r="1853" spans="1:6" ht="12.75" customHeight="1" x14ac:dyDescent="0.2">
      <c r="A1853" s="3"/>
      <c r="B1853" s="86" t="s">
        <v>258</v>
      </c>
      <c r="C1853" s="87"/>
      <c r="D1853" s="88"/>
      <c r="E1853" s="89"/>
      <c r="F1853" s="90">
        <f>SUM(F1837:F1852)</f>
        <v>0</v>
      </c>
    </row>
    <row r="1854" spans="1:6" ht="12.75" customHeight="1" x14ac:dyDescent="0.2">
      <c r="A1854" s="3"/>
      <c r="B1854" s="91" t="s">
        <v>70</v>
      </c>
      <c r="C1854" s="15">
        <f>$D$8</f>
        <v>0</v>
      </c>
      <c r="D1854" s="92"/>
      <c r="E1854" s="93"/>
      <c r="F1854" s="94">
        <f>ROUND(F1853*C1854,2)</f>
        <v>0</v>
      </c>
    </row>
    <row r="1855" spans="1:6" ht="12.75" customHeight="1" x14ac:dyDescent="0.2">
      <c r="A1855" s="95"/>
      <c r="B1855" s="424" t="s">
        <v>259</v>
      </c>
      <c r="C1855" s="425"/>
      <c r="D1855" s="425"/>
      <c r="E1855" s="426"/>
      <c r="F1855" s="96">
        <f>F1853+F1854</f>
        <v>0</v>
      </c>
    </row>
    <row r="1856" spans="1:6" ht="12.75" customHeight="1" x14ac:dyDescent="0.2">
      <c r="A1856" s="1" t="s">
        <v>5</v>
      </c>
      <c r="B1856" s="418" t="s">
        <v>267</v>
      </c>
      <c r="C1856" s="419" t="s">
        <v>263</v>
      </c>
      <c r="D1856" s="419" t="s">
        <v>264</v>
      </c>
      <c r="E1856" s="420" t="s">
        <v>265</v>
      </c>
      <c r="F1856" s="57" t="s">
        <v>266</v>
      </c>
    </row>
    <row r="1857" spans="1:6" ht="12.75" customHeight="1" x14ac:dyDescent="0.2">
      <c r="A1857" s="3"/>
      <c r="C1857" s="114"/>
      <c r="E1857" s="85"/>
      <c r="F1857" s="59">
        <f t="shared" ref="F1857:F1866" si="108">ROUND(C1857*E1857,2)</f>
        <v>0</v>
      </c>
    </row>
    <row r="1858" spans="1:6" ht="12.75" customHeight="1" x14ac:dyDescent="0.2">
      <c r="A1858" s="3"/>
      <c r="C1858" s="114"/>
      <c r="E1858" s="85"/>
      <c r="F1858" s="59">
        <f t="shared" si="108"/>
        <v>0</v>
      </c>
    </row>
    <row r="1859" spans="1:6" ht="12.75" customHeight="1" x14ac:dyDescent="0.2">
      <c r="A1859" s="3"/>
      <c r="C1859" s="114"/>
      <c r="E1859" s="85"/>
      <c r="F1859" s="59">
        <f t="shared" si="108"/>
        <v>0</v>
      </c>
    </row>
    <row r="1860" spans="1:6" ht="12.75" customHeight="1" x14ac:dyDescent="0.2">
      <c r="A1860" s="3"/>
      <c r="C1860" s="114"/>
      <c r="E1860" s="85"/>
      <c r="F1860" s="59">
        <f t="shared" si="108"/>
        <v>0</v>
      </c>
    </row>
    <row r="1861" spans="1:6" ht="12.75" customHeight="1" x14ac:dyDescent="0.2">
      <c r="A1861" s="3"/>
      <c r="C1861" s="114"/>
      <c r="E1861" s="85"/>
      <c r="F1861" s="59">
        <f t="shared" si="108"/>
        <v>0</v>
      </c>
    </row>
    <row r="1862" spans="1:6" ht="12.75" customHeight="1" x14ac:dyDescent="0.2">
      <c r="A1862" s="3"/>
      <c r="C1862" s="114"/>
      <c r="E1862" s="85"/>
      <c r="F1862" s="59">
        <f t="shared" si="108"/>
        <v>0</v>
      </c>
    </row>
    <row r="1863" spans="1:6" ht="12.75" customHeight="1" x14ac:dyDescent="0.2">
      <c r="A1863" s="3"/>
      <c r="C1863" s="114"/>
      <c r="E1863" s="85"/>
      <c r="F1863" s="59">
        <f t="shared" si="108"/>
        <v>0</v>
      </c>
    </row>
    <row r="1864" spans="1:6" ht="12.75" customHeight="1" x14ac:dyDescent="0.2">
      <c r="A1864" s="3"/>
      <c r="C1864" s="114"/>
      <c r="E1864" s="85"/>
      <c r="F1864" s="59">
        <f t="shared" si="108"/>
        <v>0</v>
      </c>
    </row>
    <row r="1865" spans="1:6" ht="12.75" customHeight="1" x14ac:dyDescent="0.2">
      <c r="A1865" s="3"/>
      <c r="C1865" s="114"/>
      <c r="E1865" s="85"/>
      <c r="F1865" s="59">
        <f t="shared" si="108"/>
        <v>0</v>
      </c>
    </row>
    <row r="1866" spans="1:6" ht="12.75" customHeight="1" x14ac:dyDescent="0.2">
      <c r="A1866" s="3"/>
      <c r="C1866" s="114"/>
      <c r="E1866" s="85"/>
      <c r="F1866" s="59">
        <f t="shared" si="108"/>
        <v>0</v>
      </c>
    </row>
    <row r="1867" spans="1:6" ht="12.75" customHeight="1" x14ac:dyDescent="0.2">
      <c r="A1867" s="3"/>
      <c r="B1867" s="86" t="s">
        <v>258</v>
      </c>
      <c r="C1867" s="87"/>
      <c r="D1867" s="88"/>
      <c r="E1867" s="89"/>
      <c r="F1867" s="90">
        <f>SUM(F1857:F1866)</f>
        <v>0</v>
      </c>
    </row>
    <row r="1868" spans="1:6" ht="12.75" customHeight="1" x14ac:dyDescent="0.2">
      <c r="A1868" s="3"/>
      <c r="B1868" s="91" t="s">
        <v>70</v>
      </c>
      <c r="C1868" s="15">
        <f>$D$8</f>
        <v>0</v>
      </c>
      <c r="D1868" s="92"/>
      <c r="E1868" s="93"/>
      <c r="F1868" s="94">
        <f>ROUND(C1868*F1867,2)</f>
        <v>0</v>
      </c>
    </row>
    <row r="1869" spans="1:6" ht="12.75" customHeight="1" x14ac:dyDescent="0.2">
      <c r="A1869" s="95"/>
      <c r="B1869" s="424" t="s">
        <v>260</v>
      </c>
      <c r="C1869" s="425"/>
      <c r="D1869" s="425"/>
      <c r="E1869" s="426"/>
      <c r="F1869" s="96">
        <f>F1867+F1868</f>
        <v>0</v>
      </c>
    </row>
    <row r="1870" spans="1:6" ht="12.75" customHeight="1" x14ac:dyDescent="0.2">
      <c r="A1870" s="97" t="s">
        <v>54</v>
      </c>
      <c r="B1870" s="427" t="s">
        <v>268</v>
      </c>
      <c r="C1870" s="428" t="s">
        <v>263</v>
      </c>
      <c r="D1870" s="429" t="s">
        <v>264</v>
      </c>
      <c r="E1870" s="430" t="s">
        <v>265</v>
      </c>
      <c r="F1870" s="57" t="s">
        <v>266</v>
      </c>
    </row>
    <row r="1871" spans="1:6" ht="12.75" customHeight="1" x14ac:dyDescent="0.2">
      <c r="A1871" s="3" t="str">
        <f>'A VII.'!$A$196</f>
        <v>3.16</v>
      </c>
      <c r="B1871" s="74" t="s">
        <v>189</v>
      </c>
      <c r="C1871" s="114">
        <v>0.45</v>
      </c>
      <c r="D1871" s="54" t="str">
        <f>VLOOKUP(A1871,'A VII.'!$A$10:$D$199,3,FALSE)</f>
        <v>H</v>
      </c>
      <c r="E1871" s="85">
        <f>'A VII.'!$D$196</f>
        <v>0</v>
      </c>
      <c r="F1871" s="59">
        <f t="shared" ref="F1871:F1877" si="109">ROUND(C1871*E1871,2)</f>
        <v>0</v>
      </c>
    </row>
    <row r="1872" spans="1:6" ht="12.75" customHeight="1" x14ac:dyDescent="0.2">
      <c r="A1872" s="3" t="str">
        <f>'A VII.'!$A$192</f>
        <v>3.12</v>
      </c>
      <c r="B1872" s="74" t="s">
        <v>185</v>
      </c>
      <c r="C1872" s="114">
        <v>0.45</v>
      </c>
      <c r="D1872" s="54" t="str">
        <f>VLOOKUP(A1872,'A VII.'!$A$10:$D$199,3,FALSE)</f>
        <v>H</v>
      </c>
      <c r="E1872" s="85">
        <f>'A VII.'!$D$192</f>
        <v>0</v>
      </c>
      <c r="F1872" s="59">
        <f t="shared" si="109"/>
        <v>0</v>
      </c>
    </row>
    <row r="1873" spans="1:6" ht="12.75" customHeight="1" x14ac:dyDescent="0.2">
      <c r="A1873" s="3"/>
      <c r="C1873" s="114"/>
      <c r="E1873" s="85"/>
      <c r="F1873" s="59">
        <f t="shared" si="109"/>
        <v>0</v>
      </c>
    </row>
    <row r="1874" spans="1:6" ht="12.75" customHeight="1" x14ac:dyDescent="0.2">
      <c r="A1874" s="3"/>
      <c r="C1874" s="114"/>
      <c r="E1874" s="85"/>
      <c r="F1874" s="59">
        <f t="shared" si="109"/>
        <v>0</v>
      </c>
    </row>
    <row r="1875" spans="1:6" ht="12.75" customHeight="1" x14ac:dyDescent="0.2">
      <c r="A1875" s="3"/>
      <c r="C1875" s="114"/>
      <c r="E1875" s="85"/>
      <c r="F1875" s="59">
        <f t="shared" si="109"/>
        <v>0</v>
      </c>
    </row>
    <row r="1876" spans="1:6" ht="12.75" customHeight="1" x14ac:dyDescent="0.2">
      <c r="A1876" s="3"/>
      <c r="C1876" s="114"/>
      <c r="E1876" s="85"/>
      <c r="F1876" s="59">
        <f t="shared" si="109"/>
        <v>0</v>
      </c>
    </row>
    <row r="1877" spans="1:6" ht="12.75" customHeight="1" x14ac:dyDescent="0.2">
      <c r="A1877" s="3"/>
      <c r="C1877" s="114"/>
      <c r="E1877" s="85"/>
      <c r="F1877" s="59">
        <f t="shared" si="109"/>
        <v>0</v>
      </c>
    </row>
    <row r="1878" spans="1:6" ht="12.75" customHeight="1" x14ac:dyDescent="0.2">
      <c r="A1878" s="3"/>
      <c r="B1878" s="86" t="s">
        <v>258</v>
      </c>
      <c r="C1878" s="87"/>
      <c r="D1878" s="88"/>
      <c r="E1878" s="89"/>
      <c r="F1878" s="90">
        <f>SUM(F1871:F1877)</f>
        <v>0</v>
      </c>
    </row>
    <row r="1879" spans="1:6" ht="12.75" customHeight="1" x14ac:dyDescent="0.2">
      <c r="A1879" s="3"/>
      <c r="B1879" s="91" t="s">
        <v>261</v>
      </c>
      <c r="C1879" s="15">
        <f>'A IX.'!$C$45</f>
        <v>0</v>
      </c>
      <c r="D1879" s="92"/>
      <c r="E1879" s="93"/>
      <c r="F1879" s="94">
        <f>ROUND(F1878*C1879,2)</f>
        <v>0</v>
      </c>
    </row>
    <row r="1880" spans="1:6" ht="12.75" customHeight="1" x14ac:dyDescent="0.2">
      <c r="A1880" s="3"/>
      <c r="B1880" s="91" t="s">
        <v>70</v>
      </c>
      <c r="C1880" s="15">
        <f>$D$8</f>
        <v>0</v>
      </c>
      <c r="D1880" s="92"/>
      <c r="E1880" s="93"/>
      <c r="F1880" s="94">
        <f>ROUND(SUM(F1878:F1879)*C1880,2)</f>
        <v>0</v>
      </c>
    </row>
    <row r="1881" spans="1:6" ht="12.75" customHeight="1" thickBot="1" x14ac:dyDescent="0.25">
      <c r="A1881" s="98"/>
      <c r="B1881" s="99" t="s">
        <v>262</v>
      </c>
      <c r="C1881" s="100"/>
      <c r="D1881" s="100"/>
      <c r="E1881" s="101"/>
      <c r="F1881" s="102">
        <f>SUM(F1878:F1880)</f>
        <v>0</v>
      </c>
    </row>
    <row r="1882" spans="1:6" ht="12.75" customHeight="1" thickBot="1" x14ac:dyDescent="0.25">
      <c r="A1882" s="336"/>
      <c r="B1882" s="434"/>
      <c r="C1882" s="435"/>
      <c r="D1882" s="435"/>
      <c r="E1882" s="436"/>
      <c r="F1882" s="337"/>
    </row>
    <row r="1883" spans="1:6" ht="30" customHeight="1" x14ac:dyDescent="0.2">
      <c r="A1883" s="5" t="str">
        <f>'A IV.A'!$A$67</f>
        <v>3.3.6</v>
      </c>
      <c r="B1883" s="416" t="str">
        <f>'A IV.A'!$B$67</f>
        <v>ALVENARIA EM BLOCO DE CONCRETO 19 X 19 X 39 CM</v>
      </c>
      <c r="C1883" s="526" t="s">
        <v>269</v>
      </c>
      <c r="D1883" s="527"/>
      <c r="E1883" s="417" t="str">
        <f>'A IV.A'!$C$67</f>
        <v>M2</v>
      </c>
      <c r="F1883" s="58">
        <f>ROUND(F1903+F1917+F1929,2)</f>
        <v>0</v>
      </c>
    </row>
    <row r="1884" spans="1:6" ht="12.75" customHeight="1" x14ac:dyDescent="0.2">
      <c r="A1884" s="1" t="s">
        <v>17</v>
      </c>
      <c r="B1884" s="418" t="s">
        <v>162</v>
      </c>
      <c r="C1884" s="419" t="s">
        <v>263</v>
      </c>
      <c r="D1884" s="419" t="s">
        <v>264</v>
      </c>
      <c r="E1884" s="420" t="s">
        <v>265</v>
      </c>
      <c r="F1884" s="57" t="s">
        <v>266</v>
      </c>
    </row>
    <row r="1885" spans="1:6" ht="12.75" customHeight="1" x14ac:dyDescent="0.2">
      <c r="A1885" s="6" t="str">
        <f>'A VII.'!$A$19</f>
        <v>1.10</v>
      </c>
      <c r="B1885" s="74" t="str">
        <f>VLOOKUP(A1885,'A VII.'!$A$10:$D$199,2,FALSE)</f>
        <v>AREIA MÉDIA LAVADA</v>
      </c>
      <c r="C1885" s="114">
        <v>1.17E-2</v>
      </c>
      <c r="D1885" s="7" t="str">
        <f>VLOOKUP(A1885,'A VII.'!$A$10:$D$199,3,FALSE)</f>
        <v>M3</v>
      </c>
      <c r="E1885" s="85">
        <f>'A VII.'!$D$19</f>
        <v>0</v>
      </c>
      <c r="F1885" s="59">
        <f>ROUND(C1885*E1885,2)</f>
        <v>0</v>
      </c>
    </row>
    <row r="1886" spans="1:6" ht="12.75" customHeight="1" x14ac:dyDescent="0.2">
      <c r="A1886" s="335" t="str">
        <f>'A VII.'!$A$128</f>
        <v>1.118</v>
      </c>
      <c r="B1886" s="74" t="str">
        <f>VLOOKUP(A1886,'A VII.'!$A$10:$D$199,2,FALSE)</f>
        <v>BLOCO DE CONCRETO ESTRUTURAL 19 x 19 x 39 CM - CLASSE A NBR 6136</v>
      </c>
      <c r="C1886" s="114">
        <v>13.6</v>
      </c>
      <c r="D1886" s="7" t="str">
        <f>VLOOKUP(A1886,'A VII.'!$A$10:$D$199,3,FALSE)</f>
        <v>UN</v>
      </c>
      <c r="E1886" s="85">
        <f>VLOOKUP(A1886,'A VII.'!$A$10:$D$199,4,FALSE)</f>
        <v>0</v>
      </c>
      <c r="F1886" s="59">
        <f t="shared" ref="F1886:F1900" si="110">ROUND(C1886*E1886,2)</f>
        <v>0</v>
      </c>
    </row>
    <row r="1887" spans="1:6" ht="12.75" customHeight="1" x14ac:dyDescent="0.2">
      <c r="A1887" s="6" t="str">
        <f>'A VII.'!$A$29</f>
        <v>1.20</v>
      </c>
      <c r="B1887" s="74" t="str">
        <f>VLOOKUP(A1887,'A VII.'!$A$10:$D$199,2,FALSE)</f>
        <v>CAL HIDRATADA CH III - NBR 7175</v>
      </c>
      <c r="C1887" s="114">
        <v>1.7625999999999999</v>
      </c>
      <c r="D1887" s="7" t="str">
        <f>VLOOKUP(A1887,'A VII.'!$A$10:$D$199,3,FALSE)</f>
        <v>KG</v>
      </c>
      <c r="E1887" s="85">
        <f>'A VII.'!$D$29</f>
        <v>0</v>
      </c>
      <c r="F1887" s="59">
        <f t="shared" si="110"/>
        <v>0</v>
      </c>
    </row>
    <row r="1888" spans="1:6" ht="12.75" customHeight="1" x14ac:dyDescent="0.2">
      <c r="A1888" s="6" t="str">
        <f>'A VII.'!$A$38</f>
        <v>1.29</v>
      </c>
      <c r="B1888" s="74" t="str">
        <f>VLOOKUP(A1888,'A VII.'!$A$10:$D$199,2,FALSE)</f>
        <v>CIMENTO PORTLAND CP II-E-32</v>
      </c>
      <c r="C1888" s="114">
        <v>1.9830000000000001</v>
      </c>
      <c r="D1888" s="7" t="str">
        <f>VLOOKUP(A1888,'A VII.'!$A$10:$D$199,3,FALSE)</f>
        <v>KG</v>
      </c>
      <c r="E1888" s="85">
        <f>'A VII.'!$D$38</f>
        <v>0</v>
      </c>
      <c r="F1888" s="59">
        <f t="shared" si="110"/>
        <v>0</v>
      </c>
    </row>
    <row r="1889" spans="1:6" ht="12.75" customHeight="1" x14ac:dyDescent="0.2">
      <c r="A1889" s="6" t="str">
        <f>'A VII.'!$A$104</f>
        <v>1.94</v>
      </c>
      <c r="B1889" s="74" t="str">
        <f>VLOOKUP(A1889,'A VII.'!$A$10:$D$199,2,FALSE)</f>
        <v>TELA DE AÇO SOLDADA GALVANIZADA/ZINCADA PARA ALVENARIA, FIO D = 1,20 A 1,70 MM, MALHA 15 X 15 MM, (C X L) 50 X 7,5CM</v>
      </c>
      <c r="C1889" s="114">
        <v>0.42</v>
      </c>
      <c r="D1889" s="7" t="str">
        <f>VLOOKUP(A1889,'A VII.'!$A$10:$D$199,3,FALSE)</f>
        <v>M</v>
      </c>
      <c r="E1889" s="85">
        <f>'A VII.'!D104</f>
        <v>0</v>
      </c>
      <c r="F1889" s="59">
        <f t="shared" si="110"/>
        <v>0</v>
      </c>
    </row>
    <row r="1890" spans="1:6" ht="12.75" customHeight="1" x14ac:dyDescent="0.2">
      <c r="A1890" s="6"/>
      <c r="B1890" s="421"/>
      <c r="C1890" s="114"/>
      <c r="D1890" s="7"/>
      <c r="E1890" s="85"/>
      <c r="F1890" s="59">
        <f t="shared" si="110"/>
        <v>0</v>
      </c>
    </row>
    <row r="1891" spans="1:6" ht="12.75" customHeight="1" x14ac:dyDescent="0.2">
      <c r="A1891" s="6"/>
      <c r="B1891" s="421"/>
      <c r="C1891" s="114"/>
      <c r="D1891" s="7"/>
      <c r="E1891" s="85"/>
      <c r="F1891" s="59">
        <f t="shared" si="110"/>
        <v>0</v>
      </c>
    </row>
    <row r="1892" spans="1:6" ht="12.75" customHeight="1" x14ac:dyDescent="0.2">
      <c r="A1892" s="6"/>
      <c r="B1892" s="421"/>
      <c r="C1892" s="114"/>
      <c r="D1892" s="7"/>
      <c r="E1892" s="85"/>
      <c r="F1892" s="59">
        <f t="shared" si="110"/>
        <v>0</v>
      </c>
    </row>
    <row r="1893" spans="1:6" ht="12.75" customHeight="1" x14ac:dyDescent="0.2">
      <c r="A1893" s="6"/>
      <c r="B1893" s="421"/>
      <c r="C1893" s="114"/>
      <c r="D1893" s="7"/>
      <c r="E1893" s="85"/>
      <c r="F1893" s="59">
        <f t="shared" si="110"/>
        <v>0</v>
      </c>
    </row>
    <row r="1894" spans="1:6" ht="12.75" customHeight="1" x14ac:dyDescent="0.2">
      <c r="A1894" s="6"/>
      <c r="B1894" s="421"/>
      <c r="C1894" s="114"/>
      <c r="D1894" s="7"/>
      <c r="E1894" s="85"/>
      <c r="F1894" s="59">
        <f t="shared" si="110"/>
        <v>0</v>
      </c>
    </row>
    <row r="1895" spans="1:6" ht="12.75" customHeight="1" x14ac:dyDescent="0.2">
      <c r="A1895" s="6"/>
      <c r="B1895" s="421"/>
      <c r="C1895" s="114"/>
      <c r="D1895" s="7"/>
      <c r="E1895" s="85"/>
      <c r="F1895" s="59">
        <f t="shared" si="110"/>
        <v>0</v>
      </c>
    </row>
    <row r="1896" spans="1:6" ht="12.75" customHeight="1" x14ac:dyDescent="0.2">
      <c r="A1896" s="6"/>
      <c r="B1896" s="421"/>
      <c r="C1896" s="114"/>
      <c r="D1896" s="423"/>
      <c r="E1896" s="85"/>
      <c r="F1896" s="59">
        <f t="shared" si="110"/>
        <v>0</v>
      </c>
    </row>
    <row r="1897" spans="1:6" ht="12.75" customHeight="1" x14ac:dyDescent="0.2">
      <c r="A1897" s="6"/>
      <c r="B1897" s="421"/>
      <c r="C1897" s="114"/>
      <c r="D1897" s="423"/>
      <c r="E1897" s="85"/>
      <c r="F1897" s="59">
        <f t="shared" si="110"/>
        <v>0</v>
      </c>
    </row>
    <row r="1898" spans="1:6" ht="12.75" customHeight="1" x14ac:dyDescent="0.2">
      <c r="A1898" s="6"/>
      <c r="B1898" s="421"/>
      <c r="C1898" s="114"/>
      <c r="D1898" s="423"/>
      <c r="E1898" s="85"/>
      <c r="F1898" s="59">
        <f t="shared" si="110"/>
        <v>0</v>
      </c>
    </row>
    <row r="1899" spans="1:6" ht="12.75" customHeight="1" x14ac:dyDescent="0.2">
      <c r="A1899" s="3"/>
      <c r="C1899" s="114"/>
      <c r="E1899" s="85"/>
      <c r="F1899" s="59">
        <f t="shared" si="110"/>
        <v>0</v>
      </c>
    </row>
    <row r="1900" spans="1:6" ht="12.75" customHeight="1" x14ac:dyDescent="0.2">
      <c r="A1900" s="3"/>
      <c r="C1900" s="114"/>
      <c r="E1900" s="85"/>
      <c r="F1900" s="59">
        <f t="shared" si="110"/>
        <v>0</v>
      </c>
    </row>
    <row r="1901" spans="1:6" ht="12.75" customHeight="1" x14ac:dyDescent="0.2">
      <c r="A1901" s="3"/>
      <c r="B1901" s="86" t="s">
        <v>258</v>
      </c>
      <c r="C1901" s="87"/>
      <c r="D1901" s="88"/>
      <c r="E1901" s="89"/>
      <c r="F1901" s="90">
        <f>SUM(F1885:F1900)</f>
        <v>0</v>
      </c>
    </row>
    <row r="1902" spans="1:6" ht="12.75" customHeight="1" x14ac:dyDescent="0.2">
      <c r="A1902" s="3"/>
      <c r="B1902" s="91" t="s">
        <v>70</v>
      </c>
      <c r="C1902" s="15">
        <f>$D$8</f>
        <v>0</v>
      </c>
      <c r="D1902" s="92"/>
      <c r="E1902" s="93"/>
      <c r="F1902" s="94">
        <f>ROUND(F1901*C1902,2)</f>
        <v>0</v>
      </c>
    </row>
    <row r="1903" spans="1:6" ht="12.75" customHeight="1" x14ac:dyDescent="0.2">
      <c r="A1903" s="95"/>
      <c r="B1903" s="424" t="s">
        <v>259</v>
      </c>
      <c r="C1903" s="425"/>
      <c r="D1903" s="425"/>
      <c r="E1903" s="426"/>
      <c r="F1903" s="96">
        <f>F1901+F1902</f>
        <v>0</v>
      </c>
    </row>
    <row r="1904" spans="1:6" ht="12.75" customHeight="1" x14ac:dyDescent="0.2">
      <c r="A1904" s="1" t="s">
        <v>5</v>
      </c>
      <c r="B1904" s="418" t="s">
        <v>267</v>
      </c>
      <c r="C1904" s="419" t="s">
        <v>263</v>
      </c>
      <c r="D1904" s="419" t="s">
        <v>264</v>
      </c>
      <c r="E1904" s="420" t="s">
        <v>265</v>
      </c>
      <c r="F1904" s="57" t="s">
        <v>266</v>
      </c>
    </row>
    <row r="1905" spans="1:6" ht="12.75" customHeight="1" x14ac:dyDescent="0.2">
      <c r="A1905" s="3"/>
      <c r="C1905" s="114"/>
      <c r="E1905" s="85"/>
      <c r="F1905" s="59">
        <f t="shared" ref="F1905:F1914" si="111">ROUND(C1905*E1905,2)</f>
        <v>0</v>
      </c>
    </row>
    <row r="1906" spans="1:6" ht="12.75" customHeight="1" x14ac:dyDescent="0.2">
      <c r="A1906" s="3"/>
      <c r="C1906" s="114"/>
      <c r="E1906" s="85"/>
      <c r="F1906" s="59">
        <f t="shared" si="111"/>
        <v>0</v>
      </c>
    </row>
    <row r="1907" spans="1:6" ht="12.75" customHeight="1" x14ac:dyDescent="0.2">
      <c r="A1907" s="3"/>
      <c r="C1907" s="114"/>
      <c r="E1907" s="85"/>
      <c r="F1907" s="59">
        <f t="shared" si="111"/>
        <v>0</v>
      </c>
    </row>
    <row r="1908" spans="1:6" ht="12.75" customHeight="1" x14ac:dyDescent="0.2">
      <c r="A1908" s="3"/>
      <c r="C1908" s="114"/>
      <c r="E1908" s="85"/>
      <c r="F1908" s="59">
        <f t="shared" si="111"/>
        <v>0</v>
      </c>
    </row>
    <row r="1909" spans="1:6" ht="12.75" customHeight="1" x14ac:dyDescent="0.2">
      <c r="A1909" s="3"/>
      <c r="C1909" s="114"/>
      <c r="E1909" s="85"/>
      <c r="F1909" s="59">
        <f t="shared" si="111"/>
        <v>0</v>
      </c>
    </row>
    <row r="1910" spans="1:6" ht="12.75" customHeight="1" x14ac:dyDescent="0.2">
      <c r="A1910" s="3"/>
      <c r="C1910" s="114"/>
      <c r="E1910" s="85"/>
      <c r="F1910" s="59">
        <f t="shared" si="111"/>
        <v>0</v>
      </c>
    </row>
    <row r="1911" spans="1:6" ht="12.75" customHeight="1" x14ac:dyDescent="0.2">
      <c r="A1911" s="3"/>
      <c r="C1911" s="114"/>
      <c r="E1911" s="85"/>
      <c r="F1911" s="59">
        <f t="shared" si="111"/>
        <v>0</v>
      </c>
    </row>
    <row r="1912" spans="1:6" ht="12.75" customHeight="1" x14ac:dyDescent="0.2">
      <c r="A1912" s="3"/>
      <c r="C1912" s="114"/>
      <c r="E1912" s="85"/>
      <c r="F1912" s="59">
        <f t="shared" si="111"/>
        <v>0</v>
      </c>
    </row>
    <row r="1913" spans="1:6" ht="12.75" customHeight="1" x14ac:dyDescent="0.2">
      <c r="A1913" s="3"/>
      <c r="C1913" s="114"/>
      <c r="E1913" s="85"/>
      <c r="F1913" s="59">
        <f t="shared" si="111"/>
        <v>0</v>
      </c>
    </row>
    <row r="1914" spans="1:6" ht="12.75" customHeight="1" x14ac:dyDescent="0.2">
      <c r="A1914" s="3"/>
      <c r="C1914" s="114"/>
      <c r="E1914" s="85"/>
      <c r="F1914" s="59">
        <f t="shared" si="111"/>
        <v>0</v>
      </c>
    </row>
    <row r="1915" spans="1:6" ht="12.75" customHeight="1" x14ac:dyDescent="0.2">
      <c r="A1915" s="3"/>
      <c r="B1915" s="86" t="s">
        <v>258</v>
      </c>
      <c r="C1915" s="87"/>
      <c r="D1915" s="88"/>
      <c r="E1915" s="89"/>
      <c r="F1915" s="90">
        <f>SUM(F1905:F1914)</f>
        <v>0</v>
      </c>
    </row>
    <row r="1916" spans="1:6" ht="12.75" customHeight="1" x14ac:dyDescent="0.2">
      <c r="A1916" s="3"/>
      <c r="B1916" s="91" t="s">
        <v>70</v>
      </c>
      <c r="C1916" s="15">
        <f>$D$8</f>
        <v>0</v>
      </c>
      <c r="D1916" s="92"/>
      <c r="E1916" s="93"/>
      <c r="F1916" s="94">
        <f>ROUND(C1916*F1915,2)</f>
        <v>0</v>
      </c>
    </row>
    <row r="1917" spans="1:6" ht="12.75" customHeight="1" x14ac:dyDescent="0.2">
      <c r="A1917" s="95"/>
      <c r="B1917" s="424" t="s">
        <v>260</v>
      </c>
      <c r="C1917" s="425"/>
      <c r="D1917" s="425"/>
      <c r="E1917" s="426"/>
      <c r="F1917" s="96">
        <f>F1915+F1916</f>
        <v>0</v>
      </c>
    </row>
    <row r="1918" spans="1:6" ht="12.75" customHeight="1" x14ac:dyDescent="0.2">
      <c r="A1918" s="97" t="s">
        <v>54</v>
      </c>
      <c r="B1918" s="427" t="s">
        <v>268</v>
      </c>
      <c r="C1918" s="428" t="s">
        <v>263</v>
      </c>
      <c r="D1918" s="429" t="s">
        <v>264</v>
      </c>
      <c r="E1918" s="430" t="s">
        <v>265</v>
      </c>
      <c r="F1918" s="57" t="s">
        <v>266</v>
      </c>
    </row>
    <row r="1919" spans="1:6" ht="12.75" customHeight="1" x14ac:dyDescent="0.2">
      <c r="A1919" s="3" t="str">
        <f>'A VII.'!$A$196</f>
        <v>3.16</v>
      </c>
      <c r="B1919" s="74" t="s">
        <v>189</v>
      </c>
      <c r="C1919" s="114">
        <f>0.475+0.100056</f>
        <v>0.57505600000000001</v>
      </c>
      <c r="D1919" s="54" t="str">
        <f>VLOOKUP(A1919,'A VII.'!$A$10:$D$199,3,FALSE)</f>
        <v>H</v>
      </c>
      <c r="E1919" s="85">
        <f>'A VII.'!$D$196</f>
        <v>0</v>
      </c>
      <c r="F1919" s="59">
        <f t="shared" ref="F1919:F1925" si="112">ROUND(C1919*E1919,2)</f>
        <v>0</v>
      </c>
    </row>
    <row r="1920" spans="1:6" ht="12.75" customHeight="1" x14ac:dyDescent="0.2">
      <c r="A1920" s="3" t="str">
        <f>'A VII.'!$A$192</f>
        <v>3.12</v>
      </c>
      <c r="B1920" s="74" t="s">
        <v>185</v>
      </c>
      <c r="C1920" s="114">
        <v>0.95</v>
      </c>
      <c r="D1920" s="54" t="str">
        <f>VLOOKUP(A1920,'A VII.'!$A$10:$D$199,3,FALSE)</f>
        <v>H</v>
      </c>
      <c r="E1920" s="85">
        <f>'A VII.'!$D$192</f>
        <v>0</v>
      </c>
      <c r="F1920" s="59">
        <f t="shared" si="112"/>
        <v>0</v>
      </c>
    </row>
    <row r="1921" spans="1:6" ht="12.75" customHeight="1" x14ac:dyDescent="0.2">
      <c r="A1921" s="3"/>
      <c r="C1921" s="114"/>
      <c r="E1921" s="85"/>
      <c r="F1921" s="59">
        <f t="shared" si="112"/>
        <v>0</v>
      </c>
    </row>
    <row r="1922" spans="1:6" ht="12.75" customHeight="1" x14ac:dyDescent="0.2">
      <c r="A1922" s="3"/>
      <c r="C1922" s="114"/>
      <c r="E1922" s="85"/>
      <c r="F1922" s="59">
        <f t="shared" si="112"/>
        <v>0</v>
      </c>
    </row>
    <row r="1923" spans="1:6" ht="12.75" customHeight="1" x14ac:dyDescent="0.2">
      <c r="A1923" s="3"/>
      <c r="C1923" s="114"/>
      <c r="E1923" s="85"/>
      <c r="F1923" s="59">
        <f t="shared" si="112"/>
        <v>0</v>
      </c>
    </row>
    <row r="1924" spans="1:6" ht="12.75" customHeight="1" x14ac:dyDescent="0.2">
      <c r="A1924" s="3"/>
      <c r="C1924" s="114"/>
      <c r="E1924" s="85"/>
      <c r="F1924" s="59">
        <f t="shared" si="112"/>
        <v>0</v>
      </c>
    </row>
    <row r="1925" spans="1:6" ht="12.75" customHeight="1" x14ac:dyDescent="0.2">
      <c r="A1925" s="3"/>
      <c r="C1925" s="114"/>
      <c r="E1925" s="85"/>
      <c r="F1925" s="59">
        <f t="shared" si="112"/>
        <v>0</v>
      </c>
    </row>
    <row r="1926" spans="1:6" ht="12.75" customHeight="1" x14ac:dyDescent="0.2">
      <c r="A1926" s="3"/>
      <c r="B1926" s="86" t="s">
        <v>258</v>
      </c>
      <c r="C1926" s="87"/>
      <c r="D1926" s="88"/>
      <c r="E1926" s="89"/>
      <c r="F1926" s="90">
        <f>SUM(F1919:F1925)</f>
        <v>0</v>
      </c>
    </row>
    <row r="1927" spans="1:6" ht="12.75" customHeight="1" x14ac:dyDescent="0.2">
      <c r="A1927" s="3"/>
      <c r="B1927" s="91" t="s">
        <v>261</v>
      </c>
      <c r="C1927" s="15">
        <f>'A IX.'!$C$45</f>
        <v>0</v>
      </c>
      <c r="D1927" s="92"/>
      <c r="E1927" s="93"/>
      <c r="F1927" s="94">
        <f>ROUND(F1926*C1927,2)</f>
        <v>0</v>
      </c>
    </row>
    <row r="1928" spans="1:6" ht="12.75" customHeight="1" x14ac:dyDescent="0.2">
      <c r="A1928" s="3"/>
      <c r="B1928" s="91" t="s">
        <v>70</v>
      </c>
      <c r="C1928" s="15">
        <f>$D$8</f>
        <v>0</v>
      </c>
      <c r="D1928" s="92"/>
      <c r="E1928" s="93"/>
      <c r="F1928" s="94">
        <f>ROUND(SUM(F1926:F1927)*C1928,2)</f>
        <v>0</v>
      </c>
    </row>
    <row r="1929" spans="1:6" ht="12.75" customHeight="1" thickBot="1" x14ac:dyDescent="0.25">
      <c r="A1929" s="98"/>
      <c r="B1929" s="99" t="s">
        <v>262</v>
      </c>
      <c r="C1929" s="100"/>
      <c r="D1929" s="100"/>
      <c r="E1929" s="101"/>
      <c r="F1929" s="102">
        <f>SUM(F1926:F1928)</f>
        <v>0</v>
      </c>
    </row>
    <row r="1930" spans="1:6" ht="12.75" customHeight="1" thickBot="1" x14ac:dyDescent="0.25">
      <c r="A1930" s="81"/>
      <c r="B1930" s="82"/>
      <c r="C1930" s="83"/>
      <c r="D1930" s="83"/>
      <c r="E1930" s="84"/>
      <c r="F1930" s="103"/>
    </row>
    <row r="1931" spans="1:6" ht="30" customHeight="1" x14ac:dyDescent="0.2">
      <c r="A1931" s="5" t="str">
        <f>'A IV.A'!A68</f>
        <v>3.3.7</v>
      </c>
      <c r="B1931" s="416" t="str">
        <f>'A IV.A'!B68</f>
        <v>ALVENARIA COM ELEMENTO VAZADO DE CONCRETO (COBOGÓ), ESPESSURA PAREDE 9CM</v>
      </c>
      <c r="C1931" s="526" t="s">
        <v>269</v>
      </c>
      <c r="D1931" s="527"/>
      <c r="E1931" s="417" t="str">
        <f>'A IV.A'!$C$68</f>
        <v>M2</v>
      </c>
      <c r="F1931" s="58">
        <f>ROUND(F1951+F1965+F1977,2)</f>
        <v>0</v>
      </c>
    </row>
    <row r="1932" spans="1:6" ht="12.75" customHeight="1" x14ac:dyDescent="0.2">
      <c r="A1932" s="1" t="s">
        <v>17</v>
      </c>
      <c r="B1932" s="418" t="s">
        <v>162</v>
      </c>
      <c r="C1932" s="419" t="s">
        <v>263</v>
      </c>
      <c r="D1932" s="419" t="s">
        <v>264</v>
      </c>
      <c r="E1932" s="420" t="s">
        <v>265</v>
      </c>
      <c r="F1932" s="57" t="s">
        <v>266</v>
      </c>
    </row>
    <row r="1933" spans="1:6" ht="12.75" customHeight="1" x14ac:dyDescent="0.2">
      <c r="A1933" s="6" t="str">
        <f>'A VII.'!$A$19</f>
        <v>1.10</v>
      </c>
      <c r="B1933" s="74" t="str">
        <f>VLOOKUP(A1933,'A VII.'!$A$10:$D$199,2,FALSE)</f>
        <v>AREIA MÉDIA LAVADA</v>
      </c>
      <c r="C1933" s="114">
        <v>5.9040000000000004E-3</v>
      </c>
      <c r="D1933" s="7" t="str">
        <f>VLOOKUP(A1933,'A VII.'!$A$10:$D$199,3,FALSE)</f>
        <v>M3</v>
      </c>
      <c r="E1933" s="85">
        <f>'A VII.'!$D$19</f>
        <v>0</v>
      </c>
      <c r="F1933" s="59">
        <f>ROUND(C1933*E1933,2)</f>
        <v>0</v>
      </c>
    </row>
    <row r="1934" spans="1:6" ht="12.75" customHeight="1" x14ac:dyDescent="0.2">
      <c r="A1934" s="6" t="str">
        <f>'A VII.'!$A$38</f>
        <v>1.29</v>
      </c>
      <c r="B1934" s="74" t="str">
        <f>VLOOKUP(A1934,'A VII.'!$A$10:$D$199,2,FALSE)</f>
        <v>CIMENTO PORTLAND CP II-E-32</v>
      </c>
      <c r="C1934" s="114">
        <v>1.7041919999999999</v>
      </c>
      <c r="D1934" s="7" t="str">
        <f>VLOOKUP(A1934,'A VII.'!$A$10:$D$199,3,FALSE)</f>
        <v>KG</v>
      </c>
      <c r="E1934" s="85">
        <f>'A VII.'!$D$38</f>
        <v>0</v>
      </c>
      <c r="F1934" s="59">
        <f t="shared" ref="F1934:F1948" si="113">ROUND(C1934*E1934,2)</f>
        <v>0</v>
      </c>
    </row>
    <row r="1935" spans="1:6" ht="12.75" customHeight="1" x14ac:dyDescent="0.2">
      <c r="A1935" s="6" t="str">
        <f>'A VII.'!$A$45</f>
        <v>1.36</v>
      </c>
      <c r="B1935" s="74" t="str">
        <f>VLOOKUP(A1935,'A VII.'!$A$10:$D$199,2,FALSE)</f>
        <v>ELEMENTO VAZADO DE CONCRETO (COBOGÓ) - 33 X 33 X 9 CM - 16 FUROS</v>
      </c>
      <c r="C1935" s="114">
        <v>9</v>
      </c>
      <c r="D1935" s="7" t="str">
        <f>VLOOKUP(A1935,'A VII.'!$A$10:$D$199,3,FALSE)</f>
        <v>UN</v>
      </c>
      <c r="E1935" s="85">
        <f>'A VII.'!$D$45</f>
        <v>0</v>
      </c>
      <c r="F1935" s="59">
        <f t="shared" si="113"/>
        <v>0</v>
      </c>
    </row>
    <row r="1936" spans="1:6" ht="12.75" customHeight="1" x14ac:dyDescent="0.2">
      <c r="A1936" s="6"/>
      <c r="B1936" s="421"/>
      <c r="C1936" s="114"/>
      <c r="D1936" s="7"/>
      <c r="E1936" s="85"/>
      <c r="F1936" s="59">
        <f t="shared" si="113"/>
        <v>0</v>
      </c>
    </row>
    <row r="1937" spans="1:6" ht="12.75" customHeight="1" x14ac:dyDescent="0.2">
      <c r="A1937" s="6"/>
      <c r="B1937" s="421"/>
      <c r="C1937" s="114"/>
      <c r="D1937" s="7"/>
      <c r="E1937" s="85"/>
      <c r="F1937" s="59">
        <f t="shared" si="113"/>
        <v>0</v>
      </c>
    </row>
    <row r="1938" spans="1:6" ht="12.75" customHeight="1" x14ac:dyDescent="0.2">
      <c r="A1938" s="6"/>
      <c r="B1938" s="421"/>
      <c r="C1938" s="114"/>
      <c r="D1938" s="7"/>
      <c r="E1938" s="85"/>
      <c r="F1938" s="59">
        <f t="shared" si="113"/>
        <v>0</v>
      </c>
    </row>
    <row r="1939" spans="1:6" ht="12.75" customHeight="1" x14ac:dyDescent="0.2">
      <c r="A1939" s="6"/>
      <c r="B1939" s="421"/>
      <c r="C1939" s="114"/>
      <c r="D1939" s="7"/>
      <c r="E1939" s="85"/>
      <c r="F1939" s="59">
        <f t="shared" si="113"/>
        <v>0</v>
      </c>
    </row>
    <row r="1940" spans="1:6" ht="12.75" customHeight="1" x14ac:dyDescent="0.2">
      <c r="A1940" s="6"/>
      <c r="B1940" s="421"/>
      <c r="C1940" s="114"/>
      <c r="D1940" s="7"/>
      <c r="E1940" s="85"/>
      <c r="F1940" s="59">
        <f t="shared" si="113"/>
        <v>0</v>
      </c>
    </row>
    <row r="1941" spans="1:6" ht="12.75" customHeight="1" x14ac:dyDescent="0.2">
      <c r="A1941" s="6"/>
      <c r="B1941" s="421"/>
      <c r="C1941" s="114"/>
      <c r="D1941" s="7"/>
      <c r="E1941" s="85"/>
      <c r="F1941" s="59">
        <f t="shared" si="113"/>
        <v>0</v>
      </c>
    </row>
    <row r="1942" spans="1:6" ht="12.75" customHeight="1" x14ac:dyDescent="0.2">
      <c r="A1942" s="6"/>
      <c r="B1942" s="421"/>
      <c r="C1942" s="114"/>
      <c r="D1942" s="7"/>
      <c r="E1942" s="85"/>
      <c r="F1942" s="59">
        <f t="shared" si="113"/>
        <v>0</v>
      </c>
    </row>
    <row r="1943" spans="1:6" ht="12.75" customHeight="1" x14ac:dyDescent="0.2">
      <c r="A1943" s="6"/>
      <c r="B1943" s="421"/>
      <c r="C1943" s="114"/>
      <c r="D1943" s="7"/>
      <c r="E1943" s="85"/>
      <c r="F1943" s="59">
        <f t="shared" si="113"/>
        <v>0</v>
      </c>
    </row>
    <row r="1944" spans="1:6" ht="12.75" customHeight="1" x14ac:dyDescent="0.2">
      <c r="A1944" s="6"/>
      <c r="B1944" s="421"/>
      <c r="C1944" s="114"/>
      <c r="D1944" s="423"/>
      <c r="E1944" s="85"/>
      <c r="F1944" s="59">
        <f t="shared" si="113"/>
        <v>0</v>
      </c>
    </row>
    <row r="1945" spans="1:6" ht="12.75" customHeight="1" x14ac:dyDescent="0.2">
      <c r="A1945" s="6"/>
      <c r="B1945" s="421"/>
      <c r="C1945" s="114"/>
      <c r="D1945" s="423"/>
      <c r="E1945" s="85"/>
      <c r="F1945" s="59">
        <f t="shared" si="113"/>
        <v>0</v>
      </c>
    </row>
    <row r="1946" spans="1:6" ht="12.75" customHeight="1" x14ac:dyDescent="0.2">
      <c r="A1946" s="6"/>
      <c r="B1946" s="421"/>
      <c r="C1946" s="114"/>
      <c r="D1946" s="423"/>
      <c r="E1946" s="85"/>
      <c r="F1946" s="59">
        <f t="shared" si="113"/>
        <v>0</v>
      </c>
    </row>
    <row r="1947" spans="1:6" ht="12.75" customHeight="1" x14ac:dyDescent="0.2">
      <c r="A1947" s="3"/>
      <c r="C1947" s="114"/>
      <c r="E1947" s="85"/>
      <c r="F1947" s="59">
        <f t="shared" si="113"/>
        <v>0</v>
      </c>
    </row>
    <row r="1948" spans="1:6" ht="12.75" customHeight="1" x14ac:dyDescent="0.2">
      <c r="A1948" s="3"/>
      <c r="C1948" s="114"/>
      <c r="E1948" s="85"/>
      <c r="F1948" s="59">
        <f t="shared" si="113"/>
        <v>0</v>
      </c>
    </row>
    <row r="1949" spans="1:6" ht="12.75" customHeight="1" x14ac:dyDescent="0.2">
      <c r="A1949" s="3"/>
      <c r="B1949" s="86" t="s">
        <v>258</v>
      </c>
      <c r="C1949" s="87"/>
      <c r="D1949" s="88"/>
      <c r="E1949" s="89"/>
      <c r="F1949" s="90">
        <f>SUM(F1933:F1948)</f>
        <v>0</v>
      </c>
    </row>
    <row r="1950" spans="1:6" ht="12.75" customHeight="1" x14ac:dyDescent="0.2">
      <c r="A1950" s="3"/>
      <c r="B1950" s="91" t="s">
        <v>70</v>
      </c>
      <c r="C1950" s="15">
        <f>$D$8</f>
        <v>0</v>
      </c>
      <c r="D1950" s="92"/>
      <c r="E1950" s="93"/>
      <c r="F1950" s="94">
        <f>ROUND(F1949*C1950,2)</f>
        <v>0</v>
      </c>
    </row>
    <row r="1951" spans="1:6" ht="12.75" customHeight="1" x14ac:dyDescent="0.2">
      <c r="A1951" s="95"/>
      <c r="B1951" s="424" t="s">
        <v>259</v>
      </c>
      <c r="C1951" s="425"/>
      <c r="D1951" s="425"/>
      <c r="E1951" s="426"/>
      <c r="F1951" s="96">
        <f>F1949+F1950</f>
        <v>0</v>
      </c>
    </row>
    <row r="1952" spans="1:6" ht="12.75" customHeight="1" x14ac:dyDescent="0.2">
      <c r="A1952" s="1" t="s">
        <v>5</v>
      </c>
      <c r="B1952" s="418" t="s">
        <v>267</v>
      </c>
      <c r="C1952" s="419" t="s">
        <v>263</v>
      </c>
      <c r="D1952" s="419" t="s">
        <v>264</v>
      </c>
      <c r="E1952" s="420" t="s">
        <v>265</v>
      </c>
      <c r="F1952" s="57" t="s">
        <v>266</v>
      </c>
    </row>
    <row r="1953" spans="1:6" ht="12.75" customHeight="1" x14ac:dyDescent="0.2">
      <c r="A1953" s="3"/>
      <c r="B1953" s="71"/>
      <c r="C1953" s="114"/>
      <c r="E1953" s="85"/>
      <c r="F1953" s="59">
        <f t="shared" ref="F1953:F1962" si="114">ROUND(C1953*E1953,2)</f>
        <v>0</v>
      </c>
    </row>
    <row r="1954" spans="1:6" ht="12.75" customHeight="1" x14ac:dyDescent="0.2">
      <c r="A1954" s="3"/>
      <c r="C1954" s="114"/>
      <c r="E1954" s="85"/>
      <c r="F1954" s="59">
        <f t="shared" si="114"/>
        <v>0</v>
      </c>
    </row>
    <row r="1955" spans="1:6" ht="12.75" customHeight="1" x14ac:dyDescent="0.2">
      <c r="A1955" s="3"/>
      <c r="C1955" s="114"/>
      <c r="E1955" s="85"/>
      <c r="F1955" s="59">
        <f t="shared" si="114"/>
        <v>0</v>
      </c>
    </row>
    <row r="1956" spans="1:6" ht="12.75" customHeight="1" x14ac:dyDescent="0.2">
      <c r="A1956" s="3"/>
      <c r="C1956" s="114"/>
      <c r="E1956" s="85"/>
      <c r="F1956" s="59">
        <f t="shared" si="114"/>
        <v>0</v>
      </c>
    </row>
    <row r="1957" spans="1:6" ht="12.75" customHeight="1" x14ac:dyDescent="0.2">
      <c r="A1957" s="3"/>
      <c r="C1957" s="114"/>
      <c r="E1957" s="85"/>
      <c r="F1957" s="59">
        <f t="shared" si="114"/>
        <v>0</v>
      </c>
    </row>
    <row r="1958" spans="1:6" ht="12.75" customHeight="1" x14ac:dyDescent="0.2">
      <c r="A1958" s="3"/>
      <c r="C1958" s="114"/>
      <c r="E1958" s="85"/>
      <c r="F1958" s="59">
        <f t="shared" si="114"/>
        <v>0</v>
      </c>
    </row>
    <row r="1959" spans="1:6" ht="12.75" customHeight="1" x14ac:dyDescent="0.2">
      <c r="A1959" s="3"/>
      <c r="C1959" s="114"/>
      <c r="E1959" s="85"/>
      <c r="F1959" s="59">
        <f t="shared" si="114"/>
        <v>0</v>
      </c>
    </row>
    <row r="1960" spans="1:6" ht="12.75" customHeight="1" x14ac:dyDescent="0.2">
      <c r="A1960" s="3"/>
      <c r="C1960" s="114"/>
      <c r="E1960" s="85"/>
      <c r="F1960" s="59">
        <f t="shared" si="114"/>
        <v>0</v>
      </c>
    </row>
    <row r="1961" spans="1:6" ht="12.75" customHeight="1" x14ac:dyDescent="0.2">
      <c r="A1961" s="3"/>
      <c r="C1961" s="114"/>
      <c r="E1961" s="85"/>
      <c r="F1961" s="59">
        <f t="shared" si="114"/>
        <v>0</v>
      </c>
    </row>
    <row r="1962" spans="1:6" ht="12.75" customHeight="1" x14ac:dyDescent="0.2">
      <c r="A1962" s="3"/>
      <c r="C1962" s="114"/>
      <c r="E1962" s="85"/>
      <c r="F1962" s="59">
        <f t="shared" si="114"/>
        <v>0</v>
      </c>
    </row>
    <row r="1963" spans="1:6" ht="12.75" customHeight="1" x14ac:dyDescent="0.2">
      <c r="A1963" s="3"/>
      <c r="B1963" s="86" t="s">
        <v>258</v>
      </c>
      <c r="C1963" s="87"/>
      <c r="D1963" s="88"/>
      <c r="E1963" s="89"/>
      <c r="F1963" s="90">
        <f>SUM(F1953:F1962)</f>
        <v>0</v>
      </c>
    </row>
    <row r="1964" spans="1:6" ht="12.75" customHeight="1" x14ac:dyDescent="0.2">
      <c r="A1964" s="3"/>
      <c r="B1964" s="91" t="s">
        <v>70</v>
      </c>
      <c r="C1964" s="15">
        <f>$D$8</f>
        <v>0</v>
      </c>
      <c r="D1964" s="92"/>
      <c r="E1964" s="93"/>
      <c r="F1964" s="94">
        <f>ROUND(C1964*F1963,2)</f>
        <v>0</v>
      </c>
    </row>
    <row r="1965" spans="1:6" ht="12.75" customHeight="1" x14ac:dyDescent="0.2">
      <c r="A1965" s="95"/>
      <c r="B1965" s="424" t="s">
        <v>260</v>
      </c>
      <c r="C1965" s="425"/>
      <c r="D1965" s="425"/>
      <c r="E1965" s="426"/>
      <c r="F1965" s="96">
        <f>F1963+F1964</f>
        <v>0</v>
      </c>
    </row>
    <row r="1966" spans="1:6" ht="12.75" customHeight="1" x14ac:dyDescent="0.2">
      <c r="A1966" s="97" t="s">
        <v>54</v>
      </c>
      <c r="B1966" s="427" t="s">
        <v>268</v>
      </c>
      <c r="C1966" s="428" t="s">
        <v>263</v>
      </c>
      <c r="D1966" s="429" t="s">
        <v>264</v>
      </c>
      <c r="E1966" s="430" t="s">
        <v>265</v>
      </c>
      <c r="F1966" s="57" t="s">
        <v>266</v>
      </c>
    </row>
    <row r="1967" spans="1:6" ht="12.75" customHeight="1" x14ac:dyDescent="0.2">
      <c r="A1967" s="3" t="str">
        <f>'A VII.'!$A$196</f>
        <v>3.16</v>
      </c>
      <c r="B1967" s="74" t="s">
        <v>189</v>
      </c>
      <c r="C1967" s="114">
        <f>0.85+0.041232</f>
        <v>0.89123200000000002</v>
      </c>
      <c r="D1967" s="54" t="str">
        <f>VLOOKUP(A1967,'A VII.'!$A$10:$D$199,3,FALSE)</f>
        <v>H</v>
      </c>
      <c r="E1967" s="85">
        <f>'A VII.'!$D$196</f>
        <v>0</v>
      </c>
      <c r="F1967" s="59">
        <f t="shared" ref="F1967:F1973" si="115">ROUND(C1967*E1967,2)</f>
        <v>0</v>
      </c>
    </row>
    <row r="1968" spans="1:6" ht="12.75" customHeight="1" x14ac:dyDescent="0.2">
      <c r="A1968" s="3" t="str">
        <f>'A VII.'!$A$192</f>
        <v>3.12</v>
      </c>
      <c r="B1968" s="74" t="s">
        <v>185</v>
      </c>
      <c r="C1968" s="114">
        <v>0.85</v>
      </c>
      <c r="D1968" s="54" t="str">
        <f>VLOOKUP(A1968,'A VII.'!$A$10:$D$199,3,FALSE)</f>
        <v>H</v>
      </c>
      <c r="E1968" s="85">
        <f>'A VII.'!$D$192</f>
        <v>0</v>
      </c>
      <c r="F1968" s="59">
        <f t="shared" si="115"/>
        <v>0</v>
      </c>
    </row>
    <row r="1969" spans="1:6" ht="12.75" customHeight="1" x14ac:dyDescent="0.2">
      <c r="A1969" s="3"/>
      <c r="C1969" s="114"/>
      <c r="E1969" s="85"/>
      <c r="F1969" s="59">
        <f t="shared" si="115"/>
        <v>0</v>
      </c>
    </row>
    <row r="1970" spans="1:6" ht="12.75" customHeight="1" x14ac:dyDescent="0.2">
      <c r="A1970" s="3"/>
      <c r="C1970" s="114"/>
      <c r="E1970" s="85"/>
      <c r="F1970" s="59">
        <f t="shared" si="115"/>
        <v>0</v>
      </c>
    </row>
    <row r="1971" spans="1:6" ht="12.75" customHeight="1" x14ac:dyDescent="0.2">
      <c r="A1971" s="3"/>
      <c r="C1971" s="114"/>
      <c r="E1971" s="85"/>
      <c r="F1971" s="59">
        <f t="shared" si="115"/>
        <v>0</v>
      </c>
    </row>
    <row r="1972" spans="1:6" ht="12.75" customHeight="1" x14ac:dyDescent="0.2">
      <c r="A1972" s="3"/>
      <c r="C1972" s="114"/>
      <c r="E1972" s="85"/>
      <c r="F1972" s="59">
        <f t="shared" si="115"/>
        <v>0</v>
      </c>
    </row>
    <row r="1973" spans="1:6" ht="12.75" customHeight="1" x14ac:dyDescent="0.2">
      <c r="A1973" s="3"/>
      <c r="C1973" s="114"/>
      <c r="E1973" s="85"/>
      <c r="F1973" s="59">
        <f t="shared" si="115"/>
        <v>0</v>
      </c>
    </row>
    <row r="1974" spans="1:6" ht="12.75" customHeight="1" x14ac:dyDescent="0.2">
      <c r="A1974" s="3"/>
      <c r="B1974" s="86" t="s">
        <v>258</v>
      </c>
      <c r="C1974" s="87"/>
      <c r="D1974" s="88"/>
      <c r="E1974" s="89"/>
      <c r="F1974" s="90">
        <f>SUM(F1967:F1973)</f>
        <v>0</v>
      </c>
    </row>
    <row r="1975" spans="1:6" ht="12.75" customHeight="1" x14ac:dyDescent="0.2">
      <c r="A1975" s="3"/>
      <c r="B1975" s="91" t="s">
        <v>261</v>
      </c>
      <c r="C1975" s="15">
        <f>'A IX.'!$C$45</f>
        <v>0</v>
      </c>
      <c r="D1975" s="92"/>
      <c r="E1975" s="93"/>
      <c r="F1975" s="94">
        <f>ROUND(F1974*C1975,2)</f>
        <v>0</v>
      </c>
    </row>
    <row r="1976" spans="1:6" ht="12.75" customHeight="1" x14ac:dyDescent="0.2">
      <c r="A1976" s="3"/>
      <c r="B1976" s="91" t="s">
        <v>70</v>
      </c>
      <c r="C1976" s="15">
        <f>$D$8</f>
        <v>0</v>
      </c>
      <c r="D1976" s="92"/>
      <c r="E1976" s="93"/>
      <c r="F1976" s="94">
        <f>ROUND(SUM(F1974:F1975)*C1976,2)</f>
        <v>0</v>
      </c>
    </row>
    <row r="1977" spans="1:6" ht="12.75" customHeight="1" thickBot="1" x14ac:dyDescent="0.25">
      <c r="A1977" s="98"/>
      <c r="B1977" s="99" t="s">
        <v>262</v>
      </c>
      <c r="C1977" s="100"/>
      <c r="D1977" s="100"/>
      <c r="E1977" s="101"/>
      <c r="F1977" s="102">
        <f>SUM(F1974:F1976)</f>
        <v>0</v>
      </c>
    </row>
    <row r="1978" spans="1:6" ht="12.75" customHeight="1" thickBot="1" x14ac:dyDescent="0.25">
      <c r="A1978" s="81"/>
      <c r="B1978" s="82"/>
      <c r="C1978" s="83"/>
      <c r="D1978" s="83"/>
      <c r="E1978" s="84"/>
      <c r="F1978" s="103"/>
    </row>
    <row r="1979" spans="1:6" ht="30" customHeight="1" x14ac:dyDescent="0.2">
      <c r="A1979" s="5" t="str">
        <f>'A IV.A'!$A$69</f>
        <v>3.3.8</v>
      </c>
      <c r="B1979" s="416" t="str">
        <f>'A IV.A'!$B$69</f>
        <v>CONSTRUÇÃO DE MURO EM ALVENARIA EM BLOCO DE CONCRETO 14 X 19 X 39 CM COM 2,60M DE ALTURA, INCLUSIVE FUNDAÇÕES E GROUT - CONFORME MANUAL DO EMPREENDEDOR 2026</v>
      </c>
      <c r="C1979" s="526" t="s">
        <v>269</v>
      </c>
      <c r="D1979" s="527"/>
      <c r="E1979" s="417" t="str">
        <f>'A IV.A'!$C$69</f>
        <v>M</v>
      </c>
      <c r="F1979" s="58">
        <f>ROUND(F1999+F2013+F2025,2)</f>
        <v>0</v>
      </c>
    </row>
    <row r="1980" spans="1:6" ht="12.75" customHeight="1" x14ac:dyDescent="0.2">
      <c r="A1980" s="1" t="s">
        <v>17</v>
      </c>
      <c r="B1980" s="418" t="s">
        <v>162</v>
      </c>
      <c r="C1980" s="419" t="s">
        <v>263</v>
      </c>
      <c r="D1980" s="419" t="s">
        <v>264</v>
      </c>
      <c r="E1980" s="420" t="s">
        <v>265</v>
      </c>
      <c r="F1980" s="57" t="s">
        <v>266</v>
      </c>
    </row>
    <row r="1981" spans="1:6" ht="12.75" customHeight="1" x14ac:dyDescent="0.2">
      <c r="A1981" s="6" t="str">
        <f>'A VII.'!$A$19</f>
        <v>1.10</v>
      </c>
      <c r="B1981" s="421" t="str">
        <f>IF($A1981&gt;0, VLOOKUP($A1981,'A VII.'!$A$10:$D$203,2,),"")</f>
        <v>AREIA MÉDIA LAVADA</v>
      </c>
      <c r="C1981" s="114">
        <f>ROUND((0.0147*2.6)+(0.72*0.45)+(0.0327*2),4)</f>
        <v>0.42759999999999998</v>
      </c>
      <c r="D1981" s="7" t="str">
        <f>IF($A1981&gt;0, VLOOKUP($A1981,'A VII.'!$A$10:$D$203,3,),"")</f>
        <v>M3</v>
      </c>
      <c r="E1981" s="85">
        <f>IF($A1981&gt;0, VLOOKUP($A1981,'A VII.'!$A$10:$D$203,4,),"")</f>
        <v>0</v>
      </c>
      <c r="F1981" s="59">
        <f>ROUND(C1981*E1981,2)</f>
        <v>0</v>
      </c>
    </row>
    <row r="1982" spans="1:6" ht="12.75" customHeight="1" x14ac:dyDescent="0.2">
      <c r="A1982" s="6" t="str">
        <f>'A VII.'!$A$127</f>
        <v>1.117</v>
      </c>
      <c r="B1982" s="421" t="str">
        <f>IF($A1982&gt;0, VLOOKUP($A1982,'A VII.'!$A$10:$D$203,2,),"")</f>
        <v>BLOCO DE CONCRETO ESTRUTURAL 14 x 19 x 39 CM - CLASSE A NBR 6136</v>
      </c>
      <c r="C1982" s="114">
        <f>ROUND((13.6*2.6),4)</f>
        <v>35.36</v>
      </c>
      <c r="D1982" s="7" t="str">
        <f>IF($A1982&gt;0, VLOOKUP($A1982,'A VII.'!$A$10:$D$203,3,),"")</f>
        <v>UN</v>
      </c>
      <c r="E1982" s="85">
        <f>IF($A1982&gt;0, VLOOKUP($A1982,'A VII.'!$A$10:$D$203,4,),"")</f>
        <v>0</v>
      </c>
      <c r="F1982" s="59">
        <f t="shared" ref="F1982:F1996" si="116">ROUND(C1982*E1982,2)</f>
        <v>0</v>
      </c>
    </row>
    <row r="1983" spans="1:6" ht="12.75" customHeight="1" x14ac:dyDescent="0.2">
      <c r="A1983" s="6" t="str">
        <f>'A VII.'!$A$29</f>
        <v>1.20</v>
      </c>
      <c r="B1983" s="421" t="str">
        <f>IF($A1983&gt;0, VLOOKUP($A1983,'A VII.'!$A$10:$D$203,2,),"")</f>
        <v>CAL HIDRATADA CH III - NBR 7175</v>
      </c>
      <c r="C1983" s="114">
        <f>ROUND((2.2076*2.6),4)</f>
        <v>5.7397999999999998</v>
      </c>
      <c r="D1983" s="7" t="str">
        <f>IF($A1983&gt;0, VLOOKUP($A1983,'A VII.'!$A$10:$D$203,3,),"")</f>
        <v>KG</v>
      </c>
      <c r="E1983" s="85">
        <f>IF($A1983&gt;0, VLOOKUP($A1983,'A VII.'!$A$10:$D$203,4,),"")</f>
        <v>0</v>
      </c>
      <c r="F1983" s="59">
        <f t="shared" si="116"/>
        <v>0</v>
      </c>
    </row>
    <row r="1984" spans="1:6" ht="12.75" customHeight="1" x14ac:dyDescent="0.2">
      <c r="A1984" s="6" t="str">
        <f>'A VII.'!$A$38</f>
        <v>1.29</v>
      </c>
      <c r="B1984" s="421" t="str">
        <f>IF($A1984&gt;0, VLOOKUP($A1984,'A VII.'!$A$10:$D$203,2,),"")</f>
        <v>CIMENTO PORTLAND CP II-E-32</v>
      </c>
      <c r="C1984" s="114">
        <f>ROUND((2.4835*2.6)+(283*0.45)+(13.9818*2),4)</f>
        <v>161.77070000000001</v>
      </c>
      <c r="D1984" s="7" t="str">
        <f>IF($A1984&gt;0, VLOOKUP($A1984,'A VII.'!$A$10:$D$203,3,),"")</f>
        <v>KG</v>
      </c>
      <c r="E1984" s="85">
        <f>IF($A1984&gt;0, VLOOKUP($A1984,'A VII.'!$A$10:$D$203,4,),"")</f>
        <v>0</v>
      </c>
      <c r="F1984" s="59">
        <f t="shared" si="116"/>
        <v>0</v>
      </c>
    </row>
    <row r="1985" spans="1:6" ht="12.75" customHeight="1" x14ac:dyDescent="0.2">
      <c r="A1985" s="6" t="str">
        <f>'A VII.'!$A$104</f>
        <v>1.94</v>
      </c>
      <c r="B1985" s="421" t="str">
        <f>IF($A1985&gt;0, VLOOKUP($A1985,'A VII.'!$A$10:$D$203,2,),"")</f>
        <v>TELA DE AÇO SOLDADA GALVANIZADA/ZINCADA PARA ALVENARIA, FIO D = 1,20 A 1,70 MM, MALHA 15 X 15 MM, (C X L) 50 X 7,5CM</v>
      </c>
      <c r="C1985" s="114">
        <f>ROUND((0.42*2.6),4)</f>
        <v>1.0920000000000001</v>
      </c>
      <c r="D1985" s="7" t="str">
        <f>IF($A1985&gt;0, VLOOKUP($A1985,'A VII.'!$A$10:$D$203,3,),"")</f>
        <v>M</v>
      </c>
      <c r="E1985" s="85">
        <f>IF($A1985&gt;0, VLOOKUP($A1985,'A VII.'!$A$10:$D$203,4,),"")</f>
        <v>0</v>
      </c>
      <c r="F1985" s="59">
        <f t="shared" si="116"/>
        <v>0</v>
      </c>
    </row>
    <row r="1986" spans="1:6" ht="12.75" customHeight="1" x14ac:dyDescent="0.2">
      <c r="A1986" s="6" t="str">
        <f>'A VII.'!$A$82</f>
        <v>1.73</v>
      </c>
      <c r="B1986" s="421" t="str">
        <f>IF($A1986&gt;0, VLOOKUP($A1986,'A VII.'!$A$10:$D$203,2,),"")</f>
        <v>PEDRA BRITADA Nº 1 GRANULOMETRIA ENTRE (9,5 E 25,00 MM)</v>
      </c>
      <c r="C1986" s="114">
        <f>ROUND((1.2*0.02),4)</f>
        <v>2.4E-2</v>
      </c>
      <c r="D1986" s="7" t="str">
        <f>IF($A1986&gt;0, VLOOKUP($A1986,'A VII.'!$A$10:$D$203,3,),"")</f>
        <v>M3</v>
      </c>
      <c r="E1986" s="85">
        <f>IF($A1986&gt;0, VLOOKUP($A1986,'A VII.'!$A$10:$D$203,4,),"")</f>
        <v>0</v>
      </c>
      <c r="F1986" s="59">
        <f t="shared" si="116"/>
        <v>0</v>
      </c>
    </row>
    <row r="1987" spans="1:6" ht="12.75" customHeight="1" x14ac:dyDescent="0.2">
      <c r="A1987" s="6" t="str">
        <f>'A VII.'!$A$81</f>
        <v>1.72</v>
      </c>
      <c r="B1987" s="421" t="str">
        <f>IF($A1987&gt;0, VLOOKUP($A1987,'A VII.'!$A$10:$D$203,2,),"")</f>
        <v>PEDRISCO GRANULOMETRIA ENTRE (0,075 E 4,8 MM) NBR 7225</v>
      </c>
      <c r="C1987" s="114">
        <f>ROUND((0.28*0.45),4)</f>
        <v>0.126</v>
      </c>
      <c r="D1987" s="7" t="str">
        <f>IF($A1987&gt;0, VLOOKUP($A1987,'A VII.'!$A$10:$D$203,3,),"")</f>
        <v>M3</v>
      </c>
      <c r="E1987" s="85">
        <f>IF($A1987&gt;0, VLOOKUP($A1987,'A VII.'!$A$10:$D$203,4,),"")</f>
        <v>0</v>
      </c>
      <c r="F1987" s="59">
        <f t="shared" si="116"/>
        <v>0</v>
      </c>
    </row>
    <row r="1988" spans="1:6" ht="12.75" customHeight="1" x14ac:dyDescent="0.2">
      <c r="A1988" s="6" t="str">
        <f>'A VII.'!$A$41</f>
        <v>1.32</v>
      </c>
      <c r="B1988" s="421" t="str">
        <f>IF($A1988&gt;0, VLOOKUP($A1988,'A VII.'!$A$10:$D$203,2,),"")</f>
        <v>CONCRETO USINADO FCK = 20,0 MPA</v>
      </c>
      <c r="C1988" s="114">
        <f>ROUND((1.05*0.18),4)</f>
        <v>0.189</v>
      </c>
      <c r="D1988" s="7" t="str">
        <f>IF($A1988&gt;0, VLOOKUP($A1988,'A VII.'!$A$10:$D$203,3,),"")</f>
        <v>M3</v>
      </c>
      <c r="E1988" s="85">
        <f>IF($A1988&gt;0, VLOOKUP($A1988,'A VII.'!$A$10:$D$203,4,),"")</f>
        <v>0</v>
      </c>
      <c r="F1988" s="59">
        <f t="shared" si="116"/>
        <v>0</v>
      </c>
    </row>
    <row r="1989" spans="1:6" ht="12.75" customHeight="1" x14ac:dyDescent="0.2">
      <c r="A1989" s="6" t="str">
        <f>'A VII.'!$A$10</f>
        <v>1.1</v>
      </c>
      <c r="B1989" s="421" t="str">
        <f>IF($A1989&gt;0, VLOOKUP($A1989,'A VII.'!$A$10:$D$203,2,),"")</f>
        <v>AÇO CA-50 (MÉDIA DAS BITOLAS)</v>
      </c>
      <c r="C1989" s="114">
        <f>ROUND((1.5096*2)+(1.1*9.2),4)</f>
        <v>13.139200000000001</v>
      </c>
      <c r="D1989" s="7" t="str">
        <f>IF($A1989&gt;0, VLOOKUP($A1989,'A VII.'!$A$10:$D$203,3,),"")</f>
        <v>KG</v>
      </c>
      <c r="E1989" s="85">
        <f>IF($A1989&gt;0, VLOOKUP($A1989,'A VII.'!$A$10:$D$203,4,),"")</f>
        <v>0</v>
      </c>
      <c r="F1989" s="59">
        <f t="shared" si="116"/>
        <v>0</v>
      </c>
    </row>
    <row r="1990" spans="1:6" ht="12.75" customHeight="1" x14ac:dyDescent="0.2">
      <c r="A1990" s="6" t="str">
        <f>'A VII.'!$A$18</f>
        <v>1.9</v>
      </c>
      <c r="B1990" s="421" t="str">
        <f>IF($A1990&gt;0, VLOOKUP($A1990,'A VII.'!$A$10:$D$203,2,),"")</f>
        <v>ARAME RECOZIDO 18 BWG - 1,25MM - 9,60 G/M</v>
      </c>
      <c r="C1990" s="114">
        <f>ROUND((0.03*9.2),4)</f>
        <v>0.27600000000000002</v>
      </c>
      <c r="D1990" s="7" t="str">
        <f>IF($A1990&gt;0, VLOOKUP($A1990,'A VII.'!$A$10:$D$203,3,),"")</f>
        <v>KG</v>
      </c>
      <c r="E1990" s="85">
        <f>IF($A1990&gt;0, VLOOKUP($A1990,'A VII.'!$A$10:$D$203,4,),"")</f>
        <v>0</v>
      </c>
      <c r="F1990" s="59">
        <f t="shared" si="116"/>
        <v>0</v>
      </c>
    </row>
    <row r="1991" spans="1:6" ht="12.75" customHeight="1" x14ac:dyDescent="0.2">
      <c r="A1991" s="6" t="str">
        <f>'A VII.'!$A$84</f>
        <v>1.74</v>
      </c>
      <c r="B1991" s="421" t="str">
        <f>IF($A1991&gt;0, VLOOKUP($A1991,'A VII.'!$A$10:$D$203,2,),"")</f>
        <v>PEDRA BRITADA Nº 2 GRANULOMETRIA ENTRE (21,0 E 32,0 MM)</v>
      </c>
      <c r="C1991" s="114">
        <f>ROUND((0.0254*2),4)</f>
        <v>5.0799999999999998E-2</v>
      </c>
      <c r="D1991" s="7" t="str">
        <f>IF($A1991&gt;0, VLOOKUP($A1991,'A VII.'!$A$10:$D$203,3,),"")</f>
        <v>M3</v>
      </c>
      <c r="E1991" s="85">
        <f>IF($A1991&gt;0, VLOOKUP($A1991,'A VII.'!$A$10:$D$203,4,),"")</f>
        <v>0</v>
      </c>
      <c r="F1991" s="59">
        <f t="shared" si="116"/>
        <v>0</v>
      </c>
    </row>
    <row r="1992" spans="1:6" ht="12.75" customHeight="1" x14ac:dyDescent="0.2">
      <c r="A1992" s="6"/>
      <c r="B1992" s="421"/>
      <c r="C1992" s="114"/>
      <c r="D1992" s="423"/>
      <c r="E1992" s="85"/>
      <c r="F1992" s="59">
        <f t="shared" si="116"/>
        <v>0</v>
      </c>
    </row>
    <row r="1993" spans="1:6" ht="12.75" customHeight="1" x14ac:dyDescent="0.2">
      <c r="A1993" s="6"/>
      <c r="B1993" s="421"/>
      <c r="C1993" s="114"/>
      <c r="D1993" s="423"/>
      <c r="E1993" s="85"/>
      <c r="F1993" s="59">
        <f t="shared" si="116"/>
        <v>0</v>
      </c>
    </row>
    <row r="1994" spans="1:6" ht="12.75" customHeight="1" x14ac:dyDescent="0.2">
      <c r="A1994" s="6"/>
      <c r="B1994" s="421"/>
      <c r="C1994" s="114"/>
      <c r="D1994" s="423"/>
      <c r="E1994" s="85"/>
      <c r="F1994" s="59">
        <f t="shared" si="116"/>
        <v>0</v>
      </c>
    </row>
    <row r="1995" spans="1:6" ht="12.75" customHeight="1" x14ac:dyDescent="0.2">
      <c r="A1995" s="3"/>
      <c r="C1995" s="114"/>
      <c r="E1995" s="85"/>
      <c r="F1995" s="59">
        <f t="shared" si="116"/>
        <v>0</v>
      </c>
    </row>
    <row r="1996" spans="1:6" ht="12.75" customHeight="1" x14ac:dyDescent="0.2">
      <c r="A1996" s="3"/>
      <c r="C1996" s="114"/>
      <c r="E1996" s="85"/>
      <c r="F1996" s="59">
        <f t="shared" si="116"/>
        <v>0</v>
      </c>
    </row>
    <row r="1997" spans="1:6" ht="12.75" customHeight="1" x14ac:dyDescent="0.2">
      <c r="A1997" s="3"/>
      <c r="B1997" s="86" t="s">
        <v>258</v>
      </c>
      <c r="C1997" s="87"/>
      <c r="D1997" s="88"/>
      <c r="E1997" s="89"/>
      <c r="F1997" s="90">
        <f>SUM(F1981:F1996)</f>
        <v>0</v>
      </c>
    </row>
    <row r="1998" spans="1:6" ht="12.75" customHeight="1" x14ac:dyDescent="0.2">
      <c r="A1998" s="3"/>
      <c r="B1998" s="91" t="s">
        <v>70</v>
      </c>
      <c r="C1998" s="15">
        <f>$D$8</f>
        <v>0</v>
      </c>
      <c r="D1998" s="92"/>
      <c r="E1998" s="93"/>
      <c r="F1998" s="94">
        <f>ROUND(F1997*C1998,2)</f>
        <v>0</v>
      </c>
    </row>
    <row r="1999" spans="1:6" ht="12.75" customHeight="1" x14ac:dyDescent="0.2">
      <c r="A1999" s="95"/>
      <c r="B1999" s="424" t="s">
        <v>259</v>
      </c>
      <c r="C1999" s="425"/>
      <c r="D1999" s="425"/>
      <c r="E1999" s="426"/>
      <c r="F1999" s="96">
        <f>F1997+F1998</f>
        <v>0</v>
      </c>
    </row>
    <row r="2000" spans="1:6" ht="12.75" customHeight="1" x14ac:dyDescent="0.2">
      <c r="A2000" s="1" t="s">
        <v>5</v>
      </c>
      <c r="B2000" s="418" t="s">
        <v>267</v>
      </c>
      <c r="C2000" s="419" t="s">
        <v>263</v>
      </c>
      <c r="D2000" s="419" t="s">
        <v>264</v>
      </c>
      <c r="E2000" s="420" t="s">
        <v>265</v>
      </c>
      <c r="F2000" s="57" t="s">
        <v>266</v>
      </c>
    </row>
    <row r="2001" spans="1:6" ht="12.75" customHeight="1" x14ac:dyDescent="0.2">
      <c r="A2001" s="3" t="str">
        <f>'A VII.'!$A$148</f>
        <v>2.6</v>
      </c>
      <c r="B2001" s="421" t="str">
        <f>IF($A2001&gt;0, VLOOKUP($A2001,'A VII.'!$A$10:$D$203,2,),"")</f>
        <v>BETONEIRA, CAPACIDADE NOMINAL DE 400L, MOTOR ELÉTRICO TRIFÁSICO DE  2CV - CHI</v>
      </c>
      <c r="C2001" s="114">
        <f>ROUND((0.125*2.6)*4*2.9,4)</f>
        <v>3.77</v>
      </c>
      <c r="D2001" s="7" t="str">
        <f>IF($A2001&gt;0, VLOOKUP($A2001,'A VII.'!$A$10:$D$203,3,),"")</f>
        <v>CHI</v>
      </c>
      <c r="E2001" s="85">
        <f>IF($A2001&gt;0, VLOOKUP($A2001,'A VII.'!$A$10:$D$203,4,),"")</f>
        <v>0</v>
      </c>
      <c r="F2001" s="59">
        <f t="shared" ref="F2001:F2010" si="117">ROUND(C2001*E2001,2)</f>
        <v>0</v>
      </c>
    </row>
    <row r="2002" spans="1:6" ht="12.75" customHeight="1" x14ac:dyDescent="0.2">
      <c r="A2002" s="3" t="str">
        <f>'A VII.'!$A$149</f>
        <v>2.7</v>
      </c>
      <c r="B2002" s="421" t="str">
        <f>IF($A2002&gt;0, VLOOKUP($A2002,'A VII.'!$A$10:$D$203,2,),"")</f>
        <v>BETONEIRA, CAPACIDADE NOMINAL DE 400L, MOTOR ELÉTRICO TRIFÁSICO DE  2CV - CHP</v>
      </c>
      <c r="C2002" s="114">
        <f>ROUND((0.125*2.6)*4*0.9,4)</f>
        <v>1.17</v>
      </c>
      <c r="D2002" s="7" t="str">
        <f>IF($A2002&gt;0, VLOOKUP($A2002,'A VII.'!$A$10:$D$203,3,),"")</f>
        <v>CHP</v>
      </c>
      <c r="E2002" s="85">
        <f>IF($A2002&gt;0, VLOOKUP($A2002,'A VII.'!$A$10:$D$203,4,),"")</f>
        <v>0</v>
      </c>
      <c r="F2002" s="59">
        <f t="shared" si="117"/>
        <v>0</v>
      </c>
    </row>
    <row r="2003" spans="1:6" ht="12.75" customHeight="1" x14ac:dyDescent="0.2">
      <c r="A2003" s="3" t="str">
        <f>'A VII.'!$A$169</f>
        <v>2.27</v>
      </c>
      <c r="B2003" s="421" t="str">
        <f>IF($A2003&gt;0, VLOOKUP($A2003,'A VII.'!$A$10:$D$203,2,),"")</f>
        <v>VIBRADOR DE IMERSÃO COM MANGOTE 5,00 M - CHP</v>
      </c>
      <c r="C2003" s="114">
        <f>ROUND((0.615*0.18),4)</f>
        <v>0.11070000000000001</v>
      </c>
      <c r="D2003" s="7" t="str">
        <f>IF($A2003&gt;0, VLOOKUP($A2003,'A VII.'!$A$10:$D$203,3,),"")</f>
        <v>CHP</v>
      </c>
      <c r="E2003" s="85">
        <f>IF($A2003&gt;0, VLOOKUP($A2003,'A VII.'!$A$10:$D$203,4,),"")</f>
        <v>0</v>
      </c>
      <c r="F2003" s="59">
        <f t="shared" si="117"/>
        <v>0</v>
      </c>
    </row>
    <row r="2004" spans="1:6" ht="12.75" customHeight="1" x14ac:dyDescent="0.2">
      <c r="A2004" s="3"/>
      <c r="C2004" s="114"/>
      <c r="E2004" s="85"/>
      <c r="F2004" s="59">
        <f t="shared" si="117"/>
        <v>0</v>
      </c>
    </row>
    <row r="2005" spans="1:6" ht="12.75" customHeight="1" x14ac:dyDescent="0.2">
      <c r="A2005" s="3"/>
      <c r="C2005" s="114"/>
      <c r="E2005" s="85"/>
      <c r="F2005" s="59">
        <f t="shared" si="117"/>
        <v>0</v>
      </c>
    </row>
    <row r="2006" spans="1:6" ht="12.75" customHeight="1" x14ac:dyDescent="0.2">
      <c r="A2006" s="3"/>
      <c r="C2006" s="114"/>
      <c r="E2006" s="85"/>
      <c r="F2006" s="59">
        <f t="shared" si="117"/>
        <v>0</v>
      </c>
    </row>
    <row r="2007" spans="1:6" ht="12.75" customHeight="1" x14ac:dyDescent="0.2">
      <c r="A2007" s="3"/>
      <c r="C2007" s="114"/>
      <c r="E2007" s="85"/>
      <c r="F2007" s="59">
        <f t="shared" si="117"/>
        <v>0</v>
      </c>
    </row>
    <row r="2008" spans="1:6" ht="12.75" customHeight="1" x14ac:dyDescent="0.2">
      <c r="A2008" s="3"/>
      <c r="C2008" s="114"/>
      <c r="E2008" s="85"/>
      <c r="F2008" s="59">
        <f t="shared" si="117"/>
        <v>0</v>
      </c>
    </row>
    <row r="2009" spans="1:6" ht="12.75" customHeight="1" x14ac:dyDescent="0.2">
      <c r="A2009" s="3"/>
      <c r="C2009" s="114"/>
      <c r="E2009" s="85"/>
      <c r="F2009" s="59">
        <f t="shared" si="117"/>
        <v>0</v>
      </c>
    </row>
    <row r="2010" spans="1:6" ht="12.75" customHeight="1" x14ac:dyDescent="0.2">
      <c r="A2010" s="3"/>
      <c r="C2010" s="114"/>
      <c r="E2010" s="85"/>
      <c r="F2010" s="59">
        <f t="shared" si="117"/>
        <v>0</v>
      </c>
    </row>
    <row r="2011" spans="1:6" ht="12.75" customHeight="1" x14ac:dyDescent="0.2">
      <c r="A2011" s="3"/>
      <c r="B2011" s="86" t="s">
        <v>258</v>
      </c>
      <c r="C2011" s="87"/>
      <c r="D2011" s="88"/>
      <c r="E2011" s="89"/>
      <c r="F2011" s="90">
        <f>SUM(F2001:F2010)</f>
        <v>0</v>
      </c>
    </row>
    <row r="2012" spans="1:6" ht="12.75" customHeight="1" x14ac:dyDescent="0.2">
      <c r="A2012" s="3"/>
      <c r="B2012" s="91" t="s">
        <v>70</v>
      </c>
      <c r="C2012" s="15">
        <f>$D$8</f>
        <v>0</v>
      </c>
      <c r="D2012" s="92"/>
      <c r="E2012" s="93"/>
      <c r="F2012" s="94">
        <f>ROUND(C2012*F2011,2)</f>
        <v>0</v>
      </c>
    </row>
    <row r="2013" spans="1:6" ht="12.75" customHeight="1" x14ac:dyDescent="0.2">
      <c r="A2013" s="95"/>
      <c r="B2013" s="424" t="s">
        <v>260</v>
      </c>
      <c r="C2013" s="425"/>
      <c r="D2013" s="425"/>
      <c r="E2013" s="426"/>
      <c r="F2013" s="96">
        <f>F2011+F2012</f>
        <v>0</v>
      </c>
    </row>
    <row r="2014" spans="1:6" ht="12.75" customHeight="1" x14ac:dyDescent="0.2">
      <c r="A2014" s="97" t="s">
        <v>54</v>
      </c>
      <c r="B2014" s="427" t="s">
        <v>268</v>
      </c>
      <c r="C2014" s="428" t="s">
        <v>263</v>
      </c>
      <c r="D2014" s="429" t="s">
        <v>264</v>
      </c>
      <c r="E2014" s="430" t="s">
        <v>265</v>
      </c>
      <c r="F2014" s="57" t="s">
        <v>266</v>
      </c>
    </row>
    <row r="2015" spans="1:6" ht="12.75" customHeight="1" x14ac:dyDescent="0.2">
      <c r="A2015" s="3" t="str">
        <f>'A VII.'!$A$192</f>
        <v>3.12</v>
      </c>
      <c r="B2015" s="421" t="str">
        <f>IF($A2015&gt;0, VLOOKUP($A2015,'A VII.'!$A$10:$D$203,2,),"")</f>
        <v>PEDREIRO COM ENCARGOS COMPLEMENTARES</v>
      </c>
      <c r="C2015" s="114">
        <f>ROUND((0.45*2.6)+(1.65*0.18)+(0.25*0.45)+(0.498*2),4)</f>
        <v>2.5754999999999999</v>
      </c>
      <c r="D2015" s="7" t="str">
        <f>IF($A2015&gt;0, VLOOKUP($A2015,'A VII.'!$A$10:$D$203,3,),"")</f>
        <v>H</v>
      </c>
      <c r="E2015" s="85">
        <f>IF($A2015&gt;0, VLOOKUP($A2015,'A VII.'!$A$10:$D$203,4,),"")</f>
        <v>0</v>
      </c>
      <c r="F2015" s="59">
        <f t="shared" ref="F2015:F2021" si="118">ROUND(C2015*E2015,2)</f>
        <v>0</v>
      </c>
    </row>
    <row r="2016" spans="1:6" ht="12.75" customHeight="1" x14ac:dyDescent="0.2">
      <c r="A2016" s="3" t="str">
        <f>'A VII.'!$A$196</f>
        <v>3.16</v>
      </c>
      <c r="B2016" s="421" t="str">
        <f>IF($A2016&gt;0, VLOOKUP($A2016,'A VII.'!$A$10:$D$203,2,),"")</f>
        <v>SERVENTE COM ENCARGOS COMPLEMENTARES</v>
      </c>
      <c r="C2016" s="114">
        <f>ROUND((0.45*2.6)+(3*0.18)+(1.5*0.02)+(4.5*0.18)+(2.5*0.45)+(0.896*2),4)</f>
        <v>5.4669999999999996</v>
      </c>
      <c r="D2016" s="7" t="str">
        <f>IF($A2016&gt;0, VLOOKUP($A2016,'A VII.'!$A$10:$D$203,3,),"")</f>
        <v>H</v>
      </c>
      <c r="E2016" s="85">
        <f>IF($A2016&gt;0, VLOOKUP($A2016,'A VII.'!$A$10:$D$203,4,),"")</f>
        <v>0</v>
      </c>
      <c r="F2016" s="59">
        <f t="shared" si="118"/>
        <v>0</v>
      </c>
    </row>
    <row r="2017" spans="1:6" ht="12.75" customHeight="1" x14ac:dyDescent="0.2">
      <c r="A2017" s="3" t="str">
        <f>'A VII.'!$A$182</f>
        <v>3.2</v>
      </c>
      <c r="B2017" s="421" t="str">
        <f>IF($A2017&gt;0, VLOOKUP($A2017,'A VII.'!$A$10:$D$203,2,),"")</f>
        <v>AJUDANTE ESPECIALIZADO COM ENCARGOS COMPLEMENTARES</v>
      </c>
      <c r="C2017" s="114">
        <f>ROUND(0.08*9.2,4)</f>
        <v>0.73599999999999999</v>
      </c>
      <c r="D2017" s="7" t="str">
        <f>IF($A2017&gt;0, VLOOKUP($A2017,'A VII.'!$A$10:$D$203,3,),"")</f>
        <v>H</v>
      </c>
      <c r="E2017" s="85">
        <f>IF($A2017&gt;0, VLOOKUP($A2017,'A VII.'!$A$10:$D$203,4,),"")</f>
        <v>0</v>
      </c>
      <c r="F2017" s="59">
        <f t="shared" si="118"/>
        <v>0</v>
      </c>
    </row>
    <row r="2018" spans="1:6" ht="12.75" customHeight="1" x14ac:dyDescent="0.2">
      <c r="A2018" s="3" t="str">
        <f>'A VII.'!$A$184</f>
        <v>3.4</v>
      </c>
      <c r="B2018" s="421" t="str">
        <f>IF($A2018&gt;0, VLOOKUP($A2018,'A VII.'!$A$10:$D$203,2,),"")</f>
        <v>ARMADOR COM ENCARGOS COMPLEMENTARES</v>
      </c>
      <c r="C2018" s="114">
        <f>ROUND((0.04*9.2),4)</f>
        <v>0.36799999999999999</v>
      </c>
      <c r="D2018" s="7" t="str">
        <f>IF($A2018&gt;0, VLOOKUP($A2018,'A VII.'!$A$10:$D$203,3,),"")</f>
        <v>H</v>
      </c>
      <c r="E2018" s="85">
        <f>IF($A2018&gt;0, VLOOKUP($A2018,'A VII.'!$A$10:$D$203,4,),"")</f>
        <v>0</v>
      </c>
      <c r="F2018" s="59">
        <f t="shared" si="118"/>
        <v>0</v>
      </c>
    </row>
    <row r="2019" spans="1:6" ht="12.75" customHeight="1" x14ac:dyDescent="0.2">
      <c r="A2019" s="3"/>
      <c r="C2019" s="114"/>
      <c r="E2019" s="85"/>
      <c r="F2019" s="59">
        <f t="shared" si="118"/>
        <v>0</v>
      </c>
    </row>
    <row r="2020" spans="1:6" ht="12.75" customHeight="1" x14ac:dyDescent="0.2">
      <c r="A2020" s="3"/>
      <c r="C2020" s="114"/>
      <c r="E2020" s="85"/>
      <c r="F2020" s="59">
        <f t="shared" si="118"/>
        <v>0</v>
      </c>
    </row>
    <row r="2021" spans="1:6" ht="12.75" customHeight="1" x14ac:dyDescent="0.2">
      <c r="A2021" s="3"/>
      <c r="C2021" s="114"/>
      <c r="E2021" s="85"/>
      <c r="F2021" s="59">
        <f t="shared" si="118"/>
        <v>0</v>
      </c>
    </row>
    <row r="2022" spans="1:6" ht="12.75" customHeight="1" x14ac:dyDescent="0.2">
      <c r="A2022" s="3"/>
      <c r="B2022" s="86" t="s">
        <v>258</v>
      </c>
      <c r="C2022" s="87"/>
      <c r="D2022" s="88"/>
      <c r="E2022" s="89"/>
      <c r="F2022" s="90">
        <f>SUM(F2015:F2021)</f>
        <v>0</v>
      </c>
    </row>
    <row r="2023" spans="1:6" ht="12.75" customHeight="1" x14ac:dyDescent="0.2">
      <c r="A2023" s="3"/>
      <c r="B2023" s="91" t="s">
        <v>261</v>
      </c>
      <c r="C2023" s="15">
        <f>'A IX.'!$C$45</f>
        <v>0</v>
      </c>
      <c r="D2023" s="92"/>
      <c r="E2023" s="93"/>
      <c r="F2023" s="94">
        <f>ROUND(F2022*C2023,2)</f>
        <v>0</v>
      </c>
    </row>
    <row r="2024" spans="1:6" ht="12.75" customHeight="1" x14ac:dyDescent="0.2">
      <c r="A2024" s="3"/>
      <c r="B2024" s="91" t="s">
        <v>70</v>
      </c>
      <c r="C2024" s="15">
        <f>$D$8</f>
        <v>0</v>
      </c>
      <c r="D2024" s="92"/>
      <c r="E2024" s="93"/>
      <c r="F2024" s="94">
        <f>ROUND(SUM(F2022:F2023)*C2024,2)</f>
        <v>0</v>
      </c>
    </row>
    <row r="2025" spans="1:6" ht="12.75" customHeight="1" thickBot="1" x14ac:dyDescent="0.25">
      <c r="A2025" s="98"/>
      <c r="B2025" s="99" t="s">
        <v>262</v>
      </c>
      <c r="C2025" s="100"/>
      <c r="D2025" s="100"/>
      <c r="E2025" s="101"/>
      <c r="F2025" s="102">
        <f>SUM(F2022:F2024)</f>
        <v>0</v>
      </c>
    </row>
    <row r="2026" spans="1:6" ht="12.75" customHeight="1" thickBot="1" x14ac:dyDescent="0.25">
      <c r="A2026" s="81"/>
      <c r="B2026" s="82"/>
      <c r="C2026" s="83"/>
      <c r="D2026" s="83"/>
      <c r="E2026" s="84"/>
      <c r="F2026" s="103"/>
    </row>
    <row r="2027" spans="1:6" ht="30" customHeight="1" x14ac:dyDescent="0.2">
      <c r="A2027" s="5" t="str">
        <f>'A IV.A'!$A$70</f>
        <v>3.3.9</v>
      </c>
      <c r="B2027" s="416" t="str">
        <f>'A IV.A'!$B$70</f>
        <v>CONSTRUÇÃO DE ABRIGO ELÉTRICO EM ALVENARIA EM BLOCO DE CONCRETO 14 X 19 X 37 CM INCLUSIVE INSTALAÇÃO DE PORTA VENEZIANA E ELETRODUTOS - CONFORME MANUAL DO EMPREENDENDOR 2026</v>
      </c>
      <c r="C2027" s="526" t="s">
        <v>269</v>
      </c>
      <c r="D2027" s="527"/>
      <c r="E2027" s="417" t="str">
        <f>'A IV.A'!$C$70</f>
        <v>UN</v>
      </c>
      <c r="F2027" s="58">
        <f>ROUND(F2052+F2062+F2073,2)</f>
        <v>0</v>
      </c>
    </row>
    <row r="2028" spans="1:6" ht="12.75" customHeight="1" x14ac:dyDescent="0.2">
      <c r="A2028" s="1" t="s">
        <v>17</v>
      </c>
      <c r="B2028" s="418" t="s">
        <v>162</v>
      </c>
      <c r="C2028" s="419" t="s">
        <v>263</v>
      </c>
      <c r="D2028" s="419" t="s">
        <v>264</v>
      </c>
      <c r="E2028" s="420" t="s">
        <v>265</v>
      </c>
      <c r="F2028" s="57" t="s">
        <v>266</v>
      </c>
    </row>
    <row r="2029" spans="1:6" ht="12.75" customHeight="1" x14ac:dyDescent="0.2">
      <c r="A2029" s="6" t="str">
        <f>'A VII.'!$A$85</f>
        <v>1.75</v>
      </c>
      <c r="B2029" s="421" t="str">
        <f>IF($A2029&gt;0, VLOOKUP($A2029,'A VII.'!$A$10:$D$203,2,),"")</f>
        <v>PORTA DE ABRIR EM ACO VENEZIANA, COM FUNDO ANTICORROSIVO,  SEM GUARNICAO - 87 X 210 CM</v>
      </c>
      <c r="C2029" s="114">
        <f>ROUND((0.5752)*2.65,4)</f>
        <v>1.5243</v>
      </c>
      <c r="D2029" s="7" t="str">
        <f>IF($A2029&gt;0, VLOOKUP($A2029,'A VII.'!$A$10:$D$203,3,),"")</f>
        <v>UN</v>
      </c>
      <c r="E2029" s="85">
        <f>IF($A2029&gt;0, VLOOKUP($A2029,'A VII.'!$A$10:$D$203,4,),"")</f>
        <v>0</v>
      </c>
      <c r="F2029" s="59">
        <f>ROUND(C2029*E2029,2)</f>
        <v>0</v>
      </c>
    </row>
    <row r="2030" spans="1:6" ht="12.75" customHeight="1" x14ac:dyDescent="0.2">
      <c r="A2030" s="6" t="str">
        <f>'A VII.'!$A$114</f>
        <v>1.104</v>
      </c>
      <c r="B2030" s="421" t="str">
        <f>IF($A2030&gt;0, VLOOKUP($A2030,'A VII.'!$A$10:$D$203,2,),"")</f>
        <v>TRAVA DE SEGURANÇA TIPO FERROLHO</v>
      </c>
      <c r="C2030" s="114">
        <f>ROUND((0.5473)*2.65,4)</f>
        <v>1.4502999999999999</v>
      </c>
      <c r="D2030" s="7" t="str">
        <f>IF($A2030&gt;0, VLOOKUP($A2030,'A VII.'!$A$10:$D$203,3,),"")</f>
        <v>UN</v>
      </c>
      <c r="E2030" s="85">
        <f>IF($A2030&gt;0, VLOOKUP($A2030,'A VII.'!$A$10:$D$203,4,),"")</f>
        <v>0</v>
      </c>
      <c r="F2030" s="59">
        <f>ROUND(C2030*E2030,2)</f>
        <v>0</v>
      </c>
    </row>
    <row r="2031" spans="1:6" ht="12.75" customHeight="1" x14ac:dyDescent="0.2">
      <c r="A2031" s="6" t="str">
        <f>'A VII.'!$A$127</f>
        <v>1.117</v>
      </c>
      <c r="B2031" s="421" t="str">
        <f>IF($A2031&gt;0, VLOOKUP($A2031,'A VII.'!$A$10:$D$203,2,),"")</f>
        <v>BLOCO DE CONCRETO ESTRUTURAL 14 x 19 x 39 CM - CLASSE A NBR 6136</v>
      </c>
      <c r="C2031" s="114">
        <f>ROUND((13.6*22.98),4)</f>
        <v>312.52800000000002</v>
      </c>
      <c r="D2031" s="7" t="str">
        <f>IF($A2031&gt;0, VLOOKUP($A2031,'A VII.'!$A$10:$D$203,3,),"")</f>
        <v>UN</v>
      </c>
      <c r="E2031" s="85">
        <f>IF($A2031&gt;0, VLOOKUP($A2031,'A VII.'!$A$10:$D$203,4,),"")</f>
        <v>0</v>
      </c>
      <c r="F2031" s="59">
        <f t="shared" ref="F2031:F2047" si="119">ROUND(C2031*E2031,2)</f>
        <v>0</v>
      </c>
    </row>
    <row r="2032" spans="1:6" ht="12.75" customHeight="1" x14ac:dyDescent="0.2">
      <c r="A2032" s="6" t="str">
        <f>'A VII.'!$A$19</f>
        <v>1.10</v>
      </c>
      <c r="B2032" s="421" t="str">
        <f>IF($A2032&gt;0, VLOOKUP($A2032,'A VII.'!$A$10:$D$203,2,),"")</f>
        <v>AREIA MÉDIA LAVADA</v>
      </c>
      <c r="C2032" s="114">
        <f>ROUND((0.0072*2.65)+(0.0147*25.17)+(0.9522*0.57)+(0.72*0.5)+(0.037*4)+(0.785*0.47),4)</f>
        <v>1.8088</v>
      </c>
      <c r="D2032" s="7" t="str">
        <f>IF($A2032&gt;0, VLOOKUP($A2032,'A VII.'!$A$10:$D$203,3,),"")</f>
        <v>M3</v>
      </c>
      <c r="E2032" s="85">
        <f>IF($A2032&gt;0, VLOOKUP($A2032,'A VII.'!$A$10:$D$203,4,),"")</f>
        <v>0</v>
      </c>
      <c r="F2032" s="59">
        <f t="shared" si="119"/>
        <v>0</v>
      </c>
    </row>
    <row r="2033" spans="1:6" ht="12.75" customHeight="1" x14ac:dyDescent="0.2">
      <c r="A2033" s="6" t="str">
        <f>'A VII.'!$A$38</f>
        <v>1.29</v>
      </c>
      <c r="B2033" s="421" t="str">
        <f>IF($A2033&gt;0, VLOOKUP($A2033,'A VII.'!$A$10:$D$203,2,),"")</f>
        <v>CIMENTO PORTLAND CP II-E-32</v>
      </c>
      <c r="C2033" s="114">
        <f>ROUND((1.8452*2.65)+(2.4835*25.17)+(391.7747*0.57)+(283*0.5)+(13.9818*4)+(322.98*0.47),4)</f>
        <v>639.93889999999999</v>
      </c>
      <c r="D2033" s="7" t="str">
        <f>IF($A2033&gt;0, VLOOKUP($A2033,'A VII.'!$A$10:$D$203,3,),"")</f>
        <v>KG</v>
      </c>
      <c r="E2033" s="85">
        <f>IF($A2033&gt;0, VLOOKUP($A2033,'A VII.'!$A$10:$D$203,4,),"")</f>
        <v>0</v>
      </c>
      <c r="F2033" s="59">
        <f t="shared" si="119"/>
        <v>0</v>
      </c>
    </row>
    <row r="2034" spans="1:6" ht="12.75" customHeight="1" x14ac:dyDescent="0.2">
      <c r="A2034" s="6" t="str">
        <f>'A VII.'!$A$29</f>
        <v>1.20</v>
      </c>
      <c r="B2034" s="421" t="str">
        <f>IF($A2034&gt;0, VLOOKUP($A2034,'A VII.'!$A$10:$D$203,2,),"")</f>
        <v>CAL HIDRATADA CH III - NBR 7175</v>
      </c>
      <c r="C2034" s="114">
        <f>ROUND((0.4814*2.65)+(2.2076*25.17),4)</f>
        <v>56.841000000000001</v>
      </c>
      <c r="D2034" s="7" t="str">
        <f>IF($A2034&gt;0, VLOOKUP($A2034,'A VII.'!$A$10:$D$203,3,),"")</f>
        <v>KG</v>
      </c>
      <c r="E2034" s="85">
        <f>IF($A2034&gt;0, VLOOKUP($A2034,'A VII.'!$A$10:$D$203,4,),"")</f>
        <v>0</v>
      </c>
      <c r="F2034" s="59">
        <f t="shared" si="119"/>
        <v>0</v>
      </c>
    </row>
    <row r="2035" spans="1:6" ht="12.75" customHeight="1" x14ac:dyDescent="0.2">
      <c r="A2035" s="6" t="str">
        <f>'A VII.'!$A$104</f>
        <v>1.94</v>
      </c>
      <c r="B2035" s="421" t="str">
        <f>IF($A2035&gt;0, VLOOKUP($A2035,'A VII.'!$A$10:$D$203,2,),"")</f>
        <v>TELA DE AÇO SOLDADA GALVANIZADA/ZINCADA PARA ALVENARIA, FIO D = 1,20 A 1,70 MM, MALHA 15 X 15 MM, (C X L) 50 X 7,5CM</v>
      </c>
      <c r="C2035" s="114">
        <f>ROUND((0.42*25.17),4)</f>
        <v>10.571400000000001</v>
      </c>
      <c r="D2035" s="7" t="str">
        <f>IF($A2035&gt;0, VLOOKUP($A2035,'A VII.'!$A$10:$D$203,3,),"")</f>
        <v>M</v>
      </c>
      <c r="E2035" s="85">
        <f>IF($A2035&gt;0, VLOOKUP($A2035,'A VII.'!$A$10:$D$203,4,),"")</f>
        <v>0</v>
      </c>
      <c r="F2035" s="59">
        <f t="shared" si="119"/>
        <v>0</v>
      </c>
    </row>
    <row r="2036" spans="1:6" ht="12.75" customHeight="1" x14ac:dyDescent="0.2">
      <c r="A2036" s="6" t="str">
        <f>'A VII.'!$A$82</f>
        <v>1.73</v>
      </c>
      <c r="B2036" s="421" t="str">
        <f>IF($A2036&gt;0, VLOOKUP($A2036,'A VII.'!$A$10:$D$203,2,),"")</f>
        <v>PEDRA BRITADA Nº 1 GRANULOMETRIA ENTRE (9,5 E 25,00 MM)</v>
      </c>
      <c r="C2036" s="114">
        <f>ROUND((1.2*0.61)+(0.712*0.57)+(0.587*0.47),4)</f>
        <v>1.4137</v>
      </c>
      <c r="D2036" s="7" t="str">
        <f>IF($A2036&gt;0, VLOOKUP($A2036,'A VII.'!$A$10:$D$203,3,),"")</f>
        <v>M3</v>
      </c>
      <c r="E2036" s="85">
        <f>IF($A2036&gt;0, VLOOKUP($A2036,'A VII.'!$A$10:$D$203,4,),"")</f>
        <v>0</v>
      </c>
      <c r="F2036" s="59">
        <f t="shared" si="119"/>
        <v>0</v>
      </c>
    </row>
    <row r="2037" spans="1:6" ht="12.75" customHeight="1" x14ac:dyDescent="0.2">
      <c r="A2037" s="6" t="str">
        <f>'A VII.'!$A$80</f>
        <v>1.71</v>
      </c>
      <c r="B2037" s="421" t="str">
        <f>IF($A2037&gt;0, VLOOKUP($A2037,'A VII.'!$A$10:$D$203,2,),"")</f>
        <v>RIPA DE MADEIRA NAO APARELHADA - 1,5 X 5 CM (P/FORMA)</v>
      </c>
      <c r="C2037" s="114">
        <f>ROUND((2*0.57),4)</f>
        <v>1.1399999999999999</v>
      </c>
      <c r="D2037" s="7" t="str">
        <f>IF($A2037&gt;0, VLOOKUP($A2037,'A VII.'!$A$10:$D$203,3,),"")</f>
        <v>M</v>
      </c>
      <c r="E2037" s="85">
        <f>IF($A2037&gt;0, VLOOKUP($A2037,'A VII.'!$A$10:$D$203,4,),"")</f>
        <v>0</v>
      </c>
      <c r="F2037" s="59">
        <f t="shared" si="119"/>
        <v>0</v>
      </c>
    </row>
    <row r="2038" spans="1:6" ht="12.75" customHeight="1" x14ac:dyDescent="0.2">
      <c r="A2038" s="6" t="str">
        <f>'A VII.'!$A$84</f>
        <v>1.74</v>
      </c>
      <c r="B2038" s="421" t="str">
        <f>IF($A2038&gt;0, VLOOKUP($A2038,'A VII.'!$A$10:$D$203,2,),"")</f>
        <v>PEDRA BRITADA Nº 2 GRANULOMETRIA ENTRE (21,0 E 32,0 MM)</v>
      </c>
      <c r="C2038" s="114">
        <f>ROUND((0.678*0.57)+(0.0254*4),4)</f>
        <v>0.48809999999999998</v>
      </c>
      <c r="D2038" s="7" t="str">
        <f>IF($A2038&gt;0, VLOOKUP($A2038,'A VII.'!$A$10:$D$203,3,),"")</f>
        <v>M3</v>
      </c>
      <c r="E2038" s="85">
        <f>IF($A2038&gt;0, VLOOKUP($A2038,'A VII.'!$A$10:$D$203,4,),"")</f>
        <v>0</v>
      </c>
      <c r="F2038" s="59">
        <f t="shared" si="119"/>
        <v>0</v>
      </c>
    </row>
    <row r="2039" spans="1:6" ht="12.75" customHeight="1" x14ac:dyDescent="0.2">
      <c r="A2039" s="6" t="str">
        <f>'A VII.'!$A$97</f>
        <v>1.87</v>
      </c>
      <c r="B2039" s="421" t="str">
        <f>IF($A2039&gt;0, VLOOKUP($A2039,'A VII.'!$A$10:$D$203,2,),"")</f>
        <v xml:space="preserve">SARRAFO 3A. CONSTRUÇÃO (SEÇÃO TRANSVERSAL: 1X4" - 2,5CM X 10,0CM) </v>
      </c>
      <c r="C2039" s="114">
        <f>ROUND((2.5*0.57)+(0.75*6.72),4)</f>
        <v>6.4649999999999999</v>
      </c>
      <c r="D2039" s="7" t="str">
        <f>IF($A2039&gt;0, VLOOKUP($A2039,'A VII.'!$A$10:$D$203,3,),"")</f>
        <v>M</v>
      </c>
      <c r="E2039" s="85">
        <f>IF($A2039&gt;0, VLOOKUP($A2039,'A VII.'!$A$10:$D$203,4,),"")</f>
        <v>0</v>
      </c>
      <c r="F2039" s="59">
        <f t="shared" si="119"/>
        <v>0</v>
      </c>
    </row>
    <row r="2040" spans="1:6" ht="12.75" customHeight="1" x14ac:dyDescent="0.2">
      <c r="A2040" s="6" t="str">
        <f>'A VII.'!$A$81</f>
        <v>1.72</v>
      </c>
      <c r="B2040" s="421" t="str">
        <f>IF($A2040&gt;0, VLOOKUP($A2040,'A VII.'!$A$10:$D$203,2,),"")</f>
        <v>PEDRISCO GRANULOMETRIA ENTRE (0,075 E 4,8 MM) NBR 7225</v>
      </c>
      <c r="C2040" s="114">
        <f>ROUND((0.28*0.5),4)</f>
        <v>0.14000000000000001</v>
      </c>
      <c r="D2040" s="7" t="str">
        <f>IF($A2040&gt;0, VLOOKUP($A2040,'A VII.'!$A$10:$D$203,3,),"")</f>
        <v>M3</v>
      </c>
      <c r="E2040" s="85">
        <f>IF($A2040&gt;0, VLOOKUP($A2040,'A VII.'!$A$10:$D$203,4,),"")</f>
        <v>0</v>
      </c>
      <c r="F2040" s="59">
        <f t="shared" si="119"/>
        <v>0</v>
      </c>
    </row>
    <row r="2041" spans="1:6" ht="12.75" customHeight="1" x14ac:dyDescent="0.2">
      <c r="A2041" s="6" t="str">
        <f>'A VII.'!$A$43</f>
        <v>1.34</v>
      </c>
      <c r="B2041" s="421" t="str">
        <f>IF($A2041&gt;0, VLOOKUP($A2041,'A VII.'!$A$10:$D$203,2,),"")</f>
        <v>DESMOLDANTE PARA FÔRMAS - BASE DE ÓLEO MINERAL EMULSIONADO</v>
      </c>
      <c r="C2041" s="114">
        <f>ROUND((1*6.72),4)</f>
        <v>6.72</v>
      </c>
      <c r="D2041" s="7" t="str">
        <f>IF($A2041&gt;0, VLOOKUP($A2041,'A VII.'!$A$10:$D$203,3,),"")</f>
        <v>L</v>
      </c>
      <c r="E2041" s="85">
        <f>IF($A2041&gt;0, VLOOKUP($A2041,'A VII.'!$A$10:$D$203,4,),"")</f>
        <v>0</v>
      </c>
      <c r="F2041" s="59">
        <f t="shared" si="119"/>
        <v>0</v>
      </c>
    </row>
    <row r="2042" spans="1:6" ht="12.75" customHeight="1" x14ac:dyDescent="0.2">
      <c r="A2042" s="6" t="str">
        <f>'A VII.'!$A$90</f>
        <v>1.80</v>
      </c>
      <c r="B2042" s="421" t="str">
        <f>IF($A2042&gt;0, VLOOKUP($A2042,'A VII.'!$A$10:$D$203,2,),"")</f>
        <v>PREGO EM AÇO POLIDO COM CABEÇA (MEDIA DAS BITOLAS)</v>
      </c>
      <c r="C2042" s="114">
        <f>ROUND((0.136*6.72),4)</f>
        <v>0.91390000000000005</v>
      </c>
      <c r="D2042" s="7" t="str">
        <f>IF($A2042&gt;0, VLOOKUP($A2042,'A VII.'!$A$10:$D$203,3,),"")</f>
        <v>KG</v>
      </c>
      <c r="E2042" s="85">
        <f>IF($A2042&gt;0, VLOOKUP($A2042,'A VII.'!$A$10:$D$203,4,),"")</f>
        <v>0</v>
      </c>
      <c r="F2042" s="59">
        <f t="shared" si="119"/>
        <v>0</v>
      </c>
    </row>
    <row r="2043" spans="1:6" ht="12.75" customHeight="1" x14ac:dyDescent="0.2">
      <c r="A2043" s="3" t="str">
        <f>'A VII.'!$A$101</f>
        <v>1.91</v>
      </c>
      <c r="B2043" s="421" t="str">
        <f>IF($A2043&gt;0, VLOOKUP($A2043,'A VII.'!$A$10:$D$203,2,),"")</f>
        <v>TÁBUA MADEIRA 3A QUALIDADE 2,5 X 30CM (1X12") NÃO APARELHADA</v>
      </c>
      <c r="C2043" s="114">
        <f>ROUND((0.8667*6.72),4)</f>
        <v>5.8242000000000003</v>
      </c>
      <c r="D2043" s="7" t="str">
        <f>IF($A2043&gt;0, VLOOKUP($A2043,'A VII.'!$A$10:$D$203,3,),"")</f>
        <v>M</v>
      </c>
      <c r="E2043" s="85">
        <f>IF($A2043&gt;0, VLOOKUP($A2043,'A VII.'!$A$10:$D$203,4,),"")</f>
        <v>0</v>
      </c>
      <c r="F2043" s="59">
        <f t="shared" si="119"/>
        <v>0</v>
      </c>
    </row>
    <row r="2044" spans="1:6" ht="12.75" customHeight="1" x14ac:dyDescent="0.2">
      <c r="A2044" s="3" t="str">
        <f>'A VII.'!$A$10</f>
        <v>1.1</v>
      </c>
      <c r="B2044" s="421" t="str">
        <f>IF($A2044&gt;0, VLOOKUP($A2044,'A VII.'!$A$10:$D$203,2,),"")</f>
        <v>AÇO CA-50 (MÉDIA DAS BITOLAS)</v>
      </c>
      <c r="C2044" s="114">
        <f>ROUND((1.1*18.74)+(1.5096*4),4)</f>
        <v>26.6524</v>
      </c>
      <c r="D2044" s="7" t="str">
        <f>IF($A2044&gt;0, VLOOKUP($A2044,'A VII.'!$A$10:$D$203,3,),"")</f>
        <v>KG</v>
      </c>
      <c r="E2044" s="85">
        <f>IF($A2044&gt;0, VLOOKUP($A2044,'A VII.'!$A$10:$D$203,4,),"")</f>
        <v>0</v>
      </c>
      <c r="F2044" s="59">
        <f t="shared" si="119"/>
        <v>0</v>
      </c>
    </row>
    <row r="2045" spans="1:6" ht="12.75" customHeight="1" x14ac:dyDescent="0.2">
      <c r="A2045" s="3" t="str">
        <f>'A VII.'!$A$18</f>
        <v>1.9</v>
      </c>
      <c r="B2045" s="421" t="str">
        <f>IF($A2045&gt;0, VLOOKUP($A2045,'A VII.'!$A$10:$D$203,2,),"")</f>
        <v>ARAME RECOZIDO 18 BWG - 1,25MM - 9,60 G/M</v>
      </c>
      <c r="C2045" s="114">
        <f>ROUND((0.03*18.74)+(0.0065*113.79),4)</f>
        <v>1.3018000000000001</v>
      </c>
      <c r="D2045" s="7" t="str">
        <f>IF($A2045&gt;0, VLOOKUP($A2045,'A VII.'!$A$10:$D$203,3,),"")</f>
        <v>KG</v>
      </c>
      <c r="E2045" s="85">
        <f>IF($A2045&gt;0, VLOOKUP($A2045,'A VII.'!$A$10:$D$203,4,),"")</f>
        <v>0</v>
      </c>
      <c r="F2045" s="59">
        <f t="shared" si="119"/>
        <v>0</v>
      </c>
    </row>
    <row r="2046" spans="1:6" ht="12.75" customHeight="1" x14ac:dyDescent="0.2">
      <c r="A2046" s="3" t="str">
        <f>'A VII.'!$A$103</f>
        <v>1.93</v>
      </c>
      <c r="B2046" s="421" t="str">
        <f>IF($A2046&gt;0, VLOOKUP($A2046,'A VII.'!$A$10:$D$203,2,),"")</f>
        <v>TELA DE AÇO SOLDADA, CA-60 (MÉDIA DAS BITOLAS)</v>
      </c>
      <c r="C2046" s="114">
        <f>ROUND((1.1*113.79),4)</f>
        <v>125.169</v>
      </c>
      <c r="D2046" s="7" t="str">
        <f>IF($A2046&gt;0, VLOOKUP($A2046,'A VII.'!$A$10:$D$203,3,),"")</f>
        <v>KG</v>
      </c>
      <c r="E2046" s="85">
        <f>IF($A2046&gt;0, VLOOKUP($A2046,'A VII.'!$A$10:$D$203,4,),"")</f>
        <v>0</v>
      </c>
      <c r="F2046" s="59">
        <f t="shared" si="119"/>
        <v>0</v>
      </c>
    </row>
    <row r="2047" spans="1:6" ht="12.75" customHeight="1" x14ac:dyDescent="0.2">
      <c r="A2047" s="3" t="str">
        <f>'A VII.'!$A$49</f>
        <v>1.40</v>
      </c>
      <c r="B2047" s="421" t="str">
        <f>IF($A2047&gt;0, VLOOKUP($A2047,'A VII.'!$A$10:$D$203,2,),"")</f>
        <v>ELETRODUTO/DUTO PEAD FLEXIVEL PAREDE SIMPLES, CORRUGACAO HELICOIDAL, COR PRETA, DE 1 1/2"</v>
      </c>
      <c r="C2047" s="114">
        <f>ROUND((1.1*6),4)</f>
        <v>6.6</v>
      </c>
      <c r="D2047" s="7" t="str">
        <f>IF($A2047&gt;0, VLOOKUP($A2047,'A VII.'!$A$10:$D$203,3,),"")</f>
        <v>M</v>
      </c>
      <c r="E2047" s="85">
        <f>IF($A2047&gt;0, VLOOKUP($A2047,'A VII.'!$A$10:$D$203,4,),"")</f>
        <v>0</v>
      </c>
      <c r="F2047" s="59">
        <f t="shared" si="119"/>
        <v>0</v>
      </c>
    </row>
    <row r="2048" spans="1:6" ht="12.75" customHeight="1" x14ac:dyDescent="0.2">
      <c r="A2048" s="3"/>
      <c r="B2048" s="421"/>
      <c r="C2048" s="114"/>
      <c r="D2048" s="7"/>
      <c r="E2048" s="85"/>
      <c r="F2048" s="59"/>
    </row>
    <row r="2049" spans="1:6" ht="12.75" customHeight="1" x14ac:dyDescent="0.2">
      <c r="A2049" s="3"/>
      <c r="B2049" s="421"/>
      <c r="C2049" s="114"/>
      <c r="D2049" s="7"/>
      <c r="E2049" s="85"/>
      <c r="F2049" s="59"/>
    </row>
    <row r="2050" spans="1:6" ht="12.75" customHeight="1" x14ac:dyDescent="0.2">
      <c r="A2050" s="3"/>
      <c r="B2050" s="86" t="s">
        <v>258</v>
      </c>
      <c r="C2050" s="87"/>
      <c r="D2050" s="88"/>
      <c r="E2050" s="89"/>
      <c r="F2050" s="90">
        <f>SUM(F2029:F2047)</f>
        <v>0</v>
      </c>
    </row>
    <row r="2051" spans="1:6" ht="12.75" customHeight="1" x14ac:dyDescent="0.2">
      <c r="A2051" s="3"/>
      <c r="B2051" s="91" t="s">
        <v>70</v>
      </c>
      <c r="C2051" s="15">
        <f>$D$8</f>
        <v>0</v>
      </c>
      <c r="D2051" s="92"/>
      <c r="E2051" s="93"/>
      <c r="F2051" s="94">
        <f>ROUND(F2050*C2051,2)</f>
        <v>0</v>
      </c>
    </row>
    <row r="2052" spans="1:6" ht="12.75" customHeight="1" x14ac:dyDescent="0.2">
      <c r="A2052" s="95"/>
      <c r="B2052" s="424" t="s">
        <v>259</v>
      </c>
      <c r="C2052" s="425"/>
      <c r="D2052" s="425"/>
      <c r="E2052" s="426"/>
      <c r="F2052" s="96">
        <f>F2050+F2051</f>
        <v>0</v>
      </c>
    </row>
    <row r="2053" spans="1:6" ht="12.75" customHeight="1" x14ac:dyDescent="0.2">
      <c r="A2053" s="1" t="s">
        <v>5</v>
      </c>
      <c r="B2053" s="418" t="s">
        <v>267</v>
      </c>
      <c r="C2053" s="419" t="s">
        <v>263</v>
      </c>
      <c r="D2053" s="419" t="s">
        <v>264</v>
      </c>
      <c r="E2053" s="420" t="s">
        <v>265</v>
      </c>
      <c r="F2053" s="57" t="s">
        <v>266</v>
      </c>
    </row>
    <row r="2054" spans="1:6" ht="12.75" customHeight="1" x14ac:dyDescent="0.2">
      <c r="A2054" s="3" t="str">
        <f>'A VII.'!$A$148</f>
        <v>2.6</v>
      </c>
      <c r="B2054" s="421" t="str">
        <f>IF($A2054&gt;0, VLOOKUP($A2054,'A VII.'!$A$10:$D$203,2,),"")</f>
        <v>BETONEIRA, CAPACIDADE NOMINAL DE 400L, MOTOR ELÉTRICO TRIFÁSICO DE  2CV - CHI</v>
      </c>
      <c r="C2054" s="114">
        <f>ROUND((0.9461*(0.57+0.5)+(0.78*0.47)),4)</f>
        <v>1.3789</v>
      </c>
      <c r="D2054" s="7" t="str">
        <f>IF($A2054&gt;0, VLOOKUP($A2054,'A VII.'!$A$10:$D$203,3,),"")</f>
        <v>CHI</v>
      </c>
      <c r="E2054" s="85">
        <f>IF($A2054&gt;0, VLOOKUP($A2054,'A VII.'!$A$10:$D$203,4,),"")</f>
        <v>0</v>
      </c>
      <c r="F2054" s="59">
        <f t="shared" ref="F2054:F2056" si="120">ROUND(C2054*E2054,2)</f>
        <v>0</v>
      </c>
    </row>
    <row r="2055" spans="1:6" ht="12.75" customHeight="1" x14ac:dyDescent="0.2">
      <c r="A2055" s="3" t="str">
        <f>'A VII.'!$A$149</f>
        <v>2.7</v>
      </c>
      <c r="B2055" s="421" t="str">
        <f>IF($A2055&gt;0, VLOOKUP($A2055,'A VII.'!$A$10:$D$203,2,),"")</f>
        <v>BETONEIRA, CAPACIDADE NOMINAL DE 400L, MOTOR ELÉTRICO TRIFÁSICO DE  2CV - CHP</v>
      </c>
      <c r="C2055" s="114">
        <f>ROUND((1.0068*(0.57+0.5)+(0.0277*4))+(0.83*0.47),4)</f>
        <v>1.5782</v>
      </c>
      <c r="D2055" s="7" t="str">
        <f>IF($A2055&gt;0, VLOOKUP($A2055,'A VII.'!$A$10:$D$203,3,),"")</f>
        <v>CHP</v>
      </c>
      <c r="E2055" s="85">
        <f>IF($A2055&gt;0, VLOOKUP($A2055,'A VII.'!$A$10:$D$203,4,),"")</f>
        <v>0</v>
      </c>
      <c r="F2055" s="59">
        <f t="shared" si="120"/>
        <v>0</v>
      </c>
    </row>
    <row r="2056" spans="1:6" ht="12.75" customHeight="1" x14ac:dyDescent="0.2">
      <c r="A2056" s="3"/>
      <c r="C2056" s="114"/>
      <c r="E2056" s="85"/>
      <c r="F2056" s="59">
        <f t="shared" si="120"/>
        <v>0</v>
      </c>
    </row>
    <row r="2057" spans="1:6" ht="12.75" customHeight="1" x14ac:dyDescent="0.2">
      <c r="A2057" s="3"/>
      <c r="C2057" s="114"/>
      <c r="E2057" s="85"/>
      <c r="F2057" s="59"/>
    </row>
    <row r="2058" spans="1:6" ht="12.75" customHeight="1" x14ac:dyDescent="0.2">
      <c r="A2058" s="3"/>
      <c r="C2058" s="114"/>
      <c r="E2058" s="85"/>
      <c r="F2058" s="59"/>
    </row>
    <row r="2059" spans="1:6" ht="12.75" customHeight="1" x14ac:dyDescent="0.2">
      <c r="A2059" s="3"/>
      <c r="C2059" s="114"/>
      <c r="E2059" s="85"/>
      <c r="F2059" s="59">
        <f t="shared" ref="F2059" si="121">ROUND(C2059*E2059,2)</f>
        <v>0</v>
      </c>
    </row>
    <row r="2060" spans="1:6" ht="12.75" customHeight="1" x14ac:dyDescent="0.2">
      <c r="A2060" s="3"/>
      <c r="B2060" s="86" t="s">
        <v>258</v>
      </c>
      <c r="C2060" s="87"/>
      <c r="D2060" s="88"/>
      <c r="E2060" s="89"/>
      <c r="F2060" s="90">
        <f>SUM(F2054:F2059)</f>
        <v>0</v>
      </c>
    </row>
    <row r="2061" spans="1:6" ht="12.75" customHeight="1" x14ac:dyDescent="0.2">
      <c r="A2061" s="3"/>
      <c r="B2061" s="91" t="s">
        <v>70</v>
      </c>
      <c r="C2061" s="15">
        <f>$D$8</f>
        <v>0</v>
      </c>
      <c r="D2061" s="92"/>
      <c r="E2061" s="93"/>
      <c r="F2061" s="94">
        <f>ROUND(C2061*F2060,2)</f>
        <v>0</v>
      </c>
    </row>
    <row r="2062" spans="1:6" ht="12.75" customHeight="1" x14ac:dyDescent="0.2">
      <c r="A2062" s="95"/>
      <c r="B2062" s="424" t="s">
        <v>260</v>
      </c>
      <c r="C2062" s="425"/>
      <c r="D2062" s="425"/>
      <c r="E2062" s="426"/>
      <c r="F2062" s="96">
        <f>F2060+F2061</f>
        <v>0</v>
      </c>
    </row>
    <row r="2063" spans="1:6" ht="12.75" customHeight="1" x14ac:dyDescent="0.2">
      <c r="A2063" s="97" t="s">
        <v>54</v>
      </c>
      <c r="B2063" s="427" t="s">
        <v>268</v>
      </c>
      <c r="C2063" s="428" t="s">
        <v>263</v>
      </c>
      <c r="D2063" s="429" t="s">
        <v>264</v>
      </c>
      <c r="E2063" s="430" t="s">
        <v>265</v>
      </c>
      <c r="F2063" s="57" t="s">
        <v>266</v>
      </c>
    </row>
    <row r="2064" spans="1:6" ht="12.75" customHeight="1" x14ac:dyDescent="0.2">
      <c r="A2064" s="3" t="str">
        <f>'A VII.'!$A$192</f>
        <v>3.12</v>
      </c>
      <c r="B2064" s="421" t="str">
        <f>IF($A2064&gt;0, VLOOKUP($A2064,'A VII.'!$A$10:$D$203,2,),"")</f>
        <v>PEDREIRO COM ENCARGOS COMPLEMENTARES</v>
      </c>
      <c r="C2064" s="114">
        <f>ROUND((0.45*25.17)+(2.7132*0.57)+(0.25*0.5)+(0.498*4)+(1.6*0.47),4)</f>
        <v>15.742000000000001</v>
      </c>
      <c r="D2064" s="7" t="str">
        <f>IF($A2064&gt;0, VLOOKUP($A2064,'A VII.'!$A$10:$D$203,3,),"")</f>
        <v>H</v>
      </c>
      <c r="E2064" s="85">
        <f>IF($A2064&gt;0, VLOOKUP($A2064,'A VII.'!$A$10:$D$203,4,),"")</f>
        <v>0</v>
      </c>
      <c r="F2064" s="59">
        <f t="shared" ref="F2064" si="122">ROUND(C2064*E2064,2)</f>
        <v>0</v>
      </c>
    </row>
    <row r="2065" spans="1:6" ht="12.75" customHeight="1" x14ac:dyDescent="0.2">
      <c r="A2065" s="3" t="str">
        <f>'A VII.'!$A$196</f>
        <v>3.16</v>
      </c>
      <c r="B2065" s="421" t="str">
        <f>IF($A2065&gt;0, VLOOKUP($A2065,'A VII.'!$A$10:$D$203,2,),"")</f>
        <v>SERVENTE COM ENCARGOS COMPLEMENTARES</v>
      </c>
      <c r="C2065" s="114">
        <f>ROUND((4.252*2.65)+(0.45*225.17)+(3*1.75)+(1.5*0.61)+(7.5443*0.57)+(2.5*0.5)+(0.896*4)+(2.3986*0.3)+(0.5*8)+(2.53*0.47),4)</f>
        <v>133.8022</v>
      </c>
      <c r="D2065" s="7" t="str">
        <f>IF($A2065&gt;0, VLOOKUP($A2065,'A VII.'!$A$10:$D$203,3,),"")</f>
        <v>H</v>
      </c>
      <c r="E2065" s="85">
        <f>IF($A2065&gt;0, VLOOKUP($A2065,'A VII.'!$A$10:$D$203,4,),"")</f>
        <v>0</v>
      </c>
      <c r="F2065" s="59">
        <f>ROUND(C2065*E2065,2)</f>
        <v>0</v>
      </c>
    </row>
    <row r="2066" spans="1:6" ht="12.75" customHeight="1" x14ac:dyDescent="0.2">
      <c r="A2066" s="3" t="str">
        <f>'A VII.'!$A$186</f>
        <v>3.6</v>
      </c>
      <c r="B2066" s="421" t="str">
        <f>IF($A2066&gt;0, VLOOKUP($A2066,'A VII.'!$A$10:$D$203,2,),"")</f>
        <v>CARPINTEIRO COM ENCARGOS COMPLEMENTARES</v>
      </c>
      <c r="C2066" s="114">
        <f>ROUND((2.256*0.57),4)</f>
        <v>1.2859</v>
      </c>
      <c r="D2066" s="7" t="str">
        <f>IF($A2066&gt;0, VLOOKUP($A2066,'A VII.'!$A$10:$D$203,3,),"")</f>
        <v>H</v>
      </c>
      <c r="E2066" s="85">
        <f>IF($A2066&gt;0, VLOOKUP($A2066,'A VII.'!$A$10:$D$203,4,),"")</f>
        <v>0</v>
      </c>
      <c r="F2066" s="59">
        <f t="shared" ref="F2066:F2069" si="123">ROUND(C2066*E2066,2)</f>
        <v>0</v>
      </c>
    </row>
    <row r="2067" spans="1:6" ht="12.75" customHeight="1" x14ac:dyDescent="0.2">
      <c r="A2067" s="3" t="str">
        <f>'A VII.'!$A$181</f>
        <v>3.1</v>
      </c>
      <c r="B2067" s="421" t="str">
        <f>IF($A2067&gt;0, VLOOKUP($A2067,'A VII.'!$A$10:$D$203,2,),"")</f>
        <v>AJUDANTE COM ENCARGOS COMPLEMENTARES</v>
      </c>
      <c r="C2067" s="114">
        <f>ROUND((0.8*18.74)+(0.0672*6),4)</f>
        <v>15.395200000000001</v>
      </c>
      <c r="D2067" s="7" t="str">
        <f>IF($A2067&gt;0, VLOOKUP($A2067,'A VII.'!$A$10:$D$203,3,),"")</f>
        <v>H</v>
      </c>
      <c r="E2067" s="85">
        <f>IF($A2067&gt;0, VLOOKUP($A2067,'A VII.'!$A$10:$D$203,4,),"")</f>
        <v>0</v>
      </c>
      <c r="F2067" s="59">
        <f t="shared" si="123"/>
        <v>0</v>
      </c>
    </row>
    <row r="2068" spans="1:6" ht="12.75" customHeight="1" x14ac:dyDescent="0.2">
      <c r="A2068" s="3" t="str">
        <f>'A VII.'!$A$184</f>
        <v>3.4</v>
      </c>
      <c r="B2068" s="421" t="str">
        <f>IF($A2068&gt;0, VLOOKUP($A2068,'A VII.'!$A$10:$D$203,2,),"")</f>
        <v>ARMADOR COM ENCARGOS COMPLEMENTARES</v>
      </c>
      <c r="C2068" s="114">
        <f>ROUND((0.04*18.74),4)</f>
        <v>0.74960000000000004</v>
      </c>
      <c r="D2068" s="7" t="str">
        <f>IF($A2068&gt;0, VLOOKUP($A2068,'A VII.'!$A$10:$D$203,3,),"")</f>
        <v>H</v>
      </c>
      <c r="E2068" s="85">
        <f>IF($A2068&gt;0, VLOOKUP($A2068,'A VII.'!$A$10:$D$203,4,),"")</f>
        <v>0</v>
      </c>
      <c r="F2068" s="59">
        <f t="shared" si="123"/>
        <v>0</v>
      </c>
    </row>
    <row r="2069" spans="1:6" ht="12.75" customHeight="1" x14ac:dyDescent="0.2">
      <c r="A2069" s="3" t="str">
        <f>'A VII.'!$A$189</f>
        <v>3.9</v>
      </c>
      <c r="B2069" s="421" t="str">
        <f>IF($A2069&gt;0, VLOOKUP($A2069,'A VII.'!$A$10:$D$203,2,),"")</f>
        <v>ELETRICISTA COM ENCARGOS COMPLEMENTARES</v>
      </c>
      <c r="C2069" s="114">
        <f>ROUND((0.0672*6),4)</f>
        <v>0.4032</v>
      </c>
      <c r="D2069" s="7" t="str">
        <f>IF($A2069&gt;0, VLOOKUP($A2069,'A VII.'!$A$10:$D$203,3,),"")</f>
        <v>H</v>
      </c>
      <c r="E2069" s="85">
        <f>IF($A2069&gt;0, VLOOKUP($A2069,'A VII.'!$A$10:$D$203,4,),"")</f>
        <v>0</v>
      </c>
      <c r="F2069" s="59">
        <f t="shared" si="123"/>
        <v>0</v>
      </c>
    </row>
    <row r="2070" spans="1:6" ht="12.75" customHeight="1" x14ac:dyDescent="0.2">
      <c r="A2070" s="3"/>
      <c r="B2070" s="86" t="s">
        <v>258</v>
      </c>
      <c r="C2070" s="87"/>
      <c r="D2070" s="88"/>
      <c r="E2070" s="89"/>
      <c r="F2070" s="90">
        <f>SUM(F2064:F2069)</f>
        <v>0</v>
      </c>
    </row>
    <row r="2071" spans="1:6" ht="12.75" customHeight="1" x14ac:dyDescent="0.2">
      <c r="A2071" s="3"/>
      <c r="B2071" s="91" t="s">
        <v>261</v>
      </c>
      <c r="C2071" s="15">
        <f>'A IX.'!$C$45</f>
        <v>0</v>
      </c>
      <c r="D2071" s="92"/>
      <c r="E2071" s="93"/>
      <c r="F2071" s="94">
        <f>ROUND(F2070*C2071,2)</f>
        <v>0</v>
      </c>
    </row>
    <row r="2072" spans="1:6" ht="12.75" customHeight="1" x14ac:dyDescent="0.2">
      <c r="A2072" s="3"/>
      <c r="B2072" s="91" t="s">
        <v>70</v>
      </c>
      <c r="C2072" s="15">
        <f>$D$8</f>
        <v>0</v>
      </c>
      <c r="D2072" s="92"/>
      <c r="E2072" s="93"/>
      <c r="F2072" s="94">
        <f>ROUND(SUM(F2070:F2071)*C2072,2)</f>
        <v>0</v>
      </c>
    </row>
    <row r="2073" spans="1:6" ht="12.75" customHeight="1" thickBot="1" x14ac:dyDescent="0.25">
      <c r="A2073" s="98"/>
      <c r="B2073" s="99" t="s">
        <v>262</v>
      </c>
      <c r="C2073" s="100"/>
      <c r="D2073" s="100"/>
      <c r="E2073" s="101"/>
      <c r="F2073" s="102">
        <f>SUM(F2070:F2072)</f>
        <v>0</v>
      </c>
    </row>
    <row r="2074" spans="1:6" ht="12.75" customHeight="1" thickBot="1" x14ac:dyDescent="0.25">
      <c r="A2074" s="81"/>
      <c r="B2074" s="82"/>
      <c r="C2074" s="83"/>
      <c r="D2074" s="83"/>
      <c r="E2074" s="84"/>
      <c r="F2074" s="103"/>
    </row>
    <row r="2075" spans="1:6" ht="30" customHeight="1" x14ac:dyDescent="0.2">
      <c r="A2075" s="5" t="str">
        <f>'A IV.A'!A72</f>
        <v>3.4.1</v>
      </c>
      <c r="B2075" s="416" t="str">
        <f>'A IV.A'!B72</f>
        <v xml:space="preserve">REATERRO E APILOAMENTO MANUAL DE SOLO </v>
      </c>
      <c r="C2075" s="526" t="s">
        <v>269</v>
      </c>
      <c r="D2075" s="527"/>
      <c r="E2075" s="417" t="str">
        <f>'A IV.A'!$C$72</f>
        <v>M3</v>
      </c>
      <c r="F2075" s="58">
        <f>ROUND(F2095+F2109+F2121,2)</f>
        <v>0</v>
      </c>
    </row>
    <row r="2076" spans="1:6" ht="12.75" customHeight="1" x14ac:dyDescent="0.2">
      <c r="A2076" s="1" t="s">
        <v>17</v>
      </c>
      <c r="B2076" s="418" t="s">
        <v>162</v>
      </c>
      <c r="C2076" s="419" t="s">
        <v>263</v>
      </c>
      <c r="D2076" s="419" t="s">
        <v>264</v>
      </c>
      <c r="E2076" s="420" t="s">
        <v>265</v>
      </c>
      <c r="F2076" s="57" t="s">
        <v>266</v>
      </c>
    </row>
    <row r="2077" spans="1:6" ht="12.75" customHeight="1" x14ac:dyDescent="0.2">
      <c r="A2077" s="6"/>
      <c r="B2077" s="421"/>
      <c r="C2077" s="114"/>
      <c r="D2077" s="7"/>
      <c r="E2077" s="85"/>
      <c r="F2077" s="59">
        <f>ROUND(C2077*E2077,2)</f>
        <v>0</v>
      </c>
    </row>
    <row r="2078" spans="1:6" ht="12.75" customHeight="1" x14ac:dyDescent="0.2">
      <c r="A2078" s="6"/>
      <c r="B2078" s="421"/>
      <c r="C2078" s="114"/>
      <c r="D2078" s="7"/>
      <c r="E2078" s="85"/>
      <c r="F2078" s="59">
        <f t="shared" ref="F2078:F2092" si="124">ROUND(C2078*E2078,2)</f>
        <v>0</v>
      </c>
    </row>
    <row r="2079" spans="1:6" ht="12.75" customHeight="1" x14ac:dyDescent="0.2">
      <c r="A2079" s="6"/>
      <c r="B2079" s="421"/>
      <c r="C2079" s="114"/>
      <c r="D2079" s="7"/>
      <c r="E2079" s="85"/>
      <c r="F2079" s="59">
        <f t="shared" si="124"/>
        <v>0</v>
      </c>
    </row>
    <row r="2080" spans="1:6" ht="12.75" customHeight="1" x14ac:dyDescent="0.2">
      <c r="A2080" s="6"/>
      <c r="B2080" s="421"/>
      <c r="C2080" s="114"/>
      <c r="D2080" s="7"/>
      <c r="E2080" s="85"/>
      <c r="F2080" s="59">
        <f t="shared" si="124"/>
        <v>0</v>
      </c>
    </row>
    <row r="2081" spans="1:6" ht="12.75" customHeight="1" x14ac:dyDescent="0.2">
      <c r="A2081" s="6"/>
      <c r="B2081" s="421"/>
      <c r="C2081" s="114"/>
      <c r="D2081" s="7"/>
      <c r="E2081" s="85"/>
      <c r="F2081" s="59">
        <f t="shared" si="124"/>
        <v>0</v>
      </c>
    </row>
    <row r="2082" spans="1:6" ht="12.75" customHeight="1" x14ac:dyDescent="0.2">
      <c r="A2082" s="6"/>
      <c r="B2082" s="421"/>
      <c r="C2082" s="114"/>
      <c r="D2082" s="7"/>
      <c r="E2082" s="85"/>
      <c r="F2082" s="59">
        <f t="shared" si="124"/>
        <v>0</v>
      </c>
    </row>
    <row r="2083" spans="1:6" ht="12.75" customHeight="1" x14ac:dyDescent="0.2">
      <c r="A2083" s="6"/>
      <c r="B2083" s="421"/>
      <c r="C2083" s="114"/>
      <c r="D2083" s="7"/>
      <c r="E2083" s="85"/>
      <c r="F2083" s="59">
        <f t="shared" si="124"/>
        <v>0</v>
      </c>
    </row>
    <row r="2084" spans="1:6" ht="12.75" customHeight="1" x14ac:dyDescent="0.2">
      <c r="A2084" s="6"/>
      <c r="B2084" s="421"/>
      <c r="C2084" s="114"/>
      <c r="D2084" s="7"/>
      <c r="E2084" s="85"/>
      <c r="F2084" s="59">
        <f t="shared" si="124"/>
        <v>0</v>
      </c>
    </row>
    <row r="2085" spans="1:6" ht="12.75" customHeight="1" x14ac:dyDescent="0.2">
      <c r="A2085" s="6"/>
      <c r="B2085" s="421"/>
      <c r="C2085" s="114"/>
      <c r="D2085" s="7"/>
      <c r="E2085" s="85"/>
      <c r="F2085" s="59">
        <f t="shared" si="124"/>
        <v>0</v>
      </c>
    </row>
    <row r="2086" spans="1:6" ht="12.75" customHeight="1" x14ac:dyDescent="0.2">
      <c r="A2086" s="6"/>
      <c r="B2086" s="421"/>
      <c r="C2086" s="114"/>
      <c r="D2086" s="7"/>
      <c r="E2086" s="85"/>
      <c r="F2086" s="59">
        <f t="shared" si="124"/>
        <v>0</v>
      </c>
    </row>
    <row r="2087" spans="1:6" ht="12.75" customHeight="1" x14ac:dyDescent="0.2">
      <c r="A2087" s="6"/>
      <c r="B2087" s="421"/>
      <c r="C2087" s="114"/>
      <c r="D2087" s="7"/>
      <c r="E2087" s="85"/>
      <c r="F2087" s="59">
        <f t="shared" si="124"/>
        <v>0</v>
      </c>
    </row>
    <row r="2088" spans="1:6" ht="12.75" customHeight="1" x14ac:dyDescent="0.2">
      <c r="A2088" s="6"/>
      <c r="B2088" s="421"/>
      <c r="C2088" s="114"/>
      <c r="D2088" s="423"/>
      <c r="E2088" s="85"/>
      <c r="F2088" s="59">
        <f t="shared" si="124"/>
        <v>0</v>
      </c>
    </row>
    <row r="2089" spans="1:6" ht="12.75" customHeight="1" x14ac:dyDescent="0.2">
      <c r="A2089" s="6"/>
      <c r="B2089" s="421"/>
      <c r="C2089" s="114"/>
      <c r="D2089" s="423"/>
      <c r="E2089" s="85"/>
      <c r="F2089" s="59">
        <f t="shared" si="124"/>
        <v>0</v>
      </c>
    </row>
    <row r="2090" spans="1:6" ht="12.75" customHeight="1" x14ac:dyDescent="0.2">
      <c r="A2090" s="6"/>
      <c r="B2090" s="421"/>
      <c r="C2090" s="114"/>
      <c r="D2090" s="423"/>
      <c r="E2090" s="85"/>
      <c r="F2090" s="59">
        <f t="shared" si="124"/>
        <v>0</v>
      </c>
    </row>
    <row r="2091" spans="1:6" ht="12.75" customHeight="1" x14ac:dyDescent="0.2">
      <c r="A2091" s="3"/>
      <c r="C2091" s="114"/>
      <c r="E2091" s="85"/>
      <c r="F2091" s="59">
        <f t="shared" si="124"/>
        <v>0</v>
      </c>
    </row>
    <row r="2092" spans="1:6" ht="12.75" customHeight="1" x14ac:dyDescent="0.2">
      <c r="A2092" s="3"/>
      <c r="C2092" s="114"/>
      <c r="E2092" s="85"/>
      <c r="F2092" s="59">
        <f t="shared" si="124"/>
        <v>0</v>
      </c>
    </row>
    <row r="2093" spans="1:6" ht="12.75" customHeight="1" x14ac:dyDescent="0.2">
      <c r="A2093" s="3"/>
      <c r="B2093" s="86" t="s">
        <v>258</v>
      </c>
      <c r="C2093" s="87"/>
      <c r="D2093" s="88"/>
      <c r="E2093" s="89"/>
      <c r="F2093" s="90">
        <f>SUM(F2077:F2092)</f>
        <v>0</v>
      </c>
    </row>
    <row r="2094" spans="1:6" ht="12.75" customHeight="1" x14ac:dyDescent="0.2">
      <c r="A2094" s="3"/>
      <c r="B2094" s="91" t="s">
        <v>70</v>
      </c>
      <c r="C2094" s="15">
        <f>$D$8</f>
        <v>0</v>
      </c>
      <c r="D2094" s="92"/>
      <c r="E2094" s="93"/>
      <c r="F2094" s="94">
        <f>ROUND(F2093*C2094,2)</f>
        <v>0</v>
      </c>
    </row>
    <row r="2095" spans="1:6" ht="12.75" customHeight="1" x14ac:dyDescent="0.2">
      <c r="A2095" s="95"/>
      <c r="B2095" s="424" t="s">
        <v>259</v>
      </c>
      <c r="C2095" s="425"/>
      <c r="D2095" s="425"/>
      <c r="E2095" s="426"/>
      <c r="F2095" s="96">
        <f>F2093+F2094</f>
        <v>0</v>
      </c>
    </row>
    <row r="2096" spans="1:6" ht="12.75" customHeight="1" x14ac:dyDescent="0.2">
      <c r="A2096" s="1" t="s">
        <v>5</v>
      </c>
      <c r="B2096" s="418" t="s">
        <v>267</v>
      </c>
      <c r="C2096" s="419" t="s">
        <v>263</v>
      </c>
      <c r="D2096" s="419" t="s">
        <v>264</v>
      </c>
      <c r="E2096" s="420" t="s">
        <v>265</v>
      </c>
      <c r="F2096" s="57" t="s">
        <v>266</v>
      </c>
    </row>
    <row r="2097" spans="1:6" ht="12.75" customHeight="1" x14ac:dyDescent="0.2">
      <c r="A2097" s="3"/>
      <c r="B2097" s="71"/>
      <c r="C2097" s="114"/>
      <c r="E2097" s="85"/>
      <c r="F2097" s="59">
        <f t="shared" ref="F2097:F2106" si="125">ROUND(C2097*E2097,2)</f>
        <v>0</v>
      </c>
    </row>
    <row r="2098" spans="1:6" ht="12.75" customHeight="1" x14ac:dyDescent="0.2">
      <c r="A2098" s="3"/>
      <c r="C2098" s="114"/>
      <c r="E2098" s="85"/>
      <c r="F2098" s="59">
        <f t="shared" si="125"/>
        <v>0</v>
      </c>
    </row>
    <row r="2099" spans="1:6" ht="12.75" customHeight="1" x14ac:dyDescent="0.2">
      <c r="A2099" s="3"/>
      <c r="C2099" s="114"/>
      <c r="E2099" s="85"/>
      <c r="F2099" s="59">
        <f t="shared" si="125"/>
        <v>0</v>
      </c>
    </row>
    <row r="2100" spans="1:6" ht="12.75" customHeight="1" x14ac:dyDescent="0.2">
      <c r="A2100" s="3"/>
      <c r="C2100" s="114"/>
      <c r="E2100" s="85"/>
      <c r="F2100" s="59">
        <f t="shared" si="125"/>
        <v>0</v>
      </c>
    </row>
    <row r="2101" spans="1:6" ht="12.75" customHeight="1" x14ac:dyDescent="0.2">
      <c r="A2101" s="3"/>
      <c r="C2101" s="114"/>
      <c r="E2101" s="85"/>
      <c r="F2101" s="59">
        <f t="shared" si="125"/>
        <v>0</v>
      </c>
    </row>
    <row r="2102" spans="1:6" ht="12.75" customHeight="1" x14ac:dyDescent="0.2">
      <c r="A2102" s="3"/>
      <c r="C2102" s="114"/>
      <c r="E2102" s="85"/>
      <c r="F2102" s="59">
        <f t="shared" si="125"/>
        <v>0</v>
      </c>
    </row>
    <row r="2103" spans="1:6" ht="12.75" customHeight="1" x14ac:dyDescent="0.2">
      <c r="A2103" s="3"/>
      <c r="C2103" s="114"/>
      <c r="E2103" s="85"/>
      <c r="F2103" s="59">
        <f t="shared" si="125"/>
        <v>0</v>
      </c>
    </row>
    <row r="2104" spans="1:6" ht="12.75" customHeight="1" x14ac:dyDescent="0.2">
      <c r="A2104" s="3"/>
      <c r="C2104" s="114"/>
      <c r="E2104" s="85"/>
      <c r="F2104" s="59">
        <f t="shared" si="125"/>
        <v>0</v>
      </c>
    </row>
    <row r="2105" spans="1:6" ht="12.75" customHeight="1" x14ac:dyDescent="0.2">
      <c r="A2105" s="3"/>
      <c r="C2105" s="114"/>
      <c r="E2105" s="85"/>
      <c r="F2105" s="59">
        <f t="shared" si="125"/>
        <v>0</v>
      </c>
    </row>
    <row r="2106" spans="1:6" ht="12.75" customHeight="1" x14ac:dyDescent="0.2">
      <c r="A2106" s="3"/>
      <c r="C2106" s="114"/>
      <c r="E2106" s="85"/>
      <c r="F2106" s="59">
        <f t="shared" si="125"/>
        <v>0</v>
      </c>
    </row>
    <row r="2107" spans="1:6" ht="12.75" customHeight="1" x14ac:dyDescent="0.2">
      <c r="A2107" s="3"/>
      <c r="B2107" s="86" t="s">
        <v>258</v>
      </c>
      <c r="C2107" s="87"/>
      <c r="D2107" s="88"/>
      <c r="E2107" s="89"/>
      <c r="F2107" s="90">
        <f>SUM(F2097:F2106)</f>
        <v>0</v>
      </c>
    </row>
    <row r="2108" spans="1:6" ht="12.75" customHeight="1" x14ac:dyDescent="0.2">
      <c r="A2108" s="3"/>
      <c r="B2108" s="91" t="s">
        <v>70</v>
      </c>
      <c r="C2108" s="15">
        <f>$D$8</f>
        <v>0</v>
      </c>
      <c r="D2108" s="92"/>
      <c r="E2108" s="93"/>
      <c r="F2108" s="94">
        <f>ROUND(C2108*F2107,2)</f>
        <v>0</v>
      </c>
    </row>
    <row r="2109" spans="1:6" ht="12.75" customHeight="1" x14ac:dyDescent="0.2">
      <c r="A2109" s="95"/>
      <c r="B2109" s="424" t="s">
        <v>260</v>
      </c>
      <c r="C2109" s="425"/>
      <c r="D2109" s="425"/>
      <c r="E2109" s="426"/>
      <c r="F2109" s="96">
        <f>F2107+F2108</f>
        <v>0</v>
      </c>
    </row>
    <row r="2110" spans="1:6" ht="12.75" customHeight="1" x14ac:dyDescent="0.2">
      <c r="A2110" s="97" t="s">
        <v>54</v>
      </c>
      <c r="B2110" s="427" t="s">
        <v>268</v>
      </c>
      <c r="C2110" s="428" t="s">
        <v>263</v>
      </c>
      <c r="D2110" s="429" t="s">
        <v>264</v>
      </c>
      <c r="E2110" s="430" t="s">
        <v>265</v>
      </c>
      <c r="F2110" s="57" t="s">
        <v>266</v>
      </c>
    </row>
    <row r="2111" spans="1:6" ht="12.75" customHeight="1" x14ac:dyDescent="0.2">
      <c r="A2111" s="3" t="str">
        <f>'A VII.'!$A$196</f>
        <v>3.16</v>
      </c>
      <c r="B2111" s="74" t="s">
        <v>189</v>
      </c>
      <c r="C2111" s="114">
        <v>2.3986000000000001</v>
      </c>
      <c r="D2111" s="54" t="str">
        <f>VLOOKUP(A2111,'A VII.'!$A$10:$D$199,3,FALSE)</f>
        <v>H</v>
      </c>
      <c r="E2111" s="85">
        <f>'A VII.'!$D$196</f>
        <v>0</v>
      </c>
      <c r="F2111" s="59">
        <f t="shared" ref="F2111:F2117" si="126">ROUND(C2111*E2111,2)</f>
        <v>0</v>
      </c>
    </row>
    <row r="2112" spans="1:6" ht="12.75" customHeight="1" x14ac:dyDescent="0.2">
      <c r="A2112" s="3"/>
      <c r="C2112" s="114"/>
      <c r="E2112" s="85"/>
      <c r="F2112" s="59">
        <f t="shared" si="126"/>
        <v>0</v>
      </c>
    </row>
    <row r="2113" spans="1:6" ht="12.75" customHeight="1" x14ac:dyDescent="0.2">
      <c r="A2113" s="3"/>
      <c r="C2113" s="114"/>
      <c r="E2113" s="85"/>
      <c r="F2113" s="59">
        <f t="shared" si="126"/>
        <v>0</v>
      </c>
    </row>
    <row r="2114" spans="1:6" ht="12.75" customHeight="1" x14ac:dyDescent="0.2">
      <c r="A2114" s="3"/>
      <c r="C2114" s="114"/>
      <c r="E2114" s="85"/>
      <c r="F2114" s="59">
        <f t="shared" si="126"/>
        <v>0</v>
      </c>
    </row>
    <row r="2115" spans="1:6" ht="12.75" customHeight="1" x14ac:dyDescent="0.2">
      <c r="A2115" s="3"/>
      <c r="C2115" s="114"/>
      <c r="E2115" s="85"/>
      <c r="F2115" s="59">
        <f t="shared" si="126"/>
        <v>0</v>
      </c>
    </row>
    <row r="2116" spans="1:6" ht="12.75" customHeight="1" x14ac:dyDescent="0.2">
      <c r="A2116" s="3"/>
      <c r="C2116" s="114"/>
      <c r="E2116" s="85"/>
      <c r="F2116" s="59">
        <f t="shared" si="126"/>
        <v>0</v>
      </c>
    </row>
    <row r="2117" spans="1:6" ht="12.75" customHeight="1" x14ac:dyDescent="0.2">
      <c r="A2117" s="3"/>
      <c r="C2117" s="114"/>
      <c r="E2117" s="85"/>
      <c r="F2117" s="59">
        <f t="shared" si="126"/>
        <v>0</v>
      </c>
    </row>
    <row r="2118" spans="1:6" ht="12.75" customHeight="1" x14ac:dyDescent="0.2">
      <c r="A2118" s="3"/>
      <c r="B2118" s="86" t="s">
        <v>258</v>
      </c>
      <c r="C2118" s="87"/>
      <c r="D2118" s="88"/>
      <c r="E2118" s="89"/>
      <c r="F2118" s="90">
        <f>SUM(F2111:F2117)</f>
        <v>0</v>
      </c>
    </row>
    <row r="2119" spans="1:6" ht="12.75" customHeight="1" x14ac:dyDescent="0.2">
      <c r="A2119" s="3"/>
      <c r="B2119" s="91" t="s">
        <v>261</v>
      </c>
      <c r="C2119" s="15">
        <f>'A IX.'!$C$45</f>
        <v>0</v>
      </c>
      <c r="D2119" s="92"/>
      <c r="E2119" s="93"/>
      <c r="F2119" s="94">
        <f>ROUND(F2118*C2119,2)</f>
        <v>0</v>
      </c>
    </row>
    <row r="2120" spans="1:6" ht="12.75" customHeight="1" x14ac:dyDescent="0.2">
      <c r="A2120" s="3"/>
      <c r="B2120" s="91" t="s">
        <v>70</v>
      </c>
      <c r="C2120" s="15">
        <f>$D$8</f>
        <v>0</v>
      </c>
      <c r="D2120" s="92"/>
      <c r="E2120" s="93"/>
      <c r="F2120" s="94">
        <f>ROUND(SUM(F2118:F2119)*C2120,2)</f>
        <v>0</v>
      </c>
    </row>
    <row r="2121" spans="1:6" ht="12.75" customHeight="1" thickBot="1" x14ac:dyDescent="0.25">
      <c r="A2121" s="98"/>
      <c r="B2121" s="99" t="s">
        <v>262</v>
      </c>
      <c r="C2121" s="100"/>
      <c r="D2121" s="100"/>
      <c r="E2121" s="101"/>
      <c r="F2121" s="102">
        <f>SUM(F2118:F2120)</f>
        <v>0</v>
      </c>
    </row>
    <row r="2122" spans="1:6" ht="12.75" customHeight="1" thickBot="1" x14ac:dyDescent="0.25">
      <c r="A2122" s="81"/>
      <c r="B2122" s="82"/>
      <c r="C2122" s="83"/>
      <c r="D2122" s="83"/>
      <c r="E2122" s="84"/>
      <c r="F2122" s="103"/>
    </row>
    <row r="2123" spans="1:6" ht="30" customHeight="1" x14ac:dyDescent="0.2">
      <c r="A2123" s="5" t="str">
        <f>'A IV.A'!A73</f>
        <v>3.4.2</v>
      </c>
      <c r="B2123" s="416" t="str">
        <f>'A IV.A'!B73</f>
        <v xml:space="preserve">REATERRO MANUAL COM COMPACTAÇÃO MECANIZADA DE SOLO, SEM CONTROLE TECNOLÓGICO </v>
      </c>
      <c r="C2123" s="526" t="s">
        <v>269</v>
      </c>
      <c r="D2123" s="527"/>
      <c r="E2123" s="417" t="str">
        <f>'A IV.A'!$C$73</f>
        <v>M3</v>
      </c>
      <c r="F2123" s="58">
        <f>ROUND(F2143+F2157+F2169,2)</f>
        <v>0</v>
      </c>
    </row>
    <row r="2124" spans="1:6" ht="12.75" customHeight="1" x14ac:dyDescent="0.2">
      <c r="A2124" s="1" t="s">
        <v>17</v>
      </c>
      <c r="B2124" s="418" t="s">
        <v>162</v>
      </c>
      <c r="C2124" s="419" t="s">
        <v>263</v>
      </c>
      <c r="D2124" s="419" t="s">
        <v>264</v>
      </c>
      <c r="E2124" s="420" t="s">
        <v>265</v>
      </c>
      <c r="F2124" s="57" t="s">
        <v>266</v>
      </c>
    </row>
    <row r="2125" spans="1:6" ht="12.75" customHeight="1" x14ac:dyDescent="0.2">
      <c r="A2125" s="6"/>
      <c r="B2125" s="421"/>
      <c r="C2125" s="114"/>
      <c r="D2125" s="7"/>
      <c r="E2125" s="85"/>
      <c r="F2125" s="59">
        <f>ROUND(C2125*E2125,2)</f>
        <v>0</v>
      </c>
    </row>
    <row r="2126" spans="1:6" ht="12.75" customHeight="1" x14ac:dyDescent="0.2">
      <c r="A2126" s="6"/>
      <c r="B2126" s="421"/>
      <c r="C2126" s="114"/>
      <c r="D2126" s="7"/>
      <c r="E2126" s="85"/>
      <c r="F2126" s="59">
        <f t="shared" ref="F2126:F2140" si="127">ROUND(C2126*E2126,2)</f>
        <v>0</v>
      </c>
    </row>
    <row r="2127" spans="1:6" ht="12.75" customHeight="1" x14ac:dyDescent="0.2">
      <c r="A2127" s="6"/>
      <c r="B2127" s="421"/>
      <c r="C2127" s="114"/>
      <c r="D2127" s="7"/>
      <c r="E2127" s="85"/>
      <c r="F2127" s="59">
        <f t="shared" si="127"/>
        <v>0</v>
      </c>
    </row>
    <row r="2128" spans="1:6" ht="12.75" customHeight="1" x14ac:dyDescent="0.2">
      <c r="A2128" s="6"/>
      <c r="B2128" s="421"/>
      <c r="C2128" s="114"/>
      <c r="D2128" s="7"/>
      <c r="E2128" s="85"/>
      <c r="F2128" s="59">
        <f t="shared" si="127"/>
        <v>0</v>
      </c>
    </row>
    <row r="2129" spans="1:6" ht="12.75" customHeight="1" x14ac:dyDescent="0.2">
      <c r="A2129" s="6"/>
      <c r="B2129" s="421"/>
      <c r="C2129" s="114"/>
      <c r="D2129" s="7"/>
      <c r="E2129" s="85"/>
      <c r="F2129" s="59">
        <f t="shared" si="127"/>
        <v>0</v>
      </c>
    </row>
    <row r="2130" spans="1:6" ht="12.75" customHeight="1" x14ac:dyDescent="0.2">
      <c r="A2130" s="6"/>
      <c r="B2130" s="421"/>
      <c r="C2130" s="114"/>
      <c r="D2130" s="7"/>
      <c r="E2130" s="85"/>
      <c r="F2130" s="59">
        <f t="shared" si="127"/>
        <v>0</v>
      </c>
    </row>
    <row r="2131" spans="1:6" ht="12.75" customHeight="1" x14ac:dyDescent="0.2">
      <c r="A2131" s="6"/>
      <c r="B2131" s="421"/>
      <c r="C2131" s="114"/>
      <c r="D2131" s="7"/>
      <c r="E2131" s="85"/>
      <c r="F2131" s="59">
        <f t="shared" si="127"/>
        <v>0</v>
      </c>
    </row>
    <row r="2132" spans="1:6" ht="12.75" customHeight="1" x14ac:dyDescent="0.2">
      <c r="A2132" s="6"/>
      <c r="B2132" s="421"/>
      <c r="C2132" s="114"/>
      <c r="D2132" s="7"/>
      <c r="E2132" s="85"/>
      <c r="F2132" s="59">
        <f t="shared" si="127"/>
        <v>0</v>
      </c>
    </row>
    <row r="2133" spans="1:6" ht="12.75" customHeight="1" x14ac:dyDescent="0.2">
      <c r="A2133" s="6"/>
      <c r="B2133" s="421"/>
      <c r="C2133" s="114"/>
      <c r="D2133" s="7"/>
      <c r="E2133" s="85"/>
      <c r="F2133" s="59">
        <f t="shared" si="127"/>
        <v>0</v>
      </c>
    </row>
    <row r="2134" spans="1:6" ht="12.75" customHeight="1" x14ac:dyDescent="0.2">
      <c r="A2134" s="6"/>
      <c r="B2134" s="421"/>
      <c r="C2134" s="114"/>
      <c r="D2134" s="7"/>
      <c r="E2134" s="85"/>
      <c r="F2134" s="59">
        <f t="shared" si="127"/>
        <v>0</v>
      </c>
    </row>
    <row r="2135" spans="1:6" ht="12.75" customHeight="1" x14ac:dyDescent="0.2">
      <c r="A2135" s="6"/>
      <c r="B2135" s="421"/>
      <c r="C2135" s="114"/>
      <c r="D2135" s="7"/>
      <c r="E2135" s="85"/>
      <c r="F2135" s="59">
        <f t="shared" si="127"/>
        <v>0</v>
      </c>
    </row>
    <row r="2136" spans="1:6" ht="12.75" customHeight="1" x14ac:dyDescent="0.2">
      <c r="A2136" s="6"/>
      <c r="B2136" s="421"/>
      <c r="C2136" s="114"/>
      <c r="D2136" s="423"/>
      <c r="E2136" s="85"/>
      <c r="F2136" s="59">
        <f t="shared" si="127"/>
        <v>0</v>
      </c>
    </row>
    <row r="2137" spans="1:6" ht="12.75" customHeight="1" x14ac:dyDescent="0.2">
      <c r="A2137" s="6"/>
      <c r="B2137" s="421"/>
      <c r="C2137" s="114"/>
      <c r="D2137" s="423"/>
      <c r="E2137" s="85"/>
      <c r="F2137" s="59">
        <f t="shared" si="127"/>
        <v>0</v>
      </c>
    </row>
    <row r="2138" spans="1:6" ht="12.75" customHeight="1" x14ac:dyDescent="0.2">
      <c r="A2138" s="6"/>
      <c r="B2138" s="421"/>
      <c r="C2138" s="114"/>
      <c r="D2138" s="423"/>
      <c r="E2138" s="85"/>
      <c r="F2138" s="59">
        <f t="shared" si="127"/>
        <v>0</v>
      </c>
    </row>
    <row r="2139" spans="1:6" ht="12.75" customHeight="1" x14ac:dyDescent="0.2">
      <c r="A2139" s="3"/>
      <c r="C2139" s="114"/>
      <c r="E2139" s="85"/>
      <c r="F2139" s="59">
        <f t="shared" si="127"/>
        <v>0</v>
      </c>
    </row>
    <row r="2140" spans="1:6" ht="12.75" customHeight="1" x14ac:dyDescent="0.2">
      <c r="A2140" s="3"/>
      <c r="C2140" s="114"/>
      <c r="E2140" s="85"/>
      <c r="F2140" s="59">
        <f t="shared" si="127"/>
        <v>0</v>
      </c>
    </row>
    <row r="2141" spans="1:6" ht="12.75" customHeight="1" x14ac:dyDescent="0.2">
      <c r="A2141" s="3"/>
      <c r="B2141" s="86" t="s">
        <v>258</v>
      </c>
      <c r="C2141" s="87"/>
      <c r="D2141" s="88"/>
      <c r="E2141" s="89"/>
      <c r="F2141" s="90">
        <f>SUM(F2125:F2140)</f>
        <v>0</v>
      </c>
    </row>
    <row r="2142" spans="1:6" ht="12.75" customHeight="1" x14ac:dyDescent="0.2">
      <c r="A2142" s="3"/>
      <c r="B2142" s="91" t="s">
        <v>70</v>
      </c>
      <c r="C2142" s="15">
        <f>$D$8</f>
        <v>0</v>
      </c>
      <c r="D2142" s="92"/>
      <c r="E2142" s="93"/>
      <c r="F2142" s="94">
        <f>ROUND(F2141*C2142,2)</f>
        <v>0</v>
      </c>
    </row>
    <row r="2143" spans="1:6" ht="12.75" customHeight="1" x14ac:dyDescent="0.2">
      <c r="A2143" s="95"/>
      <c r="B2143" s="424" t="s">
        <v>259</v>
      </c>
      <c r="C2143" s="425"/>
      <c r="D2143" s="425"/>
      <c r="E2143" s="426"/>
      <c r="F2143" s="96">
        <f>F2141+F2142</f>
        <v>0</v>
      </c>
    </row>
    <row r="2144" spans="1:6" ht="12.75" customHeight="1" x14ac:dyDescent="0.2">
      <c r="A2144" s="1" t="s">
        <v>5</v>
      </c>
      <c r="B2144" s="418" t="s">
        <v>267</v>
      </c>
      <c r="C2144" s="419" t="s">
        <v>263</v>
      </c>
      <c r="D2144" s="419" t="s">
        <v>264</v>
      </c>
      <c r="E2144" s="420" t="s">
        <v>265</v>
      </c>
      <c r="F2144" s="57" t="s">
        <v>266</v>
      </c>
    </row>
    <row r="2145" spans="1:6" ht="12.75" customHeight="1" x14ac:dyDescent="0.2">
      <c r="A2145" s="3" t="str">
        <f>'A VII.'!$A$154</f>
        <v>2.12</v>
      </c>
      <c r="B2145" s="71" t="str">
        <f>VLOOKUP(A2145,'A VII.'!$A$10:$D$199,2,FALSE)</f>
        <v>COMPACTADOR A PERCUSSÃO TIPO SAPO MECÂNICO 3CV - CHP</v>
      </c>
      <c r="C2145" s="114">
        <v>0.4</v>
      </c>
      <c r="D2145" s="54" t="str">
        <f>VLOOKUP(A2145,'A VII.'!$A$10:$D$199,3,FALSE)</f>
        <v>CHP</v>
      </c>
      <c r="E2145" s="85">
        <f>'A VII.'!$D$154</f>
        <v>0</v>
      </c>
      <c r="F2145" s="59">
        <f t="shared" ref="F2145:F2154" si="128">ROUND(C2145*E2145,2)</f>
        <v>0</v>
      </c>
    </row>
    <row r="2146" spans="1:6" ht="12.75" customHeight="1" x14ac:dyDescent="0.2">
      <c r="A2146" s="3"/>
      <c r="C2146" s="114"/>
      <c r="E2146" s="85"/>
      <c r="F2146" s="59">
        <f t="shared" si="128"/>
        <v>0</v>
      </c>
    </row>
    <row r="2147" spans="1:6" ht="12.75" customHeight="1" x14ac:dyDescent="0.2">
      <c r="A2147" s="3"/>
      <c r="C2147" s="114"/>
      <c r="E2147" s="85"/>
      <c r="F2147" s="59">
        <f t="shared" si="128"/>
        <v>0</v>
      </c>
    </row>
    <row r="2148" spans="1:6" ht="12.75" customHeight="1" x14ac:dyDescent="0.2">
      <c r="A2148" s="3"/>
      <c r="C2148" s="114"/>
      <c r="E2148" s="85"/>
      <c r="F2148" s="59">
        <f t="shared" si="128"/>
        <v>0</v>
      </c>
    </row>
    <row r="2149" spans="1:6" ht="12.75" customHeight="1" x14ac:dyDescent="0.2">
      <c r="A2149" s="3"/>
      <c r="C2149" s="114"/>
      <c r="E2149" s="85"/>
      <c r="F2149" s="59">
        <f t="shared" si="128"/>
        <v>0</v>
      </c>
    </row>
    <row r="2150" spans="1:6" ht="12.75" customHeight="1" x14ac:dyDescent="0.2">
      <c r="A2150" s="3"/>
      <c r="C2150" s="114"/>
      <c r="E2150" s="85"/>
      <c r="F2150" s="59">
        <f t="shared" si="128"/>
        <v>0</v>
      </c>
    </row>
    <row r="2151" spans="1:6" ht="12.75" customHeight="1" x14ac:dyDescent="0.2">
      <c r="A2151" s="3"/>
      <c r="C2151" s="114"/>
      <c r="E2151" s="85"/>
      <c r="F2151" s="59">
        <f t="shared" si="128"/>
        <v>0</v>
      </c>
    </row>
    <row r="2152" spans="1:6" ht="12.75" customHeight="1" x14ac:dyDescent="0.2">
      <c r="A2152" s="3"/>
      <c r="C2152" s="114"/>
      <c r="E2152" s="85"/>
      <c r="F2152" s="59">
        <f t="shared" si="128"/>
        <v>0</v>
      </c>
    </row>
    <row r="2153" spans="1:6" ht="12.75" customHeight="1" x14ac:dyDescent="0.2">
      <c r="A2153" s="3"/>
      <c r="C2153" s="114"/>
      <c r="E2153" s="85"/>
      <c r="F2153" s="59">
        <f t="shared" si="128"/>
        <v>0</v>
      </c>
    </row>
    <row r="2154" spans="1:6" ht="12.75" customHeight="1" x14ac:dyDescent="0.2">
      <c r="A2154" s="3"/>
      <c r="C2154" s="114"/>
      <c r="E2154" s="85"/>
      <c r="F2154" s="59">
        <f t="shared" si="128"/>
        <v>0</v>
      </c>
    </row>
    <row r="2155" spans="1:6" ht="12.75" customHeight="1" x14ac:dyDescent="0.2">
      <c r="A2155" s="3"/>
      <c r="B2155" s="86" t="s">
        <v>258</v>
      </c>
      <c r="C2155" s="87"/>
      <c r="D2155" s="88"/>
      <c r="E2155" s="89"/>
      <c r="F2155" s="90">
        <f>SUM(F2145:F2154)</f>
        <v>0</v>
      </c>
    </row>
    <row r="2156" spans="1:6" ht="12.75" customHeight="1" x14ac:dyDescent="0.2">
      <c r="A2156" s="3"/>
      <c r="B2156" s="91" t="s">
        <v>70</v>
      </c>
      <c r="C2156" s="15">
        <f>$D$8</f>
        <v>0</v>
      </c>
      <c r="D2156" s="92"/>
      <c r="E2156" s="93"/>
      <c r="F2156" s="94">
        <f>ROUND(C2156*F2155,2)</f>
        <v>0</v>
      </c>
    </row>
    <row r="2157" spans="1:6" ht="12.75" customHeight="1" x14ac:dyDescent="0.2">
      <c r="A2157" s="95"/>
      <c r="B2157" s="424" t="s">
        <v>260</v>
      </c>
      <c r="C2157" s="425"/>
      <c r="D2157" s="425"/>
      <c r="E2157" s="426"/>
      <c r="F2157" s="96">
        <f>F2155+F2156</f>
        <v>0</v>
      </c>
    </row>
    <row r="2158" spans="1:6" ht="12.75" customHeight="1" x14ac:dyDescent="0.2">
      <c r="A2158" s="97" t="s">
        <v>54</v>
      </c>
      <c r="B2158" s="427" t="s">
        <v>268</v>
      </c>
      <c r="C2158" s="428" t="s">
        <v>263</v>
      </c>
      <c r="D2158" s="429" t="s">
        <v>264</v>
      </c>
      <c r="E2158" s="430" t="s">
        <v>265</v>
      </c>
      <c r="F2158" s="57" t="s">
        <v>266</v>
      </c>
    </row>
    <row r="2159" spans="1:6" ht="12.75" customHeight="1" x14ac:dyDescent="0.2">
      <c r="A2159" s="3" t="str">
        <f>'A VII.'!$A$196</f>
        <v>3.16</v>
      </c>
      <c r="B2159" s="74" t="s">
        <v>189</v>
      </c>
      <c r="C2159" s="114">
        <v>0.8</v>
      </c>
      <c r="D2159" s="54" t="str">
        <f>VLOOKUP(A2159,'A VII.'!$A$10:$D$199,3,FALSE)</f>
        <v>H</v>
      </c>
      <c r="E2159" s="85">
        <f>'A VII.'!$D$196</f>
        <v>0</v>
      </c>
      <c r="F2159" s="59">
        <f t="shared" ref="F2159:F2165" si="129">ROUND(C2159*E2159,2)</f>
        <v>0</v>
      </c>
    </row>
    <row r="2160" spans="1:6" ht="12.75" customHeight="1" x14ac:dyDescent="0.2">
      <c r="A2160" s="3"/>
      <c r="C2160" s="114"/>
      <c r="E2160" s="85"/>
      <c r="F2160" s="59">
        <f t="shared" si="129"/>
        <v>0</v>
      </c>
    </row>
    <row r="2161" spans="1:6" ht="12.75" customHeight="1" x14ac:dyDescent="0.2">
      <c r="A2161" s="3"/>
      <c r="C2161" s="114"/>
      <c r="E2161" s="85"/>
      <c r="F2161" s="59">
        <f t="shared" si="129"/>
        <v>0</v>
      </c>
    </row>
    <row r="2162" spans="1:6" ht="12.75" customHeight="1" x14ac:dyDescent="0.2">
      <c r="A2162" s="3"/>
      <c r="C2162" s="114"/>
      <c r="E2162" s="85"/>
      <c r="F2162" s="59">
        <f t="shared" si="129"/>
        <v>0</v>
      </c>
    </row>
    <row r="2163" spans="1:6" ht="12.75" customHeight="1" x14ac:dyDescent="0.2">
      <c r="A2163" s="3"/>
      <c r="C2163" s="114"/>
      <c r="E2163" s="85"/>
      <c r="F2163" s="59">
        <f t="shared" si="129"/>
        <v>0</v>
      </c>
    </row>
    <row r="2164" spans="1:6" ht="12.75" customHeight="1" x14ac:dyDescent="0.2">
      <c r="A2164" s="3"/>
      <c r="C2164" s="114"/>
      <c r="E2164" s="85"/>
      <c r="F2164" s="59">
        <f t="shared" si="129"/>
        <v>0</v>
      </c>
    </row>
    <row r="2165" spans="1:6" ht="12.75" customHeight="1" x14ac:dyDescent="0.2">
      <c r="A2165" s="3"/>
      <c r="C2165" s="114"/>
      <c r="E2165" s="85"/>
      <c r="F2165" s="59">
        <f t="shared" si="129"/>
        <v>0</v>
      </c>
    </row>
    <row r="2166" spans="1:6" ht="12.75" customHeight="1" x14ac:dyDescent="0.2">
      <c r="A2166" s="3"/>
      <c r="B2166" s="86" t="s">
        <v>258</v>
      </c>
      <c r="C2166" s="87"/>
      <c r="D2166" s="88"/>
      <c r="E2166" s="89"/>
      <c r="F2166" s="90">
        <f>SUM(F2159:F2165)</f>
        <v>0</v>
      </c>
    </row>
    <row r="2167" spans="1:6" ht="12.75" customHeight="1" x14ac:dyDescent="0.2">
      <c r="A2167" s="3"/>
      <c r="B2167" s="91" t="s">
        <v>261</v>
      </c>
      <c r="C2167" s="15">
        <f>'A IX.'!$C$45</f>
        <v>0</v>
      </c>
      <c r="D2167" s="92"/>
      <c r="E2167" s="93"/>
      <c r="F2167" s="94">
        <f>ROUND(F2166*C2167,2)</f>
        <v>0</v>
      </c>
    </row>
    <row r="2168" spans="1:6" ht="12.75" customHeight="1" x14ac:dyDescent="0.2">
      <c r="A2168" s="3"/>
      <c r="B2168" s="91" t="s">
        <v>70</v>
      </c>
      <c r="C2168" s="15">
        <f>$D$8</f>
        <v>0</v>
      </c>
      <c r="D2168" s="92"/>
      <c r="E2168" s="93"/>
      <c r="F2168" s="94">
        <f>ROUND(SUM(F2166:F2167)*C2168,2)</f>
        <v>0</v>
      </c>
    </row>
    <row r="2169" spans="1:6" ht="12.75" customHeight="1" thickBot="1" x14ac:dyDescent="0.25">
      <c r="A2169" s="98"/>
      <c r="B2169" s="99" t="s">
        <v>262</v>
      </c>
      <c r="C2169" s="100"/>
      <c r="D2169" s="100"/>
      <c r="E2169" s="101"/>
      <c r="F2169" s="102">
        <f>SUM(F2166:F2168)</f>
        <v>0</v>
      </c>
    </row>
    <row r="2170" spans="1:6" ht="12.75" customHeight="1" thickBot="1" x14ac:dyDescent="0.25">
      <c r="A2170" s="81"/>
      <c r="B2170" s="82"/>
      <c r="C2170" s="83"/>
      <c r="D2170" s="83"/>
      <c r="E2170" s="84"/>
      <c r="F2170" s="103"/>
    </row>
    <row r="2171" spans="1:6" ht="30" customHeight="1" x14ac:dyDescent="0.2">
      <c r="A2171" s="5" t="str">
        <f>'A IV.A'!$A$74</f>
        <v>3.4.3</v>
      </c>
      <c r="B2171" s="416" t="str">
        <f>'A IV.A'!$B$74</f>
        <v xml:space="preserve">ESCAVAÇÃO MANUAL EM SOLO DE 1ª CATEGORIA COM PROFUNDIDADE ATÉ 1,50 M </v>
      </c>
      <c r="C2171" s="526" t="s">
        <v>269</v>
      </c>
      <c r="D2171" s="527"/>
      <c r="E2171" s="417" t="str">
        <f>'A IV.A'!$C$74</f>
        <v>M3</v>
      </c>
      <c r="F2171" s="58">
        <f>ROUND(F2191+F2205+F2217,2)</f>
        <v>0</v>
      </c>
    </row>
    <row r="2172" spans="1:6" ht="12.75" customHeight="1" x14ac:dyDescent="0.2">
      <c r="A2172" s="1" t="s">
        <v>17</v>
      </c>
      <c r="B2172" s="418" t="s">
        <v>162</v>
      </c>
      <c r="C2172" s="419" t="s">
        <v>263</v>
      </c>
      <c r="D2172" s="419" t="s">
        <v>264</v>
      </c>
      <c r="E2172" s="420" t="s">
        <v>265</v>
      </c>
      <c r="F2172" s="57" t="s">
        <v>266</v>
      </c>
    </row>
    <row r="2173" spans="1:6" ht="12.75" customHeight="1" x14ac:dyDescent="0.2">
      <c r="A2173" s="6"/>
      <c r="B2173" s="421"/>
      <c r="C2173" s="114"/>
      <c r="D2173" s="7"/>
      <c r="E2173" s="85"/>
      <c r="F2173" s="59">
        <f>ROUND(C2173*E2173,2)</f>
        <v>0</v>
      </c>
    </row>
    <row r="2174" spans="1:6" ht="12.75" customHeight="1" x14ac:dyDescent="0.2">
      <c r="A2174" s="6"/>
      <c r="B2174" s="421"/>
      <c r="C2174" s="114"/>
      <c r="D2174" s="7"/>
      <c r="E2174" s="85"/>
      <c r="F2174" s="59">
        <f t="shared" ref="F2174:F2188" si="130">ROUND(C2174*E2174,2)</f>
        <v>0</v>
      </c>
    </row>
    <row r="2175" spans="1:6" ht="12.75" customHeight="1" x14ac:dyDescent="0.2">
      <c r="A2175" s="6"/>
      <c r="B2175" s="421"/>
      <c r="C2175" s="114"/>
      <c r="D2175" s="7"/>
      <c r="E2175" s="85"/>
      <c r="F2175" s="59">
        <f t="shared" si="130"/>
        <v>0</v>
      </c>
    </row>
    <row r="2176" spans="1:6" ht="12.75" customHeight="1" x14ac:dyDescent="0.2">
      <c r="A2176" s="6"/>
      <c r="B2176" s="421"/>
      <c r="C2176" s="114"/>
      <c r="D2176" s="7"/>
      <c r="E2176" s="85"/>
      <c r="F2176" s="59">
        <f t="shared" si="130"/>
        <v>0</v>
      </c>
    </row>
    <row r="2177" spans="1:6" ht="12.75" customHeight="1" x14ac:dyDescent="0.2">
      <c r="A2177" s="6"/>
      <c r="B2177" s="421"/>
      <c r="C2177" s="114"/>
      <c r="D2177" s="7"/>
      <c r="E2177" s="85"/>
      <c r="F2177" s="59">
        <f t="shared" si="130"/>
        <v>0</v>
      </c>
    </row>
    <row r="2178" spans="1:6" ht="12.75" customHeight="1" x14ac:dyDescent="0.2">
      <c r="A2178" s="6"/>
      <c r="B2178" s="421"/>
      <c r="C2178" s="114"/>
      <c r="D2178" s="7"/>
      <c r="E2178" s="85"/>
      <c r="F2178" s="59">
        <f t="shared" si="130"/>
        <v>0</v>
      </c>
    </row>
    <row r="2179" spans="1:6" ht="12.75" customHeight="1" x14ac:dyDescent="0.2">
      <c r="A2179" s="6"/>
      <c r="B2179" s="421"/>
      <c r="C2179" s="114"/>
      <c r="D2179" s="7"/>
      <c r="E2179" s="85"/>
      <c r="F2179" s="59">
        <f t="shared" si="130"/>
        <v>0</v>
      </c>
    </row>
    <row r="2180" spans="1:6" ht="12.75" customHeight="1" x14ac:dyDescent="0.2">
      <c r="A2180" s="6"/>
      <c r="B2180" s="421"/>
      <c r="C2180" s="114"/>
      <c r="D2180" s="7"/>
      <c r="E2180" s="85"/>
      <c r="F2180" s="59">
        <f t="shared" si="130"/>
        <v>0</v>
      </c>
    </row>
    <row r="2181" spans="1:6" ht="12.75" customHeight="1" x14ac:dyDescent="0.2">
      <c r="A2181" s="6"/>
      <c r="B2181" s="421"/>
      <c r="C2181" s="114"/>
      <c r="D2181" s="7"/>
      <c r="E2181" s="85"/>
      <c r="F2181" s="59">
        <f t="shared" si="130"/>
        <v>0</v>
      </c>
    </row>
    <row r="2182" spans="1:6" ht="12.75" customHeight="1" x14ac:dyDescent="0.2">
      <c r="A2182" s="6"/>
      <c r="B2182" s="421"/>
      <c r="C2182" s="114"/>
      <c r="D2182" s="7"/>
      <c r="E2182" s="85"/>
      <c r="F2182" s="59">
        <f t="shared" si="130"/>
        <v>0</v>
      </c>
    </row>
    <row r="2183" spans="1:6" ht="12.75" customHeight="1" x14ac:dyDescent="0.2">
      <c r="A2183" s="6"/>
      <c r="B2183" s="421"/>
      <c r="C2183" s="114"/>
      <c r="D2183" s="7"/>
      <c r="E2183" s="85"/>
      <c r="F2183" s="59">
        <f t="shared" si="130"/>
        <v>0</v>
      </c>
    </row>
    <row r="2184" spans="1:6" ht="12.75" customHeight="1" x14ac:dyDescent="0.2">
      <c r="A2184" s="6"/>
      <c r="B2184" s="421"/>
      <c r="C2184" s="114"/>
      <c r="D2184" s="423"/>
      <c r="E2184" s="85"/>
      <c r="F2184" s="59">
        <f t="shared" si="130"/>
        <v>0</v>
      </c>
    </row>
    <row r="2185" spans="1:6" ht="12.75" customHeight="1" x14ac:dyDescent="0.2">
      <c r="A2185" s="6"/>
      <c r="B2185" s="421"/>
      <c r="C2185" s="114"/>
      <c r="D2185" s="423"/>
      <c r="E2185" s="85"/>
      <c r="F2185" s="59">
        <f t="shared" si="130"/>
        <v>0</v>
      </c>
    </row>
    <row r="2186" spans="1:6" ht="12.75" customHeight="1" x14ac:dyDescent="0.2">
      <c r="A2186" s="6"/>
      <c r="B2186" s="421"/>
      <c r="C2186" s="114"/>
      <c r="D2186" s="423"/>
      <c r="E2186" s="85"/>
      <c r="F2186" s="59">
        <f t="shared" si="130"/>
        <v>0</v>
      </c>
    </row>
    <row r="2187" spans="1:6" ht="12.75" customHeight="1" x14ac:dyDescent="0.2">
      <c r="A2187" s="3"/>
      <c r="C2187" s="114"/>
      <c r="E2187" s="85"/>
      <c r="F2187" s="59">
        <f t="shared" si="130"/>
        <v>0</v>
      </c>
    </row>
    <row r="2188" spans="1:6" ht="12.75" customHeight="1" x14ac:dyDescent="0.2">
      <c r="A2188" s="3"/>
      <c r="C2188" s="114"/>
      <c r="E2188" s="85"/>
      <c r="F2188" s="59">
        <f t="shared" si="130"/>
        <v>0</v>
      </c>
    </row>
    <row r="2189" spans="1:6" ht="12.75" customHeight="1" x14ac:dyDescent="0.2">
      <c r="A2189" s="3"/>
      <c r="B2189" s="86" t="s">
        <v>258</v>
      </c>
      <c r="C2189" s="87"/>
      <c r="D2189" s="88"/>
      <c r="E2189" s="89"/>
      <c r="F2189" s="90">
        <f>SUM(F2173:F2188)</f>
        <v>0</v>
      </c>
    </row>
    <row r="2190" spans="1:6" ht="12.75" customHeight="1" x14ac:dyDescent="0.2">
      <c r="A2190" s="3"/>
      <c r="B2190" s="91" t="s">
        <v>70</v>
      </c>
      <c r="C2190" s="15">
        <f>$D$8</f>
        <v>0</v>
      </c>
      <c r="D2190" s="92"/>
      <c r="E2190" s="93"/>
      <c r="F2190" s="94">
        <f>ROUND(F2189*C2190,2)</f>
        <v>0</v>
      </c>
    </row>
    <row r="2191" spans="1:6" ht="12.75" customHeight="1" x14ac:dyDescent="0.2">
      <c r="A2191" s="95"/>
      <c r="B2191" s="424" t="s">
        <v>259</v>
      </c>
      <c r="C2191" s="425"/>
      <c r="D2191" s="425"/>
      <c r="E2191" s="426"/>
      <c r="F2191" s="96">
        <f>F2189+F2190</f>
        <v>0</v>
      </c>
    </row>
    <row r="2192" spans="1:6" ht="12.75" customHeight="1" x14ac:dyDescent="0.2">
      <c r="A2192" s="1" t="s">
        <v>5</v>
      </c>
      <c r="B2192" s="418" t="s">
        <v>267</v>
      </c>
      <c r="C2192" s="419" t="s">
        <v>263</v>
      </c>
      <c r="D2192" s="419" t="s">
        <v>264</v>
      </c>
      <c r="E2192" s="420" t="s">
        <v>265</v>
      </c>
      <c r="F2192" s="57" t="s">
        <v>266</v>
      </c>
    </row>
    <row r="2193" spans="1:6" ht="12.75" customHeight="1" x14ac:dyDescent="0.2">
      <c r="A2193" s="3"/>
      <c r="B2193" s="71"/>
      <c r="C2193" s="114"/>
      <c r="E2193" s="85"/>
      <c r="F2193" s="59">
        <f t="shared" ref="F2193:F2202" si="131">ROUND(C2193*E2193,2)</f>
        <v>0</v>
      </c>
    </row>
    <row r="2194" spans="1:6" ht="12.75" customHeight="1" x14ac:dyDescent="0.2">
      <c r="A2194" s="3"/>
      <c r="C2194" s="114"/>
      <c r="E2194" s="85"/>
      <c r="F2194" s="59">
        <f t="shared" si="131"/>
        <v>0</v>
      </c>
    </row>
    <row r="2195" spans="1:6" ht="12.75" customHeight="1" x14ac:dyDescent="0.2">
      <c r="A2195" s="3"/>
      <c r="C2195" s="114"/>
      <c r="E2195" s="85"/>
      <c r="F2195" s="59">
        <f t="shared" si="131"/>
        <v>0</v>
      </c>
    </row>
    <row r="2196" spans="1:6" ht="12.75" customHeight="1" x14ac:dyDescent="0.2">
      <c r="A2196" s="3"/>
      <c r="C2196" s="114"/>
      <c r="E2196" s="85"/>
      <c r="F2196" s="59">
        <f t="shared" si="131"/>
        <v>0</v>
      </c>
    </row>
    <row r="2197" spans="1:6" ht="12.75" customHeight="1" x14ac:dyDescent="0.2">
      <c r="A2197" s="3"/>
      <c r="C2197" s="114"/>
      <c r="E2197" s="85"/>
      <c r="F2197" s="59">
        <f t="shared" si="131"/>
        <v>0</v>
      </c>
    </row>
    <row r="2198" spans="1:6" ht="12.75" customHeight="1" x14ac:dyDescent="0.2">
      <c r="A2198" s="3"/>
      <c r="C2198" s="114"/>
      <c r="E2198" s="85"/>
      <c r="F2198" s="59">
        <f t="shared" si="131"/>
        <v>0</v>
      </c>
    </row>
    <row r="2199" spans="1:6" ht="12.75" customHeight="1" x14ac:dyDescent="0.2">
      <c r="A2199" s="3"/>
      <c r="C2199" s="114"/>
      <c r="E2199" s="85"/>
      <c r="F2199" s="59">
        <f t="shared" si="131"/>
        <v>0</v>
      </c>
    </row>
    <row r="2200" spans="1:6" ht="12.75" customHeight="1" x14ac:dyDescent="0.2">
      <c r="A2200" s="3"/>
      <c r="C2200" s="114"/>
      <c r="E2200" s="85"/>
      <c r="F2200" s="59">
        <f t="shared" si="131"/>
        <v>0</v>
      </c>
    </row>
    <row r="2201" spans="1:6" ht="12.75" customHeight="1" x14ac:dyDescent="0.2">
      <c r="A2201" s="3"/>
      <c r="C2201" s="114"/>
      <c r="E2201" s="85"/>
      <c r="F2201" s="59">
        <f t="shared" si="131"/>
        <v>0</v>
      </c>
    </row>
    <row r="2202" spans="1:6" ht="12.75" customHeight="1" x14ac:dyDescent="0.2">
      <c r="A2202" s="3"/>
      <c r="C2202" s="114"/>
      <c r="E2202" s="85"/>
      <c r="F2202" s="59">
        <f t="shared" si="131"/>
        <v>0</v>
      </c>
    </row>
    <row r="2203" spans="1:6" ht="12.75" customHeight="1" x14ac:dyDescent="0.2">
      <c r="A2203" s="3"/>
      <c r="B2203" s="86" t="s">
        <v>258</v>
      </c>
      <c r="C2203" s="87"/>
      <c r="D2203" s="88"/>
      <c r="E2203" s="89"/>
      <c r="F2203" s="90">
        <f>SUM(F2193:F2202)</f>
        <v>0</v>
      </c>
    </row>
    <row r="2204" spans="1:6" ht="12.75" customHeight="1" x14ac:dyDescent="0.2">
      <c r="A2204" s="3"/>
      <c r="B2204" s="91" t="s">
        <v>70</v>
      </c>
      <c r="C2204" s="15">
        <f>$D$8</f>
        <v>0</v>
      </c>
      <c r="D2204" s="92"/>
      <c r="E2204" s="93"/>
      <c r="F2204" s="94">
        <f>ROUND(C2204*F2203,2)</f>
        <v>0</v>
      </c>
    </row>
    <row r="2205" spans="1:6" ht="12.75" customHeight="1" x14ac:dyDescent="0.2">
      <c r="A2205" s="95"/>
      <c r="B2205" s="424" t="s">
        <v>260</v>
      </c>
      <c r="C2205" s="425"/>
      <c r="D2205" s="425"/>
      <c r="E2205" s="426"/>
      <c r="F2205" s="96">
        <f>F2203+F2204</f>
        <v>0</v>
      </c>
    </row>
    <row r="2206" spans="1:6" ht="12.75" customHeight="1" x14ac:dyDescent="0.2">
      <c r="A2206" s="97" t="s">
        <v>54</v>
      </c>
      <c r="B2206" s="427" t="s">
        <v>268</v>
      </c>
      <c r="C2206" s="428" t="s">
        <v>263</v>
      </c>
      <c r="D2206" s="429" t="s">
        <v>264</v>
      </c>
      <c r="E2206" s="430" t="s">
        <v>265</v>
      </c>
      <c r="F2206" s="57" t="s">
        <v>266</v>
      </c>
    </row>
    <row r="2207" spans="1:6" ht="12.75" customHeight="1" x14ac:dyDescent="0.2">
      <c r="A2207" s="3" t="str">
        <f>'A VII.'!$A$196</f>
        <v>3.16</v>
      </c>
      <c r="B2207" s="74" t="s">
        <v>189</v>
      </c>
      <c r="C2207" s="114">
        <v>3</v>
      </c>
      <c r="D2207" s="54" t="str">
        <f>VLOOKUP(A2207,'A VII.'!$A$10:$D$199,3,FALSE)</f>
        <v>H</v>
      </c>
      <c r="E2207" s="85">
        <f>'A VII.'!$D$196</f>
        <v>0</v>
      </c>
      <c r="F2207" s="59">
        <f t="shared" ref="F2207:F2213" si="132">ROUND(C2207*E2207,2)</f>
        <v>0</v>
      </c>
    </row>
    <row r="2208" spans="1:6" ht="12.75" customHeight="1" x14ac:dyDescent="0.2">
      <c r="A2208" s="3"/>
      <c r="C2208" s="114"/>
      <c r="E2208" s="85"/>
      <c r="F2208" s="59">
        <f t="shared" si="132"/>
        <v>0</v>
      </c>
    </row>
    <row r="2209" spans="1:6" ht="12.75" customHeight="1" x14ac:dyDescent="0.2">
      <c r="A2209" s="3"/>
      <c r="C2209" s="114"/>
      <c r="E2209" s="85"/>
      <c r="F2209" s="59">
        <f t="shared" si="132"/>
        <v>0</v>
      </c>
    </row>
    <row r="2210" spans="1:6" ht="12.75" customHeight="1" x14ac:dyDescent="0.2">
      <c r="A2210" s="3"/>
      <c r="C2210" s="114"/>
      <c r="E2210" s="85"/>
      <c r="F2210" s="59">
        <f t="shared" si="132"/>
        <v>0</v>
      </c>
    </row>
    <row r="2211" spans="1:6" ht="12.75" customHeight="1" x14ac:dyDescent="0.2">
      <c r="A2211" s="3"/>
      <c r="C2211" s="114"/>
      <c r="E2211" s="85"/>
      <c r="F2211" s="59">
        <f t="shared" si="132"/>
        <v>0</v>
      </c>
    </row>
    <row r="2212" spans="1:6" ht="12.75" customHeight="1" x14ac:dyDescent="0.2">
      <c r="A2212" s="3"/>
      <c r="C2212" s="114"/>
      <c r="E2212" s="85"/>
      <c r="F2212" s="59">
        <f t="shared" si="132"/>
        <v>0</v>
      </c>
    </row>
    <row r="2213" spans="1:6" ht="12.75" customHeight="1" x14ac:dyDescent="0.2">
      <c r="A2213" s="3"/>
      <c r="C2213" s="114"/>
      <c r="E2213" s="85"/>
      <c r="F2213" s="59">
        <f t="shared" si="132"/>
        <v>0</v>
      </c>
    </row>
    <row r="2214" spans="1:6" ht="12.75" customHeight="1" x14ac:dyDescent="0.2">
      <c r="A2214" s="3"/>
      <c r="B2214" s="86" t="s">
        <v>258</v>
      </c>
      <c r="C2214" s="87"/>
      <c r="D2214" s="88"/>
      <c r="E2214" s="89"/>
      <c r="F2214" s="90">
        <f>SUM(F2207:F2213)</f>
        <v>0</v>
      </c>
    </row>
    <row r="2215" spans="1:6" ht="12.75" customHeight="1" x14ac:dyDescent="0.2">
      <c r="A2215" s="3"/>
      <c r="B2215" s="91" t="s">
        <v>261</v>
      </c>
      <c r="C2215" s="15">
        <f>'A IX.'!$C$45</f>
        <v>0</v>
      </c>
      <c r="D2215" s="92"/>
      <c r="E2215" s="93"/>
      <c r="F2215" s="94">
        <f>ROUND(F2214*C2215,2)</f>
        <v>0</v>
      </c>
    </row>
    <row r="2216" spans="1:6" ht="12.75" customHeight="1" x14ac:dyDescent="0.2">
      <c r="A2216" s="3"/>
      <c r="B2216" s="91" t="s">
        <v>70</v>
      </c>
      <c r="C2216" s="15">
        <f>$D$8</f>
        <v>0</v>
      </c>
      <c r="D2216" s="92"/>
      <c r="E2216" s="93"/>
      <c r="F2216" s="94">
        <f>ROUND(SUM(F2214:F2215)*C2216,2)</f>
        <v>0</v>
      </c>
    </row>
    <row r="2217" spans="1:6" ht="12.75" customHeight="1" thickBot="1" x14ac:dyDescent="0.25">
      <c r="A2217" s="98"/>
      <c r="B2217" s="99" t="s">
        <v>262</v>
      </c>
      <c r="C2217" s="100"/>
      <c r="D2217" s="100"/>
      <c r="E2217" s="101"/>
      <c r="F2217" s="102">
        <f>SUM(F2214:F2216)</f>
        <v>0</v>
      </c>
    </row>
    <row r="2218" spans="1:6" ht="12.75" customHeight="1" thickBot="1" x14ac:dyDescent="0.25">
      <c r="A2218" s="81"/>
      <c r="B2218" s="82"/>
      <c r="C2218" s="83"/>
      <c r="D2218" s="83"/>
      <c r="E2218" s="84"/>
      <c r="F2218" s="103"/>
    </row>
    <row r="2219" spans="1:6" ht="30" customHeight="1" x14ac:dyDescent="0.2">
      <c r="A2219" s="5" t="str">
        <f>'A IV.A'!A75</f>
        <v>3.4.4</v>
      </c>
      <c r="B2219" s="416" t="str">
        <f>'A IV.A'!B75</f>
        <v xml:space="preserve">ESCAVAÇÃO MANUAL EM SOLO DE 1ª CATEGORIA COM PROFUNDIDADE ACIMA DE 1,50 M </v>
      </c>
      <c r="C2219" s="526" t="s">
        <v>269</v>
      </c>
      <c r="D2219" s="527"/>
      <c r="E2219" s="417" t="str">
        <f>'A IV.A'!C75</f>
        <v>M3</v>
      </c>
      <c r="F2219" s="58">
        <f>ROUND(F2239+F2253+F2265,2)</f>
        <v>0</v>
      </c>
    </row>
    <row r="2220" spans="1:6" ht="12.75" customHeight="1" x14ac:dyDescent="0.2">
      <c r="A2220" s="1" t="s">
        <v>17</v>
      </c>
      <c r="B2220" s="418" t="s">
        <v>162</v>
      </c>
      <c r="C2220" s="419" t="s">
        <v>263</v>
      </c>
      <c r="D2220" s="419" t="s">
        <v>264</v>
      </c>
      <c r="E2220" s="420" t="s">
        <v>265</v>
      </c>
      <c r="F2220" s="57" t="s">
        <v>266</v>
      </c>
    </row>
    <row r="2221" spans="1:6" ht="12.75" customHeight="1" x14ac:dyDescent="0.2">
      <c r="A2221" s="6"/>
      <c r="B2221" s="421"/>
      <c r="C2221" s="114"/>
      <c r="D2221" s="757"/>
      <c r="E2221" s="85"/>
      <c r="F2221" s="59">
        <f>ROUND(C2221*E2221,2)</f>
        <v>0</v>
      </c>
    </row>
    <row r="2222" spans="1:6" ht="12.75" customHeight="1" x14ac:dyDescent="0.2">
      <c r="A2222" s="6"/>
      <c r="B2222" s="421"/>
      <c r="C2222" s="114"/>
      <c r="D2222" s="757"/>
      <c r="E2222" s="85"/>
      <c r="F2222" s="59">
        <f t="shared" ref="F2222:F2236" si="133">ROUND(C2222*E2222,2)</f>
        <v>0</v>
      </c>
    </row>
    <row r="2223" spans="1:6" ht="12.75" customHeight="1" x14ac:dyDescent="0.2">
      <c r="A2223" s="6"/>
      <c r="B2223" s="421"/>
      <c r="C2223" s="114"/>
      <c r="D2223" s="757"/>
      <c r="E2223" s="85"/>
      <c r="F2223" s="59">
        <f t="shared" si="133"/>
        <v>0</v>
      </c>
    </row>
    <row r="2224" spans="1:6" ht="12.75" customHeight="1" x14ac:dyDescent="0.2">
      <c r="A2224" s="6"/>
      <c r="B2224" s="421"/>
      <c r="C2224" s="114"/>
      <c r="D2224" s="757"/>
      <c r="E2224" s="85"/>
      <c r="F2224" s="59">
        <f t="shared" si="133"/>
        <v>0</v>
      </c>
    </row>
    <row r="2225" spans="1:6" ht="12.75" customHeight="1" x14ac:dyDescent="0.2">
      <c r="A2225" s="6"/>
      <c r="B2225" s="421"/>
      <c r="C2225" s="114"/>
      <c r="D2225" s="757"/>
      <c r="E2225" s="85"/>
      <c r="F2225" s="59">
        <f t="shared" si="133"/>
        <v>0</v>
      </c>
    </row>
    <row r="2226" spans="1:6" ht="12.75" customHeight="1" x14ac:dyDescent="0.2">
      <c r="A2226" s="6"/>
      <c r="B2226" s="421"/>
      <c r="C2226" s="114"/>
      <c r="D2226" s="757"/>
      <c r="E2226" s="85"/>
      <c r="F2226" s="59">
        <f t="shared" si="133"/>
        <v>0</v>
      </c>
    </row>
    <row r="2227" spans="1:6" ht="12.75" customHeight="1" x14ac:dyDescent="0.2">
      <c r="A2227" s="6"/>
      <c r="B2227" s="421"/>
      <c r="C2227" s="114"/>
      <c r="D2227" s="757"/>
      <c r="E2227" s="85"/>
      <c r="F2227" s="59">
        <f t="shared" si="133"/>
        <v>0</v>
      </c>
    </row>
    <row r="2228" spans="1:6" ht="12.75" customHeight="1" x14ac:dyDescent="0.2">
      <c r="A2228" s="6"/>
      <c r="B2228" s="421"/>
      <c r="C2228" s="114"/>
      <c r="D2228" s="757"/>
      <c r="E2228" s="85"/>
      <c r="F2228" s="59">
        <f t="shared" si="133"/>
        <v>0</v>
      </c>
    </row>
    <row r="2229" spans="1:6" ht="12.75" customHeight="1" x14ac:dyDescent="0.2">
      <c r="A2229" s="6"/>
      <c r="B2229" s="421"/>
      <c r="C2229" s="114"/>
      <c r="D2229" s="757"/>
      <c r="E2229" s="85"/>
      <c r="F2229" s="59">
        <f t="shared" si="133"/>
        <v>0</v>
      </c>
    </row>
    <row r="2230" spans="1:6" ht="12.75" customHeight="1" x14ac:dyDescent="0.2">
      <c r="A2230" s="6"/>
      <c r="B2230" s="421"/>
      <c r="C2230" s="114"/>
      <c r="D2230" s="757"/>
      <c r="E2230" s="85"/>
      <c r="F2230" s="59">
        <f t="shared" si="133"/>
        <v>0</v>
      </c>
    </row>
    <row r="2231" spans="1:6" ht="12.75" customHeight="1" x14ac:dyDescent="0.2">
      <c r="A2231" s="6"/>
      <c r="B2231" s="421"/>
      <c r="C2231" s="114"/>
      <c r="D2231" s="757"/>
      <c r="E2231" s="85"/>
      <c r="F2231" s="59">
        <f t="shared" si="133"/>
        <v>0</v>
      </c>
    </row>
    <row r="2232" spans="1:6" ht="12.75" customHeight="1" x14ac:dyDescent="0.2">
      <c r="A2232" s="6"/>
      <c r="B2232" s="421"/>
      <c r="C2232" s="114"/>
      <c r="D2232" s="758"/>
      <c r="E2232" s="85"/>
      <c r="F2232" s="59">
        <f t="shared" si="133"/>
        <v>0</v>
      </c>
    </row>
    <row r="2233" spans="1:6" ht="12.75" customHeight="1" x14ac:dyDescent="0.2">
      <c r="A2233" s="6"/>
      <c r="B2233" s="421"/>
      <c r="C2233" s="114"/>
      <c r="D2233" s="758"/>
      <c r="E2233" s="85"/>
      <c r="F2233" s="59">
        <f t="shared" si="133"/>
        <v>0</v>
      </c>
    </row>
    <row r="2234" spans="1:6" ht="12.75" customHeight="1" x14ac:dyDescent="0.2">
      <c r="A2234" s="6"/>
      <c r="B2234" s="421"/>
      <c r="C2234" s="114"/>
      <c r="D2234" s="758"/>
      <c r="E2234" s="85"/>
      <c r="F2234" s="59">
        <f t="shared" si="133"/>
        <v>0</v>
      </c>
    </row>
    <row r="2235" spans="1:6" ht="12.75" customHeight="1" x14ac:dyDescent="0.2">
      <c r="A2235" s="3"/>
      <c r="C2235" s="114"/>
      <c r="D2235" s="759"/>
      <c r="E2235" s="85"/>
      <c r="F2235" s="59">
        <f t="shared" si="133"/>
        <v>0</v>
      </c>
    </row>
    <row r="2236" spans="1:6" ht="12.75" customHeight="1" x14ac:dyDescent="0.2">
      <c r="A2236" s="3"/>
      <c r="C2236" s="114"/>
      <c r="D2236" s="759"/>
      <c r="E2236" s="85"/>
      <c r="F2236" s="59">
        <f t="shared" si="133"/>
        <v>0</v>
      </c>
    </row>
    <row r="2237" spans="1:6" ht="12.75" customHeight="1" x14ac:dyDescent="0.2">
      <c r="A2237" s="3"/>
      <c r="B2237" s="86" t="s">
        <v>258</v>
      </c>
      <c r="C2237" s="87"/>
      <c r="D2237" s="88"/>
      <c r="E2237" s="89"/>
      <c r="F2237" s="90">
        <f>SUM(F2221:F2236)</f>
        <v>0</v>
      </c>
    </row>
    <row r="2238" spans="1:6" ht="12.75" customHeight="1" x14ac:dyDescent="0.2">
      <c r="A2238" s="3"/>
      <c r="B2238" s="91" t="s">
        <v>70</v>
      </c>
      <c r="C2238" s="15">
        <f>$D$8</f>
        <v>0</v>
      </c>
      <c r="D2238" s="92"/>
      <c r="E2238" s="93"/>
      <c r="F2238" s="94">
        <f>ROUND(F2237*C2238,2)</f>
        <v>0</v>
      </c>
    </row>
    <row r="2239" spans="1:6" ht="12.75" customHeight="1" x14ac:dyDescent="0.2">
      <c r="A2239" s="95"/>
      <c r="B2239" s="424" t="s">
        <v>259</v>
      </c>
      <c r="C2239" s="425"/>
      <c r="D2239" s="425"/>
      <c r="E2239" s="426"/>
      <c r="F2239" s="96">
        <f>F2237+F2238</f>
        <v>0</v>
      </c>
    </row>
    <row r="2240" spans="1:6" ht="12.75" customHeight="1" x14ac:dyDescent="0.2">
      <c r="A2240" s="1" t="s">
        <v>5</v>
      </c>
      <c r="B2240" s="418" t="s">
        <v>267</v>
      </c>
      <c r="C2240" s="419" t="s">
        <v>263</v>
      </c>
      <c r="D2240" s="419" t="s">
        <v>264</v>
      </c>
      <c r="E2240" s="420" t="s">
        <v>265</v>
      </c>
      <c r="F2240" s="57" t="s">
        <v>266</v>
      </c>
    </row>
    <row r="2241" spans="1:6" ht="12.75" customHeight="1" x14ac:dyDescent="0.2">
      <c r="A2241" s="3"/>
      <c r="B2241" s="71"/>
      <c r="C2241" s="114"/>
      <c r="D2241" s="759"/>
      <c r="E2241" s="85"/>
      <c r="F2241" s="59">
        <f t="shared" ref="F2241:F2250" si="134">ROUND(C2241*E2241,2)</f>
        <v>0</v>
      </c>
    </row>
    <row r="2242" spans="1:6" ht="12.75" customHeight="1" x14ac:dyDescent="0.2">
      <c r="A2242" s="3"/>
      <c r="C2242" s="114"/>
      <c r="D2242" s="759"/>
      <c r="E2242" s="85"/>
      <c r="F2242" s="59">
        <f t="shared" si="134"/>
        <v>0</v>
      </c>
    </row>
    <row r="2243" spans="1:6" ht="12.75" customHeight="1" x14ac:dyDescent="0.2">
      <c r="A2243" s="3"/>
      <c r="C2243" s="114"/>
      <c r="D2243" s="759"/>
      <c r="E2243" s="85"/>
      <c r="F2243" s="59">
        <f t="shared" si="134"/>
        <v>0</v>
      </c>
    </row>
    <row r="2244" spans="1:6" ht="12.75" customHeight="1" x14ac:dyDescent="0.2">
      <c r="A2244" s="3"/>
      <c r="C2244" s="114"/>
      <c r="D2244" s="759"/>
      <c r="E2244" s="85"/>
      <c r="F2244" s="59">
        <f t="shared" si="134"/>
        <v>0</v>
      </c>
    </row>
    <row r="2245" spans="1:6" ht="12.75" customHeight="1" x14ac:dyDescent="0.2">
      <c r="A2245" s="3"/>
      <c r="C2245" s="114"/>
      <c r="D2245" s="759"/>
      <c r="E2245" s="85"/>
      <c r="F2245" s="59">
        <f t="shared" si="134"/>
        <v>0</v>
      </c>
    </row>
    <row r="2246" spans="1:6" ht="12.75" customHeight="1" x14ac:dyDescent="0.2">
      <c r="A2246" s="3"/>
      <c r="C2246" s="114"/>
      <c r="D2246" s="759"/>
      <c r="E2246" s="85"/>
      <c r="F2246" s="59">
        <f t="shared" si="134"/>
        <v>0</v>
      </c>
    </row>
    <row r="2247" spans="1:6" ht="12.75" customHeight="1" x14ac:dyDescent="0.2">
      <c r="A2247" s="3"/>
      <c r="C2247" s="114"/>
      <c r="D2247" s="759"/>
      <c r="E2247" s="85"/>
      <c r="F2247" s="59">
        <f t="shared" si="134"/>
        <v>0</v>
      </c>
    </row>
    <row r="2248" spans="1:6" ht="12.75" customHeight="1" x14ac:dyDescent="0.2">
      <c r="A2248" s="3"/>
      <c r="C2248" s="114"/>
      <c r="D2248" s="759"/>
      <c r="E2248" s="85"/>
      <c r="F2248" s="59">
        <f t="shared" si="134"/>
        <v>0</v>
      </c>
    </row>
    <row r="2249" spans="1:6" ht="12.75" customHeight="1" x14ac:dyDescent="0.2">
      <c r="A2249" s="3"/>
      <c r="C2249" s="114"/>
      <c r="D2249" s="759"/>
      <c r="E2249" s="85"/>
      <c r="F2249" s="59">
        <f t="shared" si="134"/>
        <v>0</v>
      </c>
    </row>
    <row r="2250" spans="1:6" ht="12.75" customHeight="1" x14ac:dyDescent="0.2">
      <c r="A2250" s="3"/>
      <c r="C2250" s="114"/>
      <c r="D2250" s="759"/>
      <c r="E2250" s="85"/>
      <c r="F2250" s="59">
        <f t="shared" si="134"/>
        <v>0</v>
      </c>
    </row>
    <row r="2251" spans="1:6" ht="12.75" customHeight="1" x14ac:dyDescent="0.2">
      <c r="A2251" s="3"/>
      <c r="B2251" s="86" t="s">
        <v>258</v>
      </c>
      <c r="C2251" s="87"/>
      <c r="D2251" s="88"/>
      <c r="E2251" s="89"/>
      <c r="F2251" s="90">
        <f>SUM(F2241:F2250)</f>
        <v>0</v>
      </c>
    </row>
    <row r="2252" spans="1:6" ht="12.75" customHeight="1" x14ac:dyDescent="0.2">
      <c r="A2252" s="3"/>
      <c r="B2252" s="91" t="s">
        <v>70</v>
      </c>
      <c r="C2252" s="15">
        <f>$D$8</f>
        <v>0</v>
      </c>
      <c r="D2252" s="92"/>
      <c r="E2252" s="93"/>
      <c r="F2252" s="94">
        <f>ROUND(C2252*F2251,2)</f>
        <v>0</v>
      </c>
    </row>
    <row r="2253" spans="1:6" ht="12.75" customHeight="1" x14ac:dyDescent="0.2">
      <c r="A2253" s="95"/>
      <c r="B2253" s="424" t="s">
        <v>260</v>
      </c>
      <c r="C2253" s="425"/>
      <c r="D2253" s="425"/>
      <c r="E2253" s="426"/>
      <c r="F2253" s="96">
        <f>F2251+F2252</f>
        <v>0</v>
      </c>
    </row>
    <row r="2254" spans="1:6" ht="12.75" customHeight="1" x14ac:dyDescent="0.2">
      <c r="A2254" s="97" t="s">
        <v>54</v>
      </c>
      <c r="B2254" s="427" t="s">
        <v>268</v>
      </c>
      <c r="C2254" s="428" t="s">
        <v>263</v>
      </c>
      <c r="D2254" s="429" t="s">
        <v>264</v>
      </c>
      <c r="E2254" s="430" t="s">
        <v>265</v>
      </c>
      <c r="F2254" s="57" t="s">
        <v>266</v>
      </c>
    </row>
    <row r="2255" spans="1:6" ht="12.75" customHeight="1" x14ac:dyDescent="0.2">
      <c r="A2255" s="3" t="str">
        <f>'A VII.'!$A$196</f>
        <v>3.16</v>
      </c>
      <c r="B2255" s="74" t="s">
        <v>189</v>
      </c>
      <c r="C2255" s="114">
        <v>3.88</v>
      </c>
      <c r="D2255" s="759" t="str">
        <f>VLOOKUP(A2255,'A VII.'!$A$10:$D$199,3,FALSE)</f>
        <v>H</v>
      </c>
      <c r="E2255" s="85">
        <f>'A VII.'!$D$196</f>
        <v>0</v>
      </c>
      <c r="F2255" s="59">
        <f t="shared" ref="F2255:F2261" si="135">ROUND(C2255*E2255,2)</f>
        <v>0</v>
      </c>
    </row>
    <row r="2256" spans="1:6" ht="12.75" customHeight="1" x14ac:dyDescent="0.2">
      <c r="A2256" s="3"/>
      <c r="C2256" s="114"/>
      <c r="D2256" s="759"/>
      <c r="E2256" s="85"/>
      <c r="F2256" s="59">
        <f t="shared" si="135"/>
        <v>0</v>
      </c>
    </row>
    <row r="2257" spans="1:6" ht="12.75" customHeight="1" x14ac:dyDescent="0.2">
      <c r="A2257" s="3"/>
      <c r="C2257" s="114"/>
      <c r="D2257" s="759"/>
      <c r="E2257" s="85"/>
      <c r="F2257" s="59">
        <f t="shared" si="135"/>
        <v>0</v>
      </c>
    </row>
    <row r="2258" spans="1:6" ht="12.75" customHeight="1" x14ac:dyDescent="0.2">
      <c r="A2258" s="3"/>
      <c r="C2258" s="114"/>
      <c r="D2258" s="759"/>
      <c r="E2258" s="85"/>
      <c r="F2258" s="59">
        <f t="shared" si="135"/>
        <v>0</v>
      </c>
    </row>
    <row r="2259" spans="1:6" ht="12.75" customHeight="1" x14ac:dyDescent="0.2">
      <c r="A2259" s="3"/>
      <c r="C2259" s="114"/>
      <c r="D2259" s="759"/>
      <c r="E2259" s="85"/>
      <c r="F2259" s="59">
        <f t="shared" si="135"/>
        <v>0</v>
      </c>
    </row>
    <row r="2260" spans="1:6" ht="12.75" customHeight="1" x14ac:dyDescent="0.2">
      <c r="A2260" s="3"/>
      <c r="C2260" s="114"/>
      <c r="D2260" s="759"/>
      <c r="E2260" s="85"/>
      <c r="F2260" s="59">
        <f t="shared" si="135"/>
        <v>0</v>
      </c>
    </row>
    <row r="2261" spans="1:6" ht="12.75" customHeight="1" x14ac:dyDescent="0.2">
      <c r="A2261" s="3"/>
      <c r="C2261" s="114"/>
      <c r="D2261" s="759"/>
      <c r="E2261" s="85"/>
      <c r="F2261" s="59">
        <f t="shared" si="135"/>
        <v>0</v>
      </c>
    </row>
    <row r="2262" spans="1:6" ht="12.75" customHeight="1" x14ac:dyDescent="0.2">
      <c r="A2262" s="3"/>
      <c r="B2262" s="86" t="s">
        <v>258</v>
      </c>
      <c r="C2262" s="87"/>
      <c r="D2262" s="88"/>
      <c r="E2262" s="89"/>
      <c r="F2262" s="90">
        <f>SUM(F2255:F2261)</f>
        <v>0</v>
      </c>
    </row>
    <row r="2263" spans="1:6" ht="12.75" customHeight="1" x14ac:dyDescent="0.2">
      <c r="A2263" s="3"/>
      <c r="B2263" s="91" t="s">
        <v>261</v>
      </c>
      <c r="C2263" s="15">
        <f>'A IX.'!$C$45</f>
        <v>0</v>
      </c>
      <c r="D2263" s="92"/>
      <c r="E2263" s="93"/>
      <c r="F2263" s="94">
        <f>ROUND(F2262*C2263,2)</f>
        <v>0</v>
      </c>
    </row>
    <row r="2264" spans="1:6" ht="12.75" customHeight="1" x14ac:dyDescent="0.2">
      <c r="A2264" s="3"/>
      <c r="B2264" s="91" t="s">
        <v>70</v>
      </c>
      <c r="C2264" s="15">
        <f>$D$8</f>
        <v>0</v>
      </c>
      <c r="D2264" s="92"/>
      <c r="E2264" s="93"/>
      <c r="F2264" s="94">
        <f>ROUND(SUM(F2262:F2263)*C2264,2)</f>
        <v>0</v>
      </c>
    </row>
    <row r="2265" spans="1:6" ht="12.75" customHeight="1" thickBot="1" x14ac:dyDescent="0.25">
      <c r="A2265" s="98"/>
      <c r="B2265" s="99" t="s">
        <v>262</v>
      </c>
      <c r="C2265" s="100"/>
      <c r="D2265" s="100"/>
      <c r="E2265" s="101"/>
      <c r="F2265" s="102">
        <f>SUM(F2262:F2264)</f>
        <v>0</v>
      </c>
    </row>
    <row r="2266" spans="1:6" ht="12.75" customHeight="1" thickBot="1" x14ac:dyDescent="0.25">
      <c r="A2266" s="81"/>
      <c r="B2266" s="82"/>
      <c r="C2266" s="83"/>
      <c r="D2266" s="83"/>
      <c r="E2266" s="84"/>
      <c r="F2266" s="103"/>
    </row>
    <row r="2267" spans="1:6" ht="30" customHeight="1" x14ac:dyDescent="0.2">
      <c r="A2267" s="5" t="str">
        <f>'A IV.A'!A76</f>
        <v>3.4.5</v>
      </c>
      <c r="B2267" s="416" t="str">
        <f>'A IV.A'!B76</f>
        <v xml:space="preserve">ESCAVAÇÃO MECANIZADA DE  VALA EM SOLO DE 1ª CATEGORIA COM PROFUNDIDADE ATÉ 2,0M </v>
      </c>
      <c r="C2267" s="526" t="s">
        <v>269</v>
      </c>
      <c r="D2267" s="527"/>
      <c r="E2267" s="417" t="str">
        <f>'A IV.A'!C76</f>
        <v>M3</v>
      </c>
      <c r="F2267" s="58">
        <f>ROUND(F2287+F2301+F2313,2)</f>
        <v>0</v>
      </c>
    </row>
    <row r="2268" spans="1:6" ht="12.75" customHeight="1" x14ac:dyDescent="0.2">
      <c r="A2268" s="1" t="s">
        <v>17</v>
      </c>
      <c r="B2268" s="418" t="s">
        <v>162</v>
      </c>
      <c r="C2268" s="419" t="s">
        <v>263</v>
      </c>
      <c r="D2268" s="419" t="s">
        <v>264</v>
      </c>
      <c r="E2268" s="420" t="s">
        <v>265</v>
      </c>
      <c r="F2268" s="57" t="s">
        <v>266</v>
      </c>
    </row>
    <row r="2269" spans="1:6" ht="12.75" customHeight="1" x14ac:dyDescent="0.2">
      <c r="A2269" s="6"/>
      <c r="B2269" s="421"/>
      <c r="C2269" s="114"/>
      <c r="D2269" s="757"/>
      <c r="E2269" s="85"/>
      <c r="F2269" s="59">
        <f>ROUND(C2269*E2269,2)</f>
        <v>0</v>
      </c>
    </row>
    <row r="2270" spans="1:6" ht="12.75" customHeight="1" x14ac:dyDescent="0.2">
      <c r="A2270" s="6"/>
      <c r="B2270" s="421"/>
      <c r="C2270" s="114"/>
      <c r="D2270" s="757"/>
      <c r="E2270" s="85"/>
      <c r="F2270" s="59">
        <f t="shared" ref="F2270:F2284" si="136">ROUND(C2270*E2270,2)</f>
        <v>0</v>
      </c>
    </row>
    <row r="2271" spans="1:6" ht="12.75" customHeight="1" x14ac:dyDescent="0.2">
      <c r="A2271" s="6"/>
      <c r="B2271" s="421"/>
      <c r="C2271" s="114"/>
      <c r="D2271" s="757"/>
      <c r="E2271" s="85"/>
      <c r="F2271" s="59">
        <f t="shared" si="136"/>
        <v>0</v>
      </c>
    </row>
    <row r="2272" spans="1:6" ht="12.75" customHeight="1" x14ac:dyDescent="0.2">
      <c r="A2272" s="6"/>
      <c r="B2272" s="421"/>
      <c r="C2272" s="114"/>
      <c r="D2272" s="757"/>
      <c r="E2272" s="85"/>
      <c r="F2272" s="59">
        <f t="shared" si="136"/>
        <v>0</v>
      </c>
    </row>
    <row r="2273" spans="1:6" ht="12.75" customHeight="1" x14ac:dyDescent="0.2">
      <c r="A2273" s="6"/>
      <c r="B2273" s="421"/>
      <c r="C2273" s="114"/>
      <c r="D2273" s="757"/>
      <c r="E2273" s="85"/>
      <c r="F2273" s="59">
        <f t="shared" si="136"/>
        <v>0</v>
      </c>
    </row>
    <row r="2274" spans="1:6" ht="12.75" customHeight="1" x14ac:dyDescent="0.2">
      <c r="A2274" s="6"/>
      <c r="B2274" s="421"/>
      <c r="C2274" s="114"/>
      <c r="D2274" s="757"/>
      <c r="E2274" s="85"/>
      <c r="F2274" s="59">
        <f t="shared" si="136"/>
        <v>0</v>
      </c>
    </row>
    <row r="2275" spans="1:6" ht="12.75" customHeight="1" x14ac:dyDescent="0.2">
      <c r="A2275" s="6"/>
      <c r="B2275" s="421"/>
      <c r="C2275" s="114"/>
      <c r="D2275" s="757"/>
      <c r="E2275" s="85"/>
      <c r="F2275" s="59">
        <f t="shared" si="136"/>
        <v>0</v>
      </c>
    </row>
    <row r="2276" spans="1:6" ht="12.75" customHeight="1" x14ac:dyDescent="0.2">
      <c r="A2276" s="6"/>
      <c r="B2276" s="421"/>
      <c r="C2276" s="114"/>
      <c r="D2276" s="757"/>
      <c r="E2276" s="85"/>
      <c r="F2276" s="59">
        <f t="shared" si="136"/>
        <v>0</v>
      </c>
    </row>
    <row r="2277" spans="1:6" ht="12.75" customHeight="1" x14ac:dyDescent="0.2">
      <c r="A2277" s="6"/>
      <c r="B2277" s="421"/>
      <c r="C2277" s="114"/>
      <c r="D2277" s="757"/>
      <c r="E2277" s="85"/>
      <c r="F2277" s="59">
        <f t="shared" si="136"/>
        <v>0</v>
      </c>
    </row>
    <row r="2278" spans="1:6" ht="12.75" customHeight="1" x14ac:dyDescent="0.2">
      <c r="A2278" s="6"/>
      <c r="B2278" s="421"/>
      <c r="C2278" s="114"/>
      <c r="D2278" s="757"/>
      <c r="E2278" s="85"/>
      <c r="F2278" s="59">
        <f t="shared" si="136"/>
        <v>0</v>
      </c>
    </row>
    <row r="2279" spans="1:6" ht="12.75" customHeight="1" x14ac:dyDescent="0.2">
      <c r="A2279" s="6"/>
      <c r="B2279" s="421"/>
      <c r="C2279" s="114"/>
      <c r="D2279" s="757"/>
      <c r="E2279" s="85"/>
      <c r="F2279" s="59">
        <f t="shared" si="136"/>
        <v>0</v>
      </c>
    </row>
    <row r="2280" spans="1:6" ht="12.75" customHeight="1" x14ac:dyDescent="0.2">
      <c r="A2280" s="6"/>
      <c r="B2280" s="421"/>
      <c r="C2280" s="114"/>
      <c r="D2280" s="758"/>
      <c r="E2280" s="85"/>
      <c r="F2280" s="59">
        <f t="shared" si="136"/>
        <v>0</v>
      </c>
    </row>
    <row r="2281" spans="1:6" ht="12.75" customHeight="1" x14ac:dyDescent="0.2">
      <c r="A2281" s="6"/>
      <c r="B2281" s="421"/>
      <c r="C2281" s="114"/>
      <c r="D2281" s="758"/>
      <c r="E2281" s="85"/>
      <c r="F2281" s="59">
        <f t="shared" si="136"/>
        <v>0</v>
      </c>
    </row>
    <row r="2282" spans="1:6" ht="12.75" customHeight="1" x14ac:dyDescent="0.2">
      <c r="A2282" s="6"/>
      <c r="B2282" s="421"/>
      <c r="C2282" s="114"/>
      <c r="D2282" s="758"/>
      <c r="E2282" s="85"/>
      <c r="F2282" s="59">
        <f t="shared" si="136"/>
        <v>0</v>
      </c>
    </row>
    <row r="2283" spans="1:6" ht="12.75" customHeight="1" x14ac:dyDescent="0.2">
      <c r="A2283" s="3"/>
      <c r="C2283" s="114"/>
      <c r="D2283" s="759"/>
      <c r="E2283" s="85"/>
      <c r="F2283" s="59">
        <f t="shared" si="136"/>
        <v>0</v>
      </c>
    </row>
    <row r="2284" spans="1:6" ht="12.75" customHeight="1" x14ac:dyDescent="0.2">
      <c r="A2284" s="3"/>
      <c r="C2284" s="114"/>
      <c r="D2284" s="759"/>
      <c r="E2284" s="85"/>
      <c r="F2284" s="59">
        <f t="shared" si="136"/>
        <v>0</v>
      </c>
    </row>
    <row r="2285" spans="1:6" ht="12.75" customHeight="1" x14ac:dyDescent="0.2">
      <c r="A2285" s="3"/>
      <c r="B2285" s="86" t="s">
        <v>258</v>
      </c>
      <c r="C2285" s="87"/>
      <c r="D2285" s="88"/>
      <c r="E2285" s="89"/>
      <c r="F2285" s="90">
        <f>SUM(F2269:F2284)</f>
        <v>0</v>
      </c>
    </row>
    <row r="2286" spans="1:6" ht="12.75" customHeight="1" x14ac:dyDescent="0.2">
      <c r="A2286" s="3"/>
      <c r="B2286" s="91" t="s">
        <v>70</v>
      </c>
      <c r="C2286" s="15">
        <f>$D$8</f>
        <v>0</v>
      </c>
      <c r="D2286" s="92"/>
      <c r="E2286" s="93"/>
      <c r="F2286" s="94">
        <f>ROUND(F2285*C2286,2)</f>
        <v>0</v>
      </c>
    </row>
    <row r="2287" spans="1:6" ht="12.75" customHeight="1" x14ac:dyDescent="0.2">
      <c r="A2287" s="95"/>
      <c r="B2287" s="424" t="s">
        <v>259</v>
      </c>
      <c r="C2287" s="425"/>
      <c r="D2287" s="425"/>
      <c r="E2287" s="426"/>
      <c r="F2287" s="96">
        <f>F2285+F2286</f>
        <v>0</v>
      </c>
    </row>
    <row r="2288" spans="1:6" ht="12.75" customHeight="1" x14ac:dyDescent="0.2">
      <c r="A2288" s="1" t="s">
        <v>5</v>
      </c>
      <c r="B2288" s="418" t="s">
        <v>267</v>
      </c>
      <c r="C2288" s="419" t="s">
        <v>263</v>
      </c>
      <c r="D2288" s="419" t="s">
        <v>264</v>
      </c>
      <c r="E2288" s="420" t="s">
        <v>265</v>
      </c>
      <c r="F2288" s="57" t="s">
        <v>266</v>
      </c>
    </row>
    <row r="2289" spans="1:6" ht="12.75" customHeight="1" x14ac:dyDescent="0.2">
      <c r="A2289" s="3" t="str">
        <f>'A VII.'!A166</f>
        <v>2.24</v>
      </c>
      <c r="B2289" s="71" t="str">
        <f>'A VII.'!B166</f>
        <v>RETRO ESCAVADEIRA A DIESEL SOBRE PNEUS - CAÇAMBA PÁ CARREGADEIRA DE 0,75 M3 - POTÊNCIA 75 CV - CHP</v>
      </c>
      <c r="C2289" s="114">
        <v>6.4399999999999999E-2</v>
      </c>
      <c r="D2289" s="759" t="str">
        <f>'A VII.'!C166</f>
        <v>CHP</v>
      </c>
      <c r="E2289" s="85">
        <f>'A VII.'!D166</f>
        <v>0</v>
      </c>
      <c r="F2289" s="59">
        <f t="shared" ref="F2289:F2298" si="137">ROUND(C2289*E2289,2)</f>
        <v>0</v>
      </c>
    </row>
    <row r="2290" spans="1:6" ht="12.75" customHeight="1" x14ac:dyDescent="0.2">
      <c r="A2290" s="3"/>
      <c r="C2290" s="114"/>
      <c r="D2290" s="759"/>
      <c r="E2290" s="85"/>
      <c r="F2290" s="59">
        <f t="shared" si="137"/>
        <v>0</v>
      </c>
    </row>
    <row r="2291" spans="1:6" ht="12.75" customHeight="1" x14ac:dyDescent="0.2">
      <c r="A2291" s="3"/>
      <c r="C2291" s="114"/>
      <c r="D2291" s="759"/>
      <c r="E2291" s="85"/>
      <c r="F2291" s="59">
        <f t="shared" si="137"/>
        <v>0</v>
      </c>
    </row>
    <row r="2292" spans="1:6" ht="12.75" customHeight="1" x14ac:dyDescent="0.2">
      <c r="A2292" s="3"/>
      <c r="C2292" s="114"/>
      <c r="D2292" s="759"/>
      <c r="E2292" s="85"/>
      <c r="F2292" s="59">
        <f t="shared" si="137"/>
        <v>0</v>
      </c>
    </row>
    <row r="2293" spans="1:6" ht="12.75" customHeight="1" x14ac:dyDescent="0.2">
      <c r="A2293" s="3"/>
      <c r="C2293" s="114"/>
      <c r="D2293" s="759"/>
      <c r="E2293" s="85"/>
      <c r="F2293" s="59">
        <f t="shared" si="137"/>
        <v>0</v>
      </c>
    </row>
    <row r="2294" spans="1:6" ht="12.75" customHeight="1" x14ac:dyDescent="0.2">
      <c r="A2294" s="3"/>
      <c r="C2294" s="114"/>
      <c r="D2294" s="759"/>
      <c r="E2294" s="85"/>
      <c r="F2294" s="59">
        <f t="shared" si="137"/>
        <v>0</v>
      </c>
    </row>
    <row r="2295" spans="1:6" ht="12.75" customHeight="1" x14ac:dyDescent="0.2">
      <c r="A2295" s="3"/>
      <c r="C2295" s="114"/>
      <c r="D2295" s="759"/>
      <c r="E2295" s="85"/>
      <c r="F2295" s="59">
        <f t="shared" si="137"/>
        <v>0</v>
      </c>
    </row>
    <row r="2296" spans="1:6" ht="12.75" customHeight="1" x14ac:dyDescent="0.2">
      <c r="A2296" s="3"/>
      <c r="C2296" s="114"/>
      <c r="D2296" s="759"/>
      <c r="E2296" s="85"/>
      <c r="F2296" s="59">
        <f t="shared" si="137"/>
        <v>0</v>
      </c>
    </row>
    <row r="2297" spans="1:6" ht="12.75" customHeight="1" x14ac:dyDescent="0.2">
      <c r="A2297" s="3"/>
      <c r="C2297" s="114"/>
      <c r="D2297" s="759"/>
      <c r="E2297" s="85"/>
      <c r="F2297" s="59">
        <f t="shared" si="137"/>
        <v>0</v>
      </c>
    </row>
    <row r="2298" spans="1:6" ht="12.75" customHeight="1" x14ac:dyDescent="0.2">
      <c r="A2298" s="3"/>
      <c r="C2298" s="114"/>
      <c r="D2298" s="759"/>
      <c r="E2298" s="85"/>
      <c r="F2298" s="59">
        <f t="shared" si="137"/>
        <v>0</v>
      </c>
    </row>
    <row r="2299" spans="1:6" ht="12.75" customHeight="1" x14ac:dyDescent="0.2">
      <c r="A2299" s="3"/>
      <c r="B2299" s="86" t="s">
        <v>258</v>
      </c>
      <c r="C2299" s="87"/>
      <c r="D2299" s="88"/>
      <c r="E2299" s="89"/>
      <c r="F2299" s="90">
        <f>SUM(F2289:F2298)</f>
        <v>0</v>
      </c>
    </row>
    <row r="2300" spans="1:6" ht="12.75" customHeight="1" x14ac:dyDescent="0.2">
      <c r="A2300" s="3"/>
      <c r="B2300" s="91" t="s">
        <v>70</v>
      </c>
      <c r="C2300" s="15">
        <f>$D$8</f>
        <v>0</v>
      </c>
      <c r="D2300" s="92"/>
      <c r="E2300" s="93"/>
      <c r="F2300" s="94">
        <f>ROUND(C2300*F2299,2)</f>
        <v>0</v>
      </c>
    </row>
    <row r="2301" spans="1:6" ht="12.75" customHeight="1" x14ac:dyDescent="0.2">
      <c r="A2301" s="95"/>
      <c r="B2301" s="424" t="s">
        <v>260</v>
      </c>
      <c r="C2301" s="425"/>
      <c r="D2301" s="425"/>
      <c r="E2301" s="426"/>
      <c r="F2301" s="96">
        <f>F2299+F2300</f>
        <v>0</v>
      </c>
    </row>
    <row r="2302" spans="1:6" ht="12.75" customHeight="1" x14ac:dyDescent="0.2">
      <c r="A2302" s="97" t="s">
        <v>54</v>
      </c>
      <c r="B2302" s="427" t="s">
        <v>268</v>
      </c>
      <c r="C2302" s="428" t="s">
        <v>263</v>
      </c>
      <c r="D2302" s="429" t="s">
        <v>264</v>
      </c>
      <c r="E2302" s="430" t="s">
        <v>265</v>
      </c>
      <c r="F2302" s="57" t="s">
        <v>266</v>
      </c>
    </row>
    <row r="2303" spans="1:6" ht="12.75" customHeight="1" x14ac:dyDescent="0.2">
      <c r="A2303" s="3" t="str">
        <f>'A VII.'!$A$196</f>
        <v>3.16</v>
      </c>
      <c r="B2303" s="74" t="s">
        <v>189</v>
      </c>
      <c r="C2303" s="114">
        <v>6.4399999999999999E-2</v>
      </c>
      <c r="D2303" s="759" t="str">
        <f>VLOOKUP(A2303,'A VII.'!$A$10:$D$199,3,FALSE)</f>
        <v>H</v>
      </c>
      <c r="E2303" s="85">
        <f>'A VII.'!$D$196</f>
        <v>0</v>
      </c>
      <c r="F2303" s="59">
        <f t="shared" ref="F2303:F2309" si="138">ROUND(C2303*E2303,2)</f>
        <v>0</v>
      </c>
    </row>
    <row r="2304" spans="1:6" ht="12.75" customHeight="1" x14ac:dyDescent="0.2">
      <c r="A2304" s="3"/>
      <c r="C2304" s="114"/>
      <c r="D2304" s="759"/>
      <c r="E2304" s="85"/>
      <c r="F2304" s="59">
        <f t="shared" si="138"/>
        <v>0</v>
      </c>
    </row>
    <row r="2305" spans="1:6" ht="12.75" customHeight="1" x14ac:dyDescent="0.2">
      <c r="A2305" s="3"/>
      <c r="C2305" s="114"/>
      <c r="D2305" s="759"/>
      <c r="E2305" s="85"/>
      <c r="F2305" s="59">
        <f t="shared" si="138"/>
        <v>0</v>
      </c>
    </row>
    <row r="2306" spans="1:6" ht="12.75" customHeight="1" x14ac:dyDescent="0.2">
      <c r="A2306" s="3"/>
      <c r="C2306" s="114"/>
      <c r="D2306" s="759"/>
      <c r="E2306" s="85"/>
      <c r="F2306" s="59">
        <f t="shared" si="138"/>
        <v>0</v>
      </c>
    </row>
    <row r="2307" spans="1:6" ht="12.75" customHeight="1" x14ac:dyDescent="0.2">
      <c r="A2307" s="3"/>
      <c r="C2307" s="114"/>
      <c r="D2307" s="759"/>
      <c r="E2307" s="85"/>
      <c r="F2307" s="59">
        <f t="shared" si="138"/>
        <v>0</v>
      </c>
    </row>
    <row r="2308" spans="1:6" ht="12.75" customHeight="1" x14ac:dyDescent="0.2">
      <c r="A2308" s="3"/>
      <c r="C2308" s="114"/>
      <c r="D2308" s="759"/>
      <c r="E2308" s="85"/>
      <c r="F2308" s="59">
        <f t="shared" si="138"/>
        <v>0</v>
      </c>
    </row>
    <row r="2309" spans="1:6" ht="12.75" customHeight="1" x14ac:dyDescent="0.2">
      <c r="A2309" s="3"/>
      <c r="C2309" s="114"/>
      <c r="D2309" s="759"/>
      <c r="E2309" s="85"/>
      <c r="F2309" s="59">
        <f t="shared" si="138"/>
        <v>0</v>
      </c>
    </row>
    <row r="2310" spans="1:6" ht="12.75" customHeight="1" x14ac:dyDescent="0.2">
      <c r="A2310" s="3"/>
      <c r="B2310" s="86" t="s">
        <v>258</v>
      </c>
      <c r="C2310" s="87"/>
      <c r="D2310" s="88"/>
      <c r="E2310" s="89"/>
      <c r="F2310" s="90">
        <f>SUM(F2303:F2309)</f>
        <v>0</v>
      </c>
    </row>
    <row r="2311" spans="1:6" ht="12.75" customHeight="1" x14ac:dyDescent="0.2">
      <c r="A2311" s="3"/>
      <c r="B2311" s="91" t="s">
        <v>261</v>
      </c>
      <c r="C2311" s="15">
        <f>'A IX.'!$C$45</f>
        <v>0</v>
      </c>
      <c r="D2311" s="92"/>
      <c r="E2311" s="93"/>
      <c r="F2311" s="94">
        <f>ROUND(F2310*C2311,2)</f>
        <v>0</v>
      </c>
    </row>
    <row r="2312" spans="1:6" ht="12.75" customHeight="1" x14ac:dyDescent="0.2">
      <c r="A2312" s="3"/>
      <c r="B2312" s="91" t="s">
        <v>70</v>
      </c>
      <c r="C2312" s="15">
        <f>$D$8</f>
        <v>0</v>
      </c>
      <c r="D2312" s="92"/>
      <c r="E2312" s="93"/>
      <c r="F2312" s="94">
        <f>ROUND(SUM(F2310:F2311)*C2312,2)</f>
        <v>0</v>
      </c>
    </row>
    <row r="2313" spans="1:6" ht="12.75" customHeight="1" thickBot="1" x14ac:dyDescent="0.25">
      <c r="A2313" s="98"/>
      <c r="B2313" s="99" t="s">
        <v>262</v>
      </c>
      <c r="C2313" s="100"/>
      <c r="D2313" s="100"/>
      <c r="E2313" s="101"/>
      <c r="F2313" s="102">
        <f>SUM(F2310:F2312)</f>
        <v>0</v>
      </c>
    </row>
    <row r="2314" spans="1:6" ht="12.75" customHeight="1" thickBot="1" x14ac:dyDescent="0.25">
      <c r="A2314" s="252"/>
      <c r="B2314" s="253"/>
      <c r="C2314" s="254"/>
      <c r="D2314" s="254"/>
      <c r="E2314" s="255"/>
      <c r="F2314" s="256"/>
    </row>
    <row r="2315" spans="1:6" ht="30" customHeight="1" x14ac:dyDescent="0.2">
      <c r="A2315" s="5" t="str">
        <f>'A IV.A'!A77</f>
        <v>3.4.8</v>
      </c>
      <c r="B2315" s="416" t="str">
        <f>'A IV.A'!B77</f>
        <v>LANÇAMENTO, ESPALHAMENTO E ACOMODAÇÃO MECANIZADA DE BRITA PARA COBERTURA DE PÁTIO</v>
      </c>
      <c r="C2315" s="526" t="s">
        <v>269</v>
      </c>
      <c r="D2315" s="527"/>
      <c r="E2315" s="417" t="str">
        <f>'A IV.A'!$C$77</f>
        <v>M3</v>
      </c>
      <c r="F2315" s="58">
        <f>ROUND(F2335+F2349+F2361,2)</f>
        <v>0</v>
      </c>
    </row>
    <row r="2316" spans="1:6" ht="12.75" customHeight="1" x14ac:dyDescent="0.2">
      <c r="A2316" s="1" t="s">
        <v>17</v>
      </c>
      <c r="B2316" s="418" t="s">
        <v>162</v>
      </c>
      <c r="C2316" s="419" t="s">
        <v>263</v>
      </c>
      <c r="D2316" s="419" t="s">
        <v>264</v>
      </c>
      <c r="E2316" s="420" t="s">
        <v>265</v>
      </c>
      <c r="F2316" s="57" t="s">
        <v>266</v>
      </c>
    </row>
    <row r="2317" spans="1:6" ht="12.75" customHeight="1" x14ac:dyDescent="0.2">
      <c r="A2317" s="6" t="str">
        <f>'A VII.'!$A$82</f>
        <v>1.73</v>
      </c>
      <c r="B2317" s="8" t="str">
        <f>VLOOKUP($A2317,'A VII.'!$A$10:$D$199,2,FALSE)</f>
        <v>PEDRA BRITADA Nº 1 GRANULOMETRIA ENTRE (9,5 E 25,00 MM)</v>
      </c>
      <c r="C2317" s="114">
        <v>1.05</v>
      </c>
      <c r="D2317" s="757" t="str">
        <f>VLOOKUP($A2317,'A VII.'!$A$10:$D$199,3,FALSE)</f>
        <v>M3</v>
      </c>
      <c r="E2317" s="85">
        <f>VLOOKUP(A2317,'A VII.'!$A$10:$D$199,4,FALSE)</f>
        <v>0</v>
      </c>
      <c r="F2317" s="59">
        <f>ROUND(C2317*E2317,2)</f>
        <v>0</v>
      </c>
    </row>
    <row r="2318" spans="1:6" ht="12.75" customHeight="1" x14ac:dyDescent="0.2">
      <c r="A2318" s="6"/>
      <c r="B2318" s="8"/>
      <c r="C2318" s="114"/>
      <c r="D2318" s="757"/>
      <c r="E2318" s="85"/>
      <c r="F2318" s="59">
        <f t="shared" ref="F2318:F2332" si="139">ROUND(C2318*E2318,2)</f>
        <v>0</v>
      </c>
    </row>
    <row r="2319" spans="1:6" ht="12.75" customHeight="1" x14ac:dyDescent="0.2">
      <c r="A2319" s="6"/>
      <c r="B2319" s="8"/>
      <c r="C2319" s="114"/>
      <c r="D2319" s="757"/>
      <c r="E2319" s="85"/>
      <c r="F2319" s="59">
        <f t="shared" si="139"/>
        <v>0</v>
      </c>
    </row>
    <row r="2320" spans="1:6" ht="12.75" customHeight="1" x14ac:dyDescent="0.2">
      <c r="A2320" s="6"/>
      <c r="B2320" s="421"/>
      <c r="C2320" s="114"/>
      <c r="D2320" s="757"/>
      <c r="E2320" s="85"/>
      <c r="F2320" s="59">
        <f t="shared" si="139"/>
        <v>0</v>
      </c>
    </row>
    <row r="2321" spans="1:6" ht="12.75" customHeight="1" x14ac:dyDescent="0.2">
      <c r="A2321" s="6"/>
      <c r="B2321" s="421"/>
      <c r="C2321" s="114"/>
      <c r="D2321" s="757"/>
      <c r="E2321" s="85"/>
      <c r="F2321" s="59">
        <f t="shared" si="139"/>
        <v>0</v>
      </c>
    </row>
    <row r="2322" spans="1:6" ht="12.75" customHeight="1" x14ac:dyDescent="0.2">
      <c r="A2322" s="6"/>
      <c r="B2322" s="421"/>
      <c r="C2322" s="114"/>
      <c r="D2322" s="757"/>
      <c r="E2322" s="85"/>
      <c r="F2322" s="59">
        <f t="shared" si="139"/>
        <v>0</v>
      </c>
    </row>
    <row r="2323" spans="1:6" ht="12.75" customHeight="1" x14ac:dyDescent="0.2">
      <c r="A2323" s="6"/>
      <c r="B2323" s="421"/>
      <c r="C2323" s="114"/>
      <c r="D2323" s="757"/>
      <c r="E2323" s="85"/>
      <c r="F2323" s="59">
        <f t="shared" si="139"/>
        <v>0</v>
      </c>
    </row>
    <row r="2324" spans="1:6" ht="12.75" customHeight="1" x14ac:dyDescent="0.2">
      <c r="A2324" s="6"/>
      <c r="B2324" s="421"/>
      <c r="C2324" s="114"/>
      <c r="D2324" s="757"/>
      <c r="E2324" s="85"/>
      <c r="F2324" s="59">
        <f t="shared" si="139"/>
        <v>0</v>
      </c>
    </row>
    <row r="2325" spans="1:6" ht="12.75" customHeight="1" x14ac:dyDescent="0.2">
      <c r="A2325" s="6"/>
      <c r="B2325" s="421"/>
      <c r="C2325" s="114"/>
      <c r="D2325" s="757"/>
      <c r="E2325" s="85"/>
      <c r="F2325" s="59">
        <f t="shared" si="139"/>
        <v>0</v>
      </c>
    </row>
    <row r="2326" spans="1:6" ht="12.75" customHeight="1" x14ac:dyDescent="0.2">
      <c r="A2326" s="6"/>
      <c r="B2326" s="421"/>
      <c r="C2326" s="114"/>
      <c r="D2326" s="757"/>
      <c r="E2326" s="85"/>
      <c r="F2326" s="59">
        <f t="shared" si="139"/>
        <v>0</v>
      </c>
    </row>
    <row r="2327" spans="1:6" ht="12.75" customHeight="1" x14ac:dyDescent="0.2">
      <c r="A2327" s="6"/>
      <c r="B2327" s="421"/>
      <c r="C2327" s="114"/>
      <c r="D2327" s="757"/>
      <c r="E2327" s="85"/>
      <c r="F2327" s="59">
        <f t="shared" si="139"/>
        <v>0</v>
      </c>
    </row>
    <row r="2328" spans="1:6" ht="12.75" customHeight="1" x14ac:dyDescent="0.2">
      <c r="A2328" s="6"/>
      <c r="B2328" s="421"/>
      <c r="C2328" s="114"/>
      <c r="D2328" s="758"/>
      <c r="E2328" s="85"/>
      <c r="F2328" s="59">
        <f t="shared" si="139"/>
        <v>0</v>
      </c>
    </row>
    <row r="2329" spans="1:6" ht="12.75" customHeight="1" x14ac:dyDescent="0.2">
      <c r="A2329" s="6"/>
      <c r="B2329" s="421"/>
      <c r="C2329" s="114"/>
      <c r="D2329" s="758"/>
      <c r="E2329" s="85"/>
      <c r="F2329" s="59">
        <f t="shared" si="139"/>
        <v>0</v>
      </c>
    </row>
    <row r="2330" spans="1:6" ht="12.75" customHeight="1" x14ac:dyDescent="0.2">
      <c r="A2330" s="6"/>
      <c r="B2330" s="421"/>
      <c r="C2330" s="114"/>
      <c r="D2330" s="758"/>
      <c r="E2330" s="85"/>
      <c r="F2330" s="59">
        <f t="shared" si="139"/>
        <v>0</v>
      </c>
    </row>
    <row r="2331" spans="1:6" ht="12.75" customHeight="1" x14ac:dyDescent="0.2">
      <c r="A2331" s="3"/>
      <c r="C2331" s="114"/>
      <c r="D2331" s="759"/>
      <c r="E2331" s="85"/>
      <c r="F2331" s="59">
        <f t="shared" si="139"/>
        <v>0</v>
      </c>
    </row>
    <row r="2332" spans="1:6" ht="12.75" customHeight="1" x14ac:dyDescent="0.2">
      <c r="A2332" s="3"/>
      <c r="C2332" s="114"/>
      <c r="D2332" s="759"/>
      <c r="E2332" s="85"/>
      <c r="F2332" s="59">
        <f t="shared" si="139"/>
        <v>0</v>
      </c>
    </row>
    <row r="2333" spans="1:6" ht="12.75" customHeight="1" x14ac:dyDescent="0.2">
      <c r="A2333" s="3"/>
      <c r="B2333" s="86" t="s">
        <v>258</v>
      </c>
      <c r="C2333" s="87"/>
      <c r="D2333" s="88"/>
      <c r="E2333" s="89"/>
      <c r="F2333" s="90">
        <f>SUM(F2317:F2332)</f>
        <v>0</v>
      </c>
    </row>
    <row r="2334" spans="1:6" ht="12.75" customHeight="1" x14ac:dyDescent="0.2">
      <c r="A2334" s="3"/>
      <c r="B2334" s="91" t="s">
        <v>70</v>
      </c>
      <c r="C2334" s="15">
        <f>$D$8</f>
        <v>0</v>
      </c>
      <c r="D2334" s="92"/>
      <c r="E2334" s="93"/>
      <c r="F2334" s="94">
        <f>ROUND(F2333*C2334,2)</f>
        <v>0</v>
      </c>
    </row>
    <row r="2335" spans="1:6" ht="12.75" customHeight="1" x14ac:dyDescent="0.2">
      <c r="A2335" s="95"/>
      <c r="B2335" s="424" t="s">
        <v>259</v>
      </c>
      <c r="C2335" s="425"/>
      <c r="D2335" s="425"/>
      <c r="E2335" s="426"/>
      <c r="F2335" s="96">
        <f>F2333+F2334</f>
        <v>0</v>
      </c>
    </row>
    <row r="2336" spans="1:6" ht="12.75" customHeight="1" x14ac:dyDescent="0.2">
      <c r="A2336" s="1" t="s">
        <v>5</v>
      </c>
      <c r="B2336" s="418" t="s">
        <v>267</v>
      </c>
      <c r="C2336" s="419" t="s">
        <v>263</v>
      </c>
      <c r="D2336" s="419" t="s">
        <v>264</v>
      </c>
      <c r="E2336" s="420" t="s">
        <v>265</v>
      </c>
      <c r="F2336" s="57" t="s">
        <v>266</v>
      </c>
    </row>
    <row r="2337" spans="1:6" ht="12.75" customHeight="1" x14ac:dyDescent="0.2">
      <c r="A2337" s="3" t="str">
        <f>'A VII.'!$A$166</f>
        <v>2.24</v>
      </c>
      <c r="B2337" s="8" t="str">
        <f>VLOOKUP($A2337,'A VII.'!$A$10:$D$199,2,FALSE)</f>
        <v>RETRO ESCAVADEIRA A DIESEL SOBRE PNEUS - CAÇAMBA PÁ CARREGADEIRA DE 0,75 M3 - POTÊNCIA 75 CV - CHP</v>
      </c>
      <c r="C2337" s="114">
        <v>4.3700000000000003E-2</v>
      </c>
      <c r="D2337" s="757" t="str">
        <f>VLOOKUP($A2337,'A VII.'!$A$10:$D$199,3,FALSE)</f>
        <v>CHP</v>
      </c>
      <c r="E2337" s="85">
        <f>VLOOKUP(A2337,'A VII.'!$A$10:$D$199,4,FALSE)</f>
        <v>0</v>
      </c>
      <c r="F2337" s="59">
        <f t="shared" ref="F2337:F2346" si="140">ROUND(C2337*E2337,2)</f>
        <v>0</v>
      </c>
    </row>
    <row r="2338" spans="1:6" ht="12.75" customHeight="1" x14ac:dyDescent="0.2">
      <c r="A2338" s="3" t="str">
        <f>'A VII.'!$A$167</f>
        <v>2.25</v>
      </c>
      <c r="B2338" s="8" t="str">
        <f>VLOOKUP($A2338,'A VII.'!$A$10:$D$199,2,FALSE)</f>
        <v>RETRO ESCAVADEIRA A DIESEL SOBRE PNEUS - CAÇAMBA PÁ CARREGADEIRA DE 0,75 M3 - POTÊNCIA 75 CV - CHI</v>
      </c>
      <c r="C2338" s="114">
        <v>0.1903</v>
      </c>
      <c r="D2338" s="757" t="str">
        <f>VLOOKUP($A2338,'A VII.'!$A$10:$D$199,3,FALSE)</f>
        <v>CHI</v>
      </c>
      <c r="E2338" s="85">
        <f>VLOOKUP(A2338,'A VII.'!$A$10:$D$199,4,FALSE)</f>
        <v>0</v>
      </c>
      <c r="F2338" s="59">
        <f t="shared" si="140"/>
        <v>0</v>
      </c>
    </row>
    <row r="2339" spans="1:6" ht="12.75" customHeight="1" x14ac:dyDescent="0.2">
      <c r="A2339" s="3"/>
      <c r="C2339" s="114"/>
      <c r="D2339" s="759"/>
      <c r="E2339" s="85"/>
      <c r="F2339" s="59">
        <f t="shared" si="140"/>
        <v>0</v>
      </c>
    </row>
    <row r="2340" spans="1:6" ht="12.75" customHeight="1" x14ac:dyDescent="0.2">
      <c r="A2340" s="3"/>
      <c r="C2340" s="114"/>
      <c r="D2340" s="759"/>
      <c r="E2340" s="85"/>
      <c r="F2340" s="59">
        <f t="shared" si="140"/>
        <v>0</v>
      </c>
    </row>
    <row r="2341" spans="1:6" ht="12.75" customHeight="1" x14ac:dyDescent="0.2">
      <c r="A2341" s="3"/>
      <c r="C2341" s="114"/>
      <c r="D2341" s="759"/>
      <c r="E2341" s="85"/>
      <c r="F2341" s="59">
        <f t="shared" si="140"/>
        <v>0</v>
      </c>
    </row>
    <row r="2342" spans="1:6" ht="12.75" customHeight="1" x14ac:dyDescent="0.2">
      <c r="A2342" s="3"/>
      <c r="C2342" s="114"/>
      <c r="D2342" s="759"/>
      <c r="E2342" s="85"/>
      <c r="F2342" s="59">
        <f t="shared" si="140"/>
        <v>0</v>
      </c>
    </row>
    <row r="2343" spans="1:6" ht="12.75" customHeight="1" x14ac:dyDescent="0.2">
      <c r="A2343" s="3"/>
      <c r="C2343" s="114"/>
      <c r="D2343" s="759"/>
      <c r="E2343" s="85"/>
      <c r="F2343" s="59">
        <f t="shared" si="140"/>
        <v>0</v>
      </c>
    </row>
    <row r="2344" spans="1:6" ht="12.75" customHeight="1" x14ac:dyDescent="0.2">
      <c r="A2344" s="3"/>
      <c r="C2344" s="114"/>
      <c r="D2344" s="759"/>
      <c r="E2344" s="85"/>
      <c r="F2344" s="59">
        <f t="shared" si="140"/>
        <v>0</v>
      </c>
    </row>
    <row r="2345" spans="1:6" ht="12.75" customHeight="1" x14ac:dyDescent="0.2">
      <c r="A2345" s="3"/>
      <c r="C2345" s="114"/>
      <c r="D2345" s="759"/>
      <c r="E2345" s="85"/>
      <c r="F2345" s="59">
        <f t="shared" si="140"/>
        <v>0</v>
      </c>
    </row>
    <row r="2346" spans="1:6" ht="12.75" customHeight="1" x14ac:dyDescent="0.2">
      <c r="A2346" s="3"/>
      <c r="C2346" s="114"/>
      <c r="D2346" s="759"/>
      <c r="E2346" s="85"/>
      <c r="F2346" s="59">
        <f t="shared" si="140"/>
        <v>0</v>
      </c>
    </row>
    <row r="2347" spans="1:6" ht="12.75" customHeight="1" x14ac:dyDescent="0.2">
      <c r="A2347" s="3"/>
      <c r="B2347" s="86" t="s">
        <v>258</v>
      </c>
      <c r="C2347" s="87"/>
      <c r="D2347" s="88"/>
      <c r="E2347" s="89"/>
      <c r="F2347" s="90">
        <f>SUM(F2337:F2346)</f>
        <v>0</v>
      </c>
    </row>
    <row r="2348" spans="1:6" ht="12.75" customHeight="1" x14ac:dyDescent="0.2">
      <c r="A2348" s="3"/>
      <c r="B2348" s="91" t="s">
        <v>70</v>
      </c>
      <c r="C2348" s="15">
        <f>$D$8</f>
        <v>0</v>
      </c>
      <c r="D2348" s="92"/>
      <c r="E2348" s="93"/>
      <c r="F2348" s="94">
        <f>ROUND(C2348*F2347,2)</f>
        <v>0</v>
      </c>
    </row>
    <row r="2349" spans="1:6" ht="12.75" customHeight="1" x14ac:dyDescent="0.2">
      <c r="A2349" s="95"/>
      <c r="B2349" s="424" t="s">
        <v>260</v>
      </c>
      <c r="C2349" s="425"/>
      <c r="D2349" s="425"/>
      <c r="E2349" s="426"/>
      <c r="F2349" s="96">
        <f>F2347+F2348</f>
        <v>0</v>
      </c>
    </row>
    <row r="2350" spans="1:6" ht="12.75" customHeight="1" x14ac:dyDescent="0.2">
      <c r="A2350" s="97" t="s">
        <v>54</v>
      </c>
      <c r="B2350" s="427" t="s">
        <v>268</v>
      </c>
      <c r="C2350" s="428" t="s">
        <v>263</v>
      </c>
      <c r="D2350" s="429" t="s">
        <v>264</v>
      </c>
      <c r="E2350" s="430" t="s">
        <v>265</v>
      </c>
      <c r="F2350" s="57" t="s">
        <v>266</v>
      </c>
    </row>
    <row r="2351" spans="1:6" ht="12.75" customHeight="1" x14ac:dyDescent="0.2">
      <c r="A2351" s="3" t="str">
        <f>'A VII.'!$A$196</f>
        <v>3.16</v>
      </c>
      <c r="B2351" s="74" t="s">
        <v>189</v>
      </c>
      <c r="C2351" s="114">
        <v>0.2059</v>
      </c>
      <c r="D2351" s="759" t="str">
        <f>VLOOKUP(A2351,'A VII.'!$A$10:$D$199,3,FALSE)</f>
        <v>H</v>
      </c>
      <c r="E2351" s="85">
        <f>'A VII.'!$D$196</f>
        <v>0</v>
      </c>
      <c r="F2351" s="59">
        <f t="shared" ref="F2351:F2357" si="141">ROUND(C2351*E2351,2)</f>
        <v>0</v>
      </c>
    </row>
    <row r="2352" spans="1:6" ht="12.75" customHeight="1" x14ac:dyDescent="0.2">
      <c r="A2352" s="3" t="str">
        <f>'A VII.'!$A$192</f>
        <v>3.12</v>
      </c>
      <c r="B2352" s="8" t="str">
        <f>VLOOKUP($A2352,'A VII.'!$A$10:$D$199,2,FALSE)</f>
        <v>PEDREIRO COM ENCARGOS COMPLEMENTARES</v>
      </c>
      <c r="C2352" s="114">
        <v>6.8599999999999994E-2</v>
      </c>
      <c r="D2352" s="757" t="str">
        <f>VLOOKUP($A2352,'A VII.'!$A$10:$D$199,3,FALSE)</f>
        <v>H</v>
      </c>
      <c r="E2352" s="85">
        <f>VLOOKUP(A2352,'A VII.'!$A$10:$D$199,4,FALSE)</f>
        <v>0</v>
      </c>
      <c r="F2352" s="59">
        <f t="shared" si="141"/>
        <v>0</v>
      </c>
    </row>
    <row r="2353" spans="1:6" ht="12.75" customHeight="1" x14ac:dyDescent="0.2">
      <c r="A2353" s="3"/>
      <c r="C2353" s="114"/>
      <c r="D2353" s="759"/>
      <c r="E2353" s="85"/>
      <c r="F2353" s="59">
        <f t="shared" si="141"/>
        <v>0</v>
      </c>
    </row>
    <row r="2354" spans="1:6" ht="12.75" customHeight="1" x14ac:dyDescent="0.2">
      <c r="A2354" s="3"/>
      <c r="C2354" s="114"/>
      <c r="D2354" s="759"/>
      <c r="E2354" s="85"/>
      <c r="F2354" s="59">
        <f t="shared" si="141"/>
        <v>0</v>
      </c>
    </row>
    <row r="2355" spans="1:6" ht="12.75" customHeight="1" x14ac:dyDescent="0.2">
      <c r="A2355" s="3"/>
      <c r="C2355" s="114"/>
      <c r="D2355" s="759"/>
      <c r="E2355" s="85"/>
      <c r="F2355" s="59">
        <f t="shared" si="141"/>
        <v>0</v>
      </c>
    </row>
    <row r="2356" spans="1:6" ht="12.75" customHeight="1" x14ac:dyDescent="0.2">
      <c r="A2356" s="3"/>
      <c r="C2356" s="114"/>
      <c r="D2356" s="759"/>
      <c r="E2356" s="85"/>
      <c r="F2356" s="59">
        <f t="shared" si="141"/>
        <v>0</v>
      </c>
    </row>
    <row r="2357" spans="1:6" ht="12.75" customHeight="1" x14ac:dyDescent="0.2">
      <c r="A2357" s="3"/>
      <c r="C2357" s="114"/>
      <c r="D2357" s="759"/>
      <c r="E2357" s="85"/>
      <c r="F2357" s="59">
        <f t="shared" si="141"/>
        <v>0</v>
      </c>
    </row>
    <row r="2358" spans="1:6" ht="12.75" customHeight="1" x14ac:dyDescent="0.2">
      <c r="A2358" s="3"/>
      <c r="B2358" s="86" t="s">
        <v>258</v>
      </c>
      <c r="C2358" s="87"/>
      <c r="D2358" s="88"/>
      <c r="E2358" s="89"/>
      <c r="F2358" s="90">
        <f>SUM(F2351:F2357)</f>
        <v>0</v>
      </c>
    </row>
    <row r="2359" spans="1:6" ht="12.75" customHeight="1" x14ac:dyDescent="0.2">
      <c r="A2359" s="3"/>
      <c r="B2359" s="91" t="s">
        <v>261</v>
      </c>
      <c r="C2359" s="15">
        <f>'A IX.'!$C$45</f>
        <v>0</v>
      </c>
      <c r="D2359" s="92"/>
      <c r="E2359" s="93"/>
      <c r="F2359" s="94">
        <f>ROUND(F2358*C2359,2)</f>
        <v>0</v>
      </c>
    </row>
    <row r="2360" spans="1:6" ht="12.75" customHeight="1" x14ac:dyDescent="0.2">
      <c r="A2360" s="3"/>
      <c r="B2360" s="91" t="s">
        <v>70</v>
      </c>
      <c r="C2360" s="15">
        <f>$D$8</f>
        <v>0</v>
      </c>
      <c r="D2360" s="92"/>
      <c r="E2360" s="93"/>
      <c r="F2360" s="94">
        <f>ROUND(SUM(F2358:F2359)*C2360,2)</f>
        <v>0</v>
      </c>
    </row>
    <row r="2361" spans="1:6" ht="12.75" customHeight="1" thickBot="1" x14ac:dyDescent="0.25">
      <c r="A2361" s="98"/>
      <c r="B2361" s="99" t="s">
        <v>262</v>
      </c>
      <c r="C2361" s="100"/>
      <c r="D2361" s="100"/>
      <c r="E2361" s="101"/>
      <c r="F2361" s="102">
        <f>SUM(F2358:F2360)</f>
        <v>0</v>
      </c>
    </row>
    <row r="2362" spans="1:6" ht="12.75" customHeight="1" thickBot="1" x14ac:dyDescent="0.25">
      <c r="A2362" s="252"/>
      <c r="B2362" s="253"/>
      <c r="C2362" s="254"/>
      <c r="D2362" s="254"/>
      <c r="E2362" s="255"/>
      <c r="F2362" s="256"/>
    </row>
    <row r="2363" spans="1:6" ht="30" customHeight="1" x14ac:dyDescent="0.2">
      <c r="A2363" s="5" t="str">
        <f>'A IV.A'!A78</f>
        <v>3.4.9</v>
      </c>
      <c r="B2363" s="416" t="str">
        <f>'A IV.A'!B78</f>
        <v>LASTRO DE BRITA APILOADO</v>
      </c>
      <c r="C2363" s="526" t="s">
        <v>269</v>
      </c>
      <c r="D2363" s="527"/>
      <c r="E2363" s="417" t="str">
        <f>'A IV.A'!C78</f>
        <v>M3</v>
      </c>
      <c r="F2363" s="58">
        <f>ROUND(F2383+F2397+F2409,2)</f>
        <v>0</v>
      </c>
    </row>
    <row r="2364" spans="1:6" ht="12.75" customHeight="1" x14ac:dyDescent="0.2">
      <c r="A2364" s="1" t="s">
        <v>17</v>
      </c>
      <c r="B2364" s="418" t="s">
        <v>162</v>
      </c>
      <c r="C2364" s="419" t="s">
        <v>263</v>
      </c>
      <c r="D2364" s="419" t="s">
        <v>264</v>
      </c>
      <c r="E2364" s="420" t="s">
        <v>265</v>
      </c>
      <c r="F2364" s="57" t="s">
        <v>266</v>
      </c>
    </row>
    <row r="2365" spans="1:6" ht="12.75" customHeight="1" x14ac:dyDescent="0.2">
      <c r="A2365" s="6" t="str">
        <f>'A VII.'!$A$82</f>
        <v>1.73</v>
      </c>
      <c r="B2365" s="8" t="str">
        <f>VLOOKUP($A2365,'A VII.'!$A$10:$D$199,2,FALSE)</f>
        <v>PEDRA BRITADA Nº 1 GRANULOMETRIA ENTRE (9,5 E 25,00 MM)</v>
      </c>
      <c r="C2365" s="114">
        <v>1.2</v>
      </c>
      <c r="D2365" s="757" t="str">
        <f>VLOOKUP($A2365,'A VII.'!$A$10:$D$199,3,FALSE)</f>
        <v>M3</v>
      </c>
      <c r="E2365" s="85">
        <f>VLOOKUP(A2365,'A VII.'!$A$10:$D$199,4,FALSE)</f>
        <v>0</v>
      </c>
      <c r="F2365" s="59">
        <f>ROUND(C2365*E2365,2)</f>
        <v>0</v>
      </c>
    </row>
    <row r="2366" spans="1:6" ht="12.75" customHeight="1" x14ac:dyDescent="0.2">
      <c r="A2366" s="6"/>
      <c r="B2366" s="8"/>
      <c r="C2366" s="114"/>
      <c r="D2366" s="757"/>
      <c r="E2366" s="85"/>
      <c r="F2366" s="59">
        <f t="shared" ref="F2366:F2380" si="142">ROUND(C2366*E2366,2)</f>
        <v>0</v>
      </c>
    </row>
    <row r="2367" spans="1:6" ht="12.75" customHeight="1" x14ac:dyDescent="0.2">
      <c r="A2367" s="6"/>
      <c r="B2367" s="8"/>
      <c r="C2367" s="114"/>
      <c r="D2367" s="757"/>
      <c r="E2367" s="85"/>
      <c r="F2367" s="59">
        <f t="shared" si="142"/>
        <v>0</v>
      </c>
    </row>
    <row r="2368" spans="1:6" ht="12.75" customHeight="1" x14ac:dyDescent="0.2">
      <c r="A2368" s="6"/>
      <c r="B2368" s="421"/>
      <c r="C2368" s="114"/>
      <c r="D2368" s="757"/>
      <c r="E2368" s="85"/>
      <c r="F2368" s="59">
        <f t="shared" si="142"/>
        <v>0</v>
      </c>
    </row>
    <row r="2369" spans="1:6" ht="12.75" customHeight="1" x14ac:dyDescent="0.2">
      <c r="A2369" s="6"/>
      <c r="B2369" s="421"/>
      <c r="C2369" s="114"/>
      <c r="D2369" s="757"/>
      <c r="E2369" s="85"/>
      <c r="F2369" s="59">
        <f t="shared" si="142"/>
        <v>0</v>
      </c>
    </row>
    <row r="2370" spans="1:6" ht="12.75" customHeight="1" x14ac:dyDescent="0.2">
      <c r="A2370" s="6"/>
      <c r="B2370" s="421"/>
      <c r="C2370" s="114"/>
      <c r="D2370" s="757"/>
      <c r="E2370" s="85"/>
      <c r="F2370" s="59">
        <f t="shared" si="142"/>
        <v>0</v>
      </c>
    </row>
    <row r="2371" spans="1:6" ht="12.75" customHeight="1" x14ac:dyDescent="0.2">
      <c r="A2371" s="6"/>
      <c r="B2371" s="421"/>
      <c r="C2371" s="114"/>
      <c r="D2371" s="757"/>
      <c r="E2371" s="85"/>
      <c r="F2371" s="59">
        <f t="shared" si="142"/>
        <v>0</v>
      </c>
    </row>
    <row r="2372" spans="1:6" ht="12.75" customHeight="1" x14ac:dyDescent="0.2">
      <c r="A2372" s="6"/>
      <c r="B2372" s="421"/>
      <c r="C2372" s="114"/>
      <c r="D2372" s="757"/>
      <c r="E2372" s="85"/>
      <c r="F2372" s="59">
        <f t="shared" si="142"/>
        <v>0</v>
      </c>
    </row>
    <row r="2373" spans="1:6" ht="12.75" customHeight="1" x14ac:dyDescent="0.2">
      <c r="A2373" s="6"/>
      <c r="B2373" s="421"/>
      <c r="C2373" s="114"/>
      <c r="D2373" s="757"/>
      <c r="E2373" s="85"/>
      <c r="F2373" s="59">
        <f t="shared" si="142"/>
        <v>0</v>
      </c>
    </row>
    <row r="2374" spans="1:6" ht="12.75" customHeight="1" x14ac:dyDescent="0.2">
      <c r="A2374" s="6"/>
      <c r="B2374" s="421"/>
      <c r="C2374" s="114"/>
      <c r="D2374" s="757"/>
      <c r="E2374" s="85"/>
      <c r="F2374" s="59">
        <f t="shared" si="142"/>
        <v>0</v>
      </c>
    </row>
    <row r="2375" spans="1:6" ht="12.75" customHeight="1" x14ac:dyDescent="0.2">
      <c r="A2375" s="6"/>
      <c r="B2375" s="421"/>
      <c r="C2375" s="114"/>
      <c r="D2375" s="757"/>
      <c r="E2375" s="85"/>
      <c r="F2375" s="59">
        <f t="shared" si="142"/>
        <v>0</v>
      </c>
    </row>
    <row r="2376" spans="1:6" ht="12.75" customHeight="1" x14ac:dyDescent="0.2">
      <c r="A2376" s="6"/>
      <c r="B2376" s="421"/>
      <c r="C2376" s="114"/>
      <c r="D2376" s="758"/>
      <c r="E2376" s="85"/>
      <c r="F2376" s="59">
        <f t="shared" si="142"/>
        <v>0</v>
      </c>
    </row>
    <row r="2377" spans="1:6" ht="12.75" customHeight="1" x14ac:dyDescent="0.2">
      <c r="A2377" s="6"/>
      <c r="B2377" s="421"/>
      <c r="C2377" s="114"/>
      <c r="D2377" s="758"/>
      <c r="E2377" s="85"/>
      <c r="F2377" s="59">
        <f t="shared" si="142"/>
        <v>0</v>
      </c>
    </row>
    <row r="2378" spans="1:6" ht="12.75" customHeight="1" x14ac:dyDescent="0.2">
      <c r="A2378" s="6"/>
      <c r="B2378" s="421"/>
      <c r="C2378" s="114"/>
      <c r="D2378" s="758"/>
      <c r="E2378" s="85"/>
      <c r="F2378" s="59">
        <f t="shared" si="142"/>
        <v>0</v>
      </c>
    </row>
    <row r="2379" spans="1:6" ht="12.75" customHeight="1" x14ac:dyDescent="0.2">
      <c r="A2379" s="3"/>
      <c r="C2379" s="114"/>
      <c r="D2379" s="759"/>
      <c r="E2379" s="85"/>
      <c r="F2379" s="59">
        <f t="shared" si="142"/>
        <v>0</v>
      </c>
    </row>
    <row r="2380" spans="1:6" ht="12.75" customHeight="1" x14ac:dyDescent="0.2">
      <c r="A2380" s="3"/>
      <c r="C2380" s="114"/>
      <c r="D2380" s="759"/>
      <c r="E2380" s="85"/>
      <c r="F2380" s="59">
        <f t="shared" si="142"/>
        <v>0</v>
      </c>
    </row>
    <row r="2381" spans="1:6" ht="12.75" customHeight="1" x14ac:dyDescent="0.2">
      <c r="A2381" s="3"/>
      <c r="B2381" s="86" t="s">
        <v>258</v>
      </c>
      <c r="C2381" s="87"/>
      <c r="D2381" s="88"/>
      <c r="E2381" s="89"/>
      <c r="F2381" s="90">
        <f>SUM(F2365:F2380)</f>
        <v>0</v>
      </c>
    </row>
    <row r="2382" spans="1:6" ht="12.75" customHeight="1" x14ac:dyDescent="0.2">
      <c r="A2382" s="3"/>
      <c r="B2382" s="91" t="s">
        <v>70</v>
      </c>
      <c r="C2382" s="15">
        <f>$D$8</f>
        <v>0</v>
      </c>
      <c r="D2382" s="92"/>
      <c r="E2382" s="93"/>
      <c r="F2382" s="94">
        <f>ROUND(F2381*C2382,2)</f>
        <v>0</v>
      </c>
    </row>
    <row r="2383" spans="1:6" ht="12.75" customHeight="1" x14ac:dyDescent="0.2">
      <c r="A2383" s="95"/>
      <c r="B2383" s="424" t="s">
        <v>259</v>
      </c>
      <c r="C2383" s="425"/>
      <c r="D2383" s="425"/>
      <c r="E2383" s="426"/>
      <c r="F2383" s="96">
        <f>F2381+F2382</f>
        <v>0</v>
      </c>
    </row>
    <row r="2384" spans="1:6" ht="12.75" customHeight="1" x14ac:dyDescent="0.2">
      <c r="A2384" s="1" t="s">
        <v>5</v>
      </c>
      <c r="B2384" s="418" t="s">
        <v>267</v>
      </c>
      <c r="C2384" s="419" t="s">
        <v>263</v>
      </c>
      <c r="D2384" s="419" t="s">
        <v>264</v>
      </c>
      <c r="E2384" s="420" t="s">
        <v>265</v>
      </c>
      <c r="F2384" s="57" t="s">
        <v>266</v>
      </c>
    </row>
    <row r="2385" spans="1:6" ht="12.75" customHeight="1" x14ac:dyDescent="0.2">
      <c r="A2385" s="3"/>
      <c r="B2385" s="8"/>
      <c r="C2385" s="114"/>
      <c r="D2385" s="757"/>
      <c r="E2385" s="85"/>
      <c r="F2385" s="59">
        <f t="shared" ref="F2385:F2394" si="143">ROUND(C2385*E2385,2)</f>
        <v>0</v>
      </c>
    </row>
    <row r="2386" spans="1:6" ht="12.75" customHeight="1" x14ac:dyDescent="0.2">
      <c r="A2386" s="3"/>
      <c r="B2386" s="8"/>
      <c r="C2386" s="114"/>
      <c r="D2386" s="757"/>
      <c r="E2386" s="85"/>
      <c r="F2386" s="59">
        <f t="shared" si="143"/>
        <v>0</v>
      </c>
    </row>
    <row r="2387" spans="1:6" ht="12.75" customHeight="1" x14ac:dyDescent="0.2">
      <c r="A2387" s="3"/>
      <c r="C2387" s="114"/>
      <c r="D2387" s="759"/>
      <c r="E2387" s="85"/>
      <c r="F2387" s="59">
        <f t="shared" si="143"/>
        <v>0</v>
      </c>
    </row>
    <row r="2388" spans="1:6" ht="12.75" customHeight="1" x14ac:dyDescent="0.2">
      <c r="A2388" s="3"/>
      <c r="C2388" s="114"/>
      <c r="D2388" s="759"/>
      <c r="E2388" s="85"/>
      <c r="F2388" s="59">
        <f t="shared" si="143"/>
        <v>0</v>
      </c>
    </row>
    <row r="2389" spans="1:6" ht="12.75" customHeight="1" x14ac:dyDescent="0.2">
      <c r="A2389" s="3"/>
      <c r="C2389" s="114"/>
      <c r="D2389" s="759"/>
      <c r="E2389" s="85"/>
      <c r="F2389" s="59">
        <f t="shared" si="143"/>
        <v>0</v>
      </c>
    </row>
    <row r="2390" spans="1:6" ht="12.75" customHeight="1" x14ac:dyDescent="0.2">
      <c r="A2390" s="3"/>
      <c r="C2390" s="114"/>
      <c r="D2390" s="759"/>
      <c r="E2390" s="85"/>
      <c r="F2390" s="59">
        <f t="shared" si="143"/>
        <v>0</v>
      </c>
    </row>
    <row r="2391" spans="1:6" ht="12.75" customHeight="1" x14ac:dyDescent="0.2">
      <c r="A2391" s="3"/>
      <c r="C2391" s="114"/>
      <c r="D2391" s="759"/>
      <c r="E2391" s="85"/>
      <c r="F2391" s="59">
        <f t="shared" si="143"/>
        <v>0</v>
      </c>
    </row>
    <row r="2392" spans="1:6" ht="12.75" customHeight="1" x14ac:dyDescent="0.2">
      <c r="A2392" s="3"/>
      <c r="C2392" s="114"/>
      <c r="D2392" s="759"/>
      <c r="E2392" s="85"/>
      <c r="F2392" s="59">
        <f t="shared" si="143"/>
        <v>0</v>
      </c>
    </row>
    <row r="2393" spans="1:6" ht="12.75" customHeight="1" x14ac:dyDescent="0.2">
      <c r="A2393" s="3"/>
      <c r="C2393" s="114"/>
      <c r="D2393" s="759"/>
      <c r="E2393" s="85"/>
      <c r="F2393" s="59">
        <f t="shared" si="143"/>
        <v>0</v>
      </c>
    </row>
    <row r="2394" spans="1:6" ht="12.75" customHeight="1" x14ac:dyDescent="0.2">
      <c r="A2394" s="3"/>
      <c r="C2394" s="114"/>
      <c r="D2394" s="759"/>
      <c r="E2394" s="85"/>
      <c r="F2394" s="59">
        <f t="shared" si="143"/>
        <v>0</v>
      </c>
    </row>
    <row r="2395" spans="1:6" ht="12.75" customHeight="1" x14ac:dyDescent="0.2">
      <c r="A2395" s="3"/>
      <c r="B2395" s="86" t="s">
        <v>258</v>
      </c>
      <c r="C2395" s="87"/>
      <c r="D2395" s="88"/>
      <c r="E2395" s="89"/>
      <c r="F2395" s="90">
        <f>SUM(F2385:F2394)</f>
        <v>0</v>
      </c>
    </row>
    <row r="2396" spans="1:6" ht="12.75" customHeight="1" x14ac:dyDescent="0.2">
      <c r="A2396" s="3"/>
      <c r="B2396" s="91" t="s">
        <v>70</v>
      </c>
      <c r="C2396" s="15">
        <f>$D$8</f>
        <v>0</v>
      </c>
      <c r="D2396" s="92"/>
      <c r="E2396" s="93"/>
      <c r="F2396" s="94">
        <f>ROUND(C2396*F2395,2)</f>
        <v>0</v>
      </c>
    </row>
    <row r="2397" spans="1:6" ht="12.75" customHeight="1" x14ac:dyDescent="0.2">
      <c r="A2397" s="95"/>
      <c r="B2397" s="424" t="s">
        <v>260</v>
      </c>
      <c r="C2397" s="425"/>
      <c r="D2397" s="425"/>
      <c r="E2397" s="426"/>
      <c r="F2397" s="96">
        <f>F2395+F2396</f>
        <v>0</v>
      </c>
    </row>
    <row r="2398" spans="1:6" ht="12.75" customHeight="1" x14ac:dyDescent="0.2">
      <c r="A2398" s="97" t="s">
        <v>54</v>
      </c>
      <c r="B2398" s="427" t="s">
        <v>268</v>
      </c>
      <c r="C2398" s="428" t="s">
        <v>263</v>
      </c>
      <c r="D2398" s="429" t="s">
        <v>264</v>
      </c>
      <c r="E2398" s="430" t="s">
        <v>265</v>
      </c>
      <c r="F2398" s="57" t="s">
        <v>266</v>
      </c>
    </row>
    <row r="2399" spans="1:6" ht="12.75" customHeight="1" x14ac:dyDescent="0.2">
      <c r="A2399" s="3" t="str">
        <f>'A VII.'!$A$196</f>
        <v>3.16</v>
      </c>
      <c r="B2399" s="74" t="s">
        <v>189</v>
      </c>
      <c r="C2399" s="114">
        <v>1.5</v>
      </c>
      <c r="D2399" s="759" t="str">
        <f>VLOOKUP(A2399,'A VII.'!$A$10:$D$199,3,FALSE)</f>
        <v>H</v>
      </c>
      <c r="E2399" s="85">
        <f>'A VII.'!$D$196</f>
        <v>0</v>
      </c>
      <c r="F2399" s="59">
        <f t="shared" ref="F2399:F2405" si="144">ROUND(C2399*E2399,2)</f>
        <v>0</v>
      </c>
    </row>
    <row r="2400" spans="1:6" ht="12.75" customHeight="1" x14ac:dyDescent="0.2">
      <c r="A2400" s="3"/>
      <c r="B2400" s="8"/>
      <c r="C2400" s="114"/>
      <c r="D2400" s="757"/>
      <c r="E2400" s="85"/>
      <c r="F2400" s="59">
        <f t="shared" si="144"/>
        <v>0</v>
      </c>
    </row>
    <row r="2401" spans="1:6" ht="12.75" customHeight="1" x14ac:dyDescent="0.2">
      <c r="A2401" s="3"/>
      <c r="C2401" s="114"/>
      <c r="D2401" s="759"/>
      <c r="E2401" s="85"/>
      <c r="F2401" s="59">
        <f t="shared" si="144"/>
        <v>0</v>
      </c>
    </row>
    <row r="2402" spans="1:6" ht="12.75" customHeight="1" x14ac:dyDescent="0.2">
      <c r="A2402" s="3"/>
      <c r="C2402" s="114"/>
      <c r="D2402" s="759"/>
      <c r="E2402" s="85"/>
      <c r="F2402" s="59">
        <f t="shared" si="144"/>
        <v>0</v>
      </c>
    </row>
    <row r="2403" spans="1:6" ht="12.75" customHeight="1" x14ac:dyDescent="0.2">
      <c r="A2403" s="3"/>
      <c r="C2403" s="114"/>
      <c r="D2403" s="759"/>
      <c r="E2403" s="85"/>
      <c r="F2403" s="59">
        <f t="shared" si="144"/>
        <v>0</v>
      </c>
    </row>
    <row r="2404" spans="1:6" ht="12.75" customHeight="1" x14ac:dyDescent="0.2">
      <c r="A2404" s="3"/>
      <c r="C2404" s="114"/>
      <c r="D2404" s="759"/>
      <c r="E2404" s="85"/>
      <c r="F2404" s="59">
        <f t="shared" si="144"/>
        <v>0</v>
      </c>
    </row>
    <row r="2405" spans="1:6" ht="12.75" customHeight="1" x14ac:dyDescent="0.2">
      <c r="A2405" s="3"/>
      <c r="C2405" s="114"/>
      <c r="D2405" s="759"/>
      <c r="E2405" s="85"/>
      <c r="F2405" s="59">
        <f t="shared" si="144"/>
        <v>0</v>
      </c>
    </row>
    <row r="2406" spans="1:6" ht="12.75" customHeight="1" x14ac:dyDescent="0.2">
      <c r="A2406" s="3"/>
      <c r="B2406" s="86" t="s">
        <v>258</v>
      </c>
      <c r="C2406" s="87"/>
      <c r="D2406" s="88"/>
      <c r="E2406" s="89"/>
      <c r="F2406" s="90">
        <f>SUM(F2399:F2405)</f>
        <v>0</v>
      </c>
    </row>
    <row r="2407" spans="1:6" ht="12.75" customHeight="1" x14ac:dyDescent="0.2">
      <c r="A2407" s="3"/>
      <c r="B2407" s="91" t="s">
        <v>261</v>
      </c>
      <c r="C2407" s="15">
        <f>'A IX.'!$C$45</f>
        <v>0</v>
      </c>
      <c r="D2407" s="92"/>
      <c r="E2407" s="93"/>
      <c r="F2407" s="94">
        <f>ROUND(F2406*C2407,2)</f>
        <v>0</v>
      </c>
    </row>
    <row r="2408" spans="1:6" ht="12.75" customHeight="1" x14ac:dyDescent="0.2">
      <c r="A2408" s="3"/>
      <c r="B2408" s="91" t="s">
        <v>70</v>
      </c>
      <c r="C2408" s="15">
        <f>$D$8</f>
        <v>0</v>
      </c>
      <c r="D2408" s="92"/>
      <c r="E2408" s="93"/>
      <c r="F2408" s="94">
        <f>ROUND(SUM(F2406:F2407)*C2408,2)</f>
        <v>0</v>
      </c>
    </row>
    <row r="2409" spans="1:6" ht="12.75" customHeight="1" thickBot="1" x14ac:dyDescent="0.25">
      <c r="A2409" s="98"/>
      <c r="B2409" s="99" t="s">
        <v>262</v>
      </c>
      <c r="C2409" s="100"/>
      <c r="D2409" s="100"/>
      <c r="E2409" s="101"/>
      <c r="F2409" s="102">
        <f>SUM(F2406:F2408)</f>
        <v>0</v>
      </c>
    </row>
    <row r="2410" spans="1:6" ht="12.75" customHeight="1" thickBot="1" x14ac:dyDescent="0.25">
      <c r="A2410" s="81"/>
      <c r="B2410" s="82"/>
      <c r="C2410" s="83"/>
      <c r="D2410" s="83"/>
      <c r="E2410" s="84"/>
      <c r="F2410" s="103"/>
    </row>
    <row r="2411" spans="1:6" ht="30" customHeight="1" x14ac:dyDescent="0.2">
      <c r="A2411" s="5" t="str">
        <f>'A IV.A'!A80</f>
        <v>3.5.1</v>
      </c>
      <c r="B2411" s="416" t="str">
        <f>'A IV.A'!B80</f>
        <v xml:space="preserve">CONCRETO ESTRUTURAL USINADO, FCK=20 MPA </v>
      </c>
      <c r="C2411" s="526" t="s">
        <v>269</v>
      </c>
      <c r="D2411" s="527"/>
      <c r="E2411" s="417" t="str">
        <f>'A IV.A'!$C$80</f>
        <v>M3</v>
      </c>
      <c r="F2411" s="58">
        <f>ROUND(F2431+F2445+F2457,2)</f>
        <v>0</v>
      </c>
    </row>
    <row r="2412" spans="1:6" ht="12.75" customHeight="1" x14ac:dyDescent="0.2">
      <c r="A2412" s="1" t="s">
        <v>17</v>
      </c>
      <c r="B2412" s="418" t="s">
        <v>162</v>
      </c>
      <c r="C2412" s="419" t="s">
        <v>263</v>
      </c>
      <c r="D2412" s="419" t="s">
        <v>264</v>
      </c>
      <c r="E2412" s="420" t="s">
        <v>265</v>
      </c>
      <c r="F2412" s="57" t="s">
        <v>266</v>
      </c>
    </row>
    <row r="2413" spans="1:6" ht="12.75" customHeight="1" x14ac:dyDescent="0.2">
      <c r="A2413" s="6" t="str">
        <f>'A VII.'!$A$41</f>
        <v>1.32</v>
      </c>
      <c r="B2413" s="421" t="str">
        <f>VLOOKUP(A2413,'A VII.'!$A$10:$D$199,2,FALSE)</f>
        <v>CONCRETO USINADO FCK = 20,0 MPA</v>
      </c>
      <c r="C2413" s="114">
        <v>1.05</v>
      </c>
      <c r="D2413" s="757" t="str">
        <f>VLOOKUP(A2413,'A VII.'!$A$10:$D$199,3,FALSE)</f>
        <v>M3</v>
      </c>
      <c r="E2413" s="85">
        <f>'A VII.'!$D$41</f>
        <v>0</v>
      </c>
      <c r="F2413" s="59">
        <f>ROUND(C2413*E2413,2)</f>
        <v>0</v>
      </c>
    </row>
    <row r="2414" spans="1:6" ht="12.75" customHeight="1" x14ac:dyDescent="0.2">
      <c r="A2414" s="6"/>
      <c r="B2414" s="421"/>
      <c r="C2414" s="114"/>
      <c r="D2414" s="757"/>
      <c r="E2414" s="85"/>
      <c r="F2414" s="59">
        <f t="shared" ref="F2414:F2428" si="145">ROUND(C2414*E2414,2)</f>
        <v>0</v>
      </c>
    </row>
    <row r="2415" spans="1:6" ht="12.75" customHeight="1" x14ac:dyDescent="0.2">
      <c r="A2415" s="6"/>
      <c r="B2415" s="421"/>
      <c r="C2415" s="114"/>
      <c r="D2415" s="757"/>
      <c r="E2415" s="85"/>
      <c r="F2415" s="59">
        <f t="shared" si="145"/>
        <v>0</v>
      </c>
    </row>
    <row r="2416" spans="1:6" ht="12.75" customHeight="1" x14ac:dyDescent="0.2">
      <c r="A2416" s="6"/>
      <c r="B2416" s="421"/>
      <c r="C2416" s="114"/>
      <c r="D2416" s="757"/>
      <c r="E2416" s="85"/>
      <c r="F2416" s="59">
        <f t="shared" si="145"/>
        <v>0</v>
      </c>
    </row>
    <row r="2417" spans="1:6" ht="12.75" customHeight="1" x14ac:dyDescent="0.2">
      <c r="A2417" s="6"/>
      <c r="B2417" s="421"/>
      <c r="C2417" s="114"/>
      <c r="D2417" s="757"/>
      <c r="E2417" s="85"/>
      <c r="F2417" s="59">
        <f t="shared" si="145"/>
        <v>0</v>
      </c>
    </row>
    <row r="2418" spans="1:6" ht="12.75" customHeight="1" x14ac:dyDescent="0.2">
      <c r="A2418" s="6"/>
      <c r="B2418" s="421"/>
      <c r="C2418" s="114"/>
      <c r="D2418" s="757"/>
      <c r="E2418" s="85"/>
      <c r="F2418" s="59">
        <f t="shared" si="145"/>
        <v>0</v>
      </c>
    </row>
    <row r="2419" spans="1:6" ht="12.75" customHeight="1" x14ac:dyDescent="0.2">
      <c r="A2419" s="6"/>
      <c r="B2419" s="421"/>
      <c r="C2419" s="114"/>
      <c r="D2419" s="757"/>
      <c r="E2419" s="85"/>
      <c r="F2419" s="59">
        <f t="shared" si="145"/>
        <v>0</v>
      </c>
    </row>
    <row r="2420" spans="1:6" ht="12.75" customHeight="1" x14ac:dyDescent="0.2">
      <c r="A2420" s="6"/>
      <c r="B2420" s="421"/>
      <c r="C2420" s="114"/>
      <c r="D2420" s="757"/>
      <c r="E2420" s="85"/>
      <c r="F2420" s="59">
        <f t="shared" si="145"/>
        <v>0</v>
      </c>
    </row>
    <row r="2421" spans="1:6" ht="12.75" customHeight="1" x14ac:dyDescent="0.2">
      <c r="A2421" s="6"/>
      <c r="B2421" s="421"/>
      <c r="C2421" s="114"/>
      <c r="D2421" s="757"/>
      <c r="E2421" s="85"/>
      <c r="F2421" s="59">
        <f t="shared" si="145"/>
        <v>0</v>
      </c>
    </row>
    <row r="2422" spans="1:6" ht="12.75" customHeight="1" x14ac:dyDescent="0.2">
      <c r="A2422" s="6"/>
      <c r="B2422" s="421"/>
      <c r="C2422" s="114"/>
      <c r="D2422" s="757"/>
      <c r="E2422" s="85"/>
      <c r="F2422" s="59">
        <f t="shared" si="145"/>
        <v>0</v>
      </c>
    </row>
    <row r="2423" spans="1:6" ht="12.75" customHeight="1" x14ac:dyDescent="0.2">
      <c r="A2423" s="6"/>
      <c r="B2423" s="421"/>
      <c r="C2423" s="114"/>
      <c r="D2423" s="757"/>
      <c r="E2423" s="85"/>
      <c r="F2423" s="59">
        <f t="shared" si="145"/>
        <v>0</v>
      </c>
    </row>
    <row r="2424" spans="1:6" ht="12.75" customHeight="1" x14ac:dyDescent="0.2">
      <c r="A2424" s="6"/>
      <c r="B2424" s="421"/>
      <c r="C2424" s="114"/>
      <c r="D2424" s="758"/>
      <c r="E2424" s="85"/>
      <c r="F2424" s="59">
        <f t="shared" si="145"/>
        <v>0</v>
      </c>
    </row>
    <row r="2425" spans="1:6" ht="12.75" customHeight="1" x14ac:dyDescent="0.2">
      <c r="A2425" s="6"/>
      <c r="B2425" s="421"/>
      <c r="C2425" s="114"/>
      <c r="D2425" s="758"/>
      <c r="E2425" s="85"/>
      <c r="F2425" s="59">
        <f t="shared" si="145"/>
        <v>0</v>
      </c>
    </row>
    <row r="2426" spans="1:6" ht="12.75" customHeight="1" x14ac:dyDescent="0.2">
      <c r="A2426" s="6"/>
      <c r="B2426" s="421"/>
      <c r="C2426" s="114"/>
      <c r="D2426" s="758"/>
      <c r="E2426" s="85"/>
      <c r="F2426" s="59">
        <f t="shared" si="145"/>
        <v>0</v>
      </c>
    </row>
    <row r="2427" spans="1:6" ht="12.75" customHeight="1" x14ac:dyDescent="0.2">
      <c r="A2427" s="3"/>
      <c r="C2427" s="114"/>
      <c r="D2427" s="759"/>
      <c r="E2427" s="85"/>
      <c r="F2427" s="59">
        <f t="shared" si="145"/>
        <v>0</v>
      </c>
    </row>
    <row r="2428" spans="1:6" ht="12.75" customHeight="1" x14ac:dyDescent="0.2">
      <c r="A2428" s="3"/>
      <c r="C2428" s="114"/>
      <c r="D2428" s="759"/>
      <c r="E2428" s="85"/>
      <c r="F2428" s="59">
        <f t="shared" si="145"/>
        <v>0</v>
      </c>
    </row>
    <row r="2429" spans="1:6" ht="12.75" customHeight="1" x14ac:dyDescent="0.2">
      <c r="A2429" s="3"/>
      <c r="B2429" s="86" t="s">
        <v>258</v>
      </c>
      <c r="C2429" s="87"/>
      <c r="D2429" s="88"/>
      <c r="E2429" s="89"/>
      <c r="F2429" s="90">
        <f>SUM(F2413:F2428)</f>
        <v>0</v>
      </c>
    </row>
    <row r="2430" spans="1:6" ht="12.75" customHeight="1" x14ac:dyDescent="0.2">
      <c r="A2430" s="3"/>
      <c r="B2430" s="91" t="s">
        <v>70</v>
      </c>
      <c r="C2430" s="15">
        <f>$D$8</f>
        <v>0</v>
      </c>
      <c r="D2430" s="92"/>
      <c r="E2430" s="93"/>
      <c r="F2430" s="94">
        <f>ROUND(F2429*C2430,2)</f>
        <v>0</v>
      </c>
    </row>
    <row r="2431" spans="1:6" ht="12.75" customHeight="1" x14ac:dyDescent="0.2">
      <c r="A2431" s="95"/>
      <c r="B2431" s="424" t="s">
        <v>259</v>
      </c>
      <c r="C2431" s="425"/>
      <c r="D2431" s="425"/>
      <c r="E2431" s="426"/>
      <c r="F2431" s="96">
        <f>F2429+F2430</f>
        <v>0</v>
      </c>
    </row>
    <row r="2432" spans="1:6" ht="12.75" customHeight="1" x14ac:dyDescent="0.2">
      <c r="A2432" s="1" t="s">
        <v>5</v>
      </c>
      <c r="B2432" s="418" t="s">
        <v>267</v>
      </c>
      <c r="C2432" s="419" t="s">
        <v>263</v>
      </c>
      <c r="D2432" s="419" t="s">
        <v>264</v>
      </c>
      <c r="E2432" s="420" t="s">
        <v>265</v>
      </c>
      <c r="F2432" s="57" t="s">
        <v>266</v>
      </c>
    </row>
    <row r="2433" spans="1:6" ht="12.75" customHeight="1" x14ac:dyDescent="0.2">
      <c r="A2433" s="3" t="str">
        <f>'A VII.'!$A$169</f>
        <v>2.27</v>
      </c>
      <c r="B2433" s="71" t="str">
        <f>VLOOKUP(A2433,'A VII.'!$A$10:$D$199,2,FALSE)</f>
        <v>VIBRADOR DE IMERSÃO COM MANGOTE 5,00 M - CHP</v>
      </c>
      <c r="C2433" s="114">
        <v>0.61499999999999999</v>
      </c>
      <c r="D2433" s="759" t="str">
        <f>VLOOKUP(A2433,'A VII.'!$A$10:$D$199,3,FALSE)</f>
        <v>CHP</v>
      </c>
      <c r="E2433" s="85">
        <f>'A VII.'!$D$169</f>
        <v>0</v>
      </c>
      <c r="F2433" s="59">
        <f t="shared" ref="F2433:F2442" si="146">ROUND(C2433*E2433,2)</f>
        <v>0</v>
      </c>
    </row>
    <row r="2434" spans="1:6" ht="12.75" customHeight="1" x14ac:dyDescent="0.2">
      <c r="A2434" s="3"/>
      <c r="C2434" s="114"/>
      <c r="D2434" s="759"/>
      <c r="E2434" s="85"/>
      <c r="F2434" s="59">
        <f t="shared" si="146"/>
        <v>0</v>
      </c>
    </row>
    <row r="2435" spans="1:6" ht="12.75" customHeight="1" x14ac:dyDescent="0.2">
      <c r="A2435" s="3"/>
      <c r="C2435" s="114"/>
      <c r="D2435" s="759"/>
      <c r="E2435" s="85"/>
      <c r="F2435" s="59">
        <f t="shared" si="146"/>
        <v>0</v>
      </c>
    </row>
    <row r="2436" spans="1:6" ht="12.75" customHeight="1" x14ac:dyDescent="0.2">
      <c r="A2436" s="3"/>
      <c r="C2436" s="114"/>
      <c r="D2436" s="759"/>
      <c r="E2436" s="85"/>
      <c r="F2436" s="59">
        <f t="shared" si="146"/>
        <v>0</v>
      </c>
    </row>
    <row r="2437" spans="1:6" ht="12.75" customHeight="1" x14ac:dyDescent="0.2">
      <c r="A2437" s="3"/>
      <c r="C2437" s="114"/>
      <c r="D2437" s="759"/>
      <c r="E2437" s="85"/>
      <c r="F2437" s="59">
        <f t="shared" si="146"/>
        <v>0</v>
      </c>
    </row>
    <row r="2438" spans="1:6" ht="12.75" customHeight="1" x14ac:dyDescent="0.2">
      <c r="A2438" s="3"/>
      <c r="C2438" s="114"/>
      <c r="D2438" s="759"/>
      <c r="E2438" s="85"/>
      <c r="F2438" s="59">
        <f t="shared" si="146"/>
        <v>0</v>
      </c>
    </row>
    <row r="2439" spans="1:6" ht="12.75" customHeight="1" x14ac:dyDescent="0.2">
      <c r="A2439" s="3"/>
      <c r="C2439" s="114"/>
      <c r="D2439" s="759"/>
      <c r="E2439" s="85"/>
      <c r="F2439" s="59">
        <f t="shared" si="146"/>
        <v>0</v>
      </c>
    </row>
    <row r="2440" spans="1:6" ht="12.75" customHeight="1" x14ac:dyDescent="0.2">
      <c r="A2440" s="3"/>
      <c r="C2440" s="114"/>
      <c r="D2440" s="759"/>
      <c r="E2440" s="85"/>
      <c r="F2440" s="59">
        <f t="shared" si="146"/>
        <v>0</v>
      </c>
    </row>
    <row r="2441" spans="1:6" ht="12.75" customHeight="1" x14ac:dyDescent="0.2">
      <c r="A2441" s="3"/>
      <c r="C2441" s="114"/>
      <c r="D2441" s="759"/>
      <c r="E2441" s="85"/>
      <c r="F2441" s="59">
        <f t="shared" si="146"/>
        <v>0</v>
      </c>
    </row>
    <row r="2442" spans="1:6" ht="12.75" customHeight="1" x14ac:dyDescent="0.2">
      <c r="A2442" s="3"/>
      <c r="C2442" s="114"/>
      <c r="D2442" s="759"/>
      <c r="E2442" s="85"/>
      <c r="F2442" s="59">
        <f t="shared" si="146"/>
        <v>0</v>
      </c>
    </row>
    <row r="2443" spans="1:6" ht="12.75" customHeight="1" x14ac:dyDescent="0.2">
      <c r="A2443" s="3"/>
      <c r="B2443" s="86" t="s">
        <v>258</v>
      </c>
      <c r="C2443" s="87"/>
      <c r="D2443" s="88"/>
      <c r="E2443" s="89"/>
      <c r="F2443" s="90">
        <f>SUM(F2433:F2442)</f>
        <v>0</v>
      </c>
    </row>
    <row r="2444" spans="1:6" ht="12.75" customHeight="1" x14ac:dyDescent="0.2">
      <c r="A2444" s="3"/>
      <c r="B2444" s="91" t="s">
        <v>70</v>
      </c>
      <c r="C2444" s="15">
        <f>$D$8</f>
        <v>0</v>
      </c>
      <c r="D2444" s="92"/>
      <c r="E2444" s="93"/>
      <c r="F2444" s="94">
        <f>ROUND(C2444*F2443,2)</f>
        <v>0</v>
      </c>
    </row>
    <row r="2445" spans="1:6" ht="12.75" customHeight="1" x14ac:dyDescent="0.2">
      <c r="A2445" s="95"/>
      <c r="B2445" s="424" t="s">
        <v>260</v>
      </c>
      <c r="C2445" s="425"/>
      <c r="D2445" s="425"/>
      <c r="E2445" s="426"/>
      <c r="F2445" s="96">
        <f>F2443+F2444</f>
        <v>0</v>
      </c>
    </row>
    <row r="2446" spans="1:6" ht="12.75" customHeight="1" x14ac:dyDescent="0.2">
      <c r="A2446" s="97" t="s">
        <v>54</v>
      </c>
      <c r="B2446" s="427" t="s">
        <v>268</v>
      </c>
      <c r="C2446" s="428" t="s">
        <v>263</v>
      </c>
      <c r="D2446" s="429" t="s">
        <v>264</v>
      </c>
      <c r="E2446" s="430" t="s">
        <v>265</v>
      </c>
      <c r="F2446" s="57" t="s">
        <v>266</v>
      </c>
    </row>
    <row r="2447" spans="1:6" ht="12.75" customHeight="1" x14ac:dyDescent="0.2">
      <c r="A2447" s="3" t="str">
        <f>'A VII.'!$A$196</f>
        <v>3.16</v>
      </c>
      <c r="B2447" s="74" t="s">
        <v>189</v>
      </c>
      <c r="C2447" s="114">
        <v>4.5</v>
      </c>
      <c r="D2447" s="759" t="str">
        <f>VLOOKUP(A2447,'A VII.'!$A$10:$D$199,3,FALSE)</f>
        <v>H</v>
      </c>
      <c r="E2447" s="85">
        <f>'A VII.'!$D$196</f>
        <v>0</v>
      </c>
      <c r="F2447" s="59">
        <f t="shared" ref="F2447:F2453" si="147">ROUND(C2447*E2447,2)</f>
        <v>0</v>
      </c>
    </row>
    <row r="2448" spans="1:6" ht="12.75" customHeight="1" x14ac:dyDescent="0.2">
      <c r="A2448" s="3" t="str">
        <f>'A VII.'!$A$192</f>
        <v>3.12</v>
      </c>
      <c r="B2448" s="74" t="s">
        <v>185</v>
      </c>
      <c r="C2448" s="114">
        <v>1.65</v>
      </c>
      <c r="D2448" s="759" t="str">
        <f>VLOOKUP(A2448,'A VII.'!$A$10:$D$199,3,FALSE)</f>
        <v>H</v>
      </c>
      <c r="E2448" s="85">
        <f>'A VII.'!$D$192</f>
        <v>0</v>
      </c>
      <c r="F2448" s="59">
        <f t="shared" si="147"/>
        <v>0</v>
      </c>
    </row>
    <row r="2449" spans="1:6" ht="12.75" customHeight="1" x14ac:dyDescent="0.2">
      <c r="A2449" s="3"/>
      <c r="C2449" s="114"/>
      <c r="D2449" s="759"/>
      <c r="E2449" s="85"/>
      <c r="F2449" s="59">
        <f t="shared" si="147"/>
        <v>0</v>
      </c>
    </row>
    <row r="2450" spans="1:6" ht="12.75" customHeight="1" x14ac:dyDescent="0.2">
      <c r="A2450" s="3"/>
      <c r="C2450" s="114"/>
      <c r="D2450" s="759"/>
      <c r="E2450" s="85"/>
      <c r="F2450" s="59">
        <f t="shared" si="147"/>
        <v>0</v>
      </c>
    </row>
    <row r="2451" spans="1:6" ht="12.75" customHeight="1" x14ac:dyDescent="0.2">
      <c r="A2451" s="3"/>
      <c r="C2451" s="114"/>
      <c r="D2451" s="759"/>
      <c r="E2451" s="85"/>
      <c r="F2451" s="59">
        <f t="shared" si="147"/>
        <v>0</v>
      </c>
    </row>
    <row r="2452" spans="1:6" ht="12.75" customHeight="1" x14ac:dyDescent="0.2">
      <c r="A2452" s="3"/>
      <c r="C2452" s="114"/>
      <c r="D2452" s="759"/>
      <c r="E2452" s="85"/>
      <c r="F2452" s="59">
        <f t="shared" si="147"/>
        <v>0</v>
      </c>
    </row>
    <row r="2453" spans="1:6" ht="12.75" customHeight="1" x14ac:dyDescent="0.2">
      <c r="A2453" s="3"/>
      <c r="C2453" s="114"/>
      <c r="D2453" s="759"/>
      <c r="E2453" s="85"/>
      <c r="F2453" s="59">
        <f t="shared" si="147"/>
        <v>0</v>
      </c>
    </row>
    <row r="2454" spans="1:6" ht="12.75" customHeight="1" x14ac:dyDescent="0.2">
      <c r="A2454" s="3"/>
      <c r="B2454" s="86" t="s">
        <v>258</v>
      </c>
      <c r="C2454" s="87"/>
      <c r="D2454" s="88"/>
      <c r="E2454" s="89"/>
      <c r="F2454" s="90">
        <f>SUM(F2447:F2453)</f>
        <v>0</v>
      </c>
    </row>
    <row r="2455" spans="1:6" ht="12.75" customHeight="1" x14ac:dyDescent="0.2">
      <c r="A2455" s="3"/>
      <c r="B2455" s="91" t="s">
        <v>261</v>
      </c>
      <c r="C2455" s="15">
        <f>'A IX.'!$C$45</f>
        <v>0</v>
      </c>
      <c r="D2455" s="92"/>
      <c r="E2455" s="93"/>
      <c r="F2455" s="94">
        <f>ROUND(F2454*C2455,2)</f>
        <v>0</v>
      </c>
    </row>
    <row r="2456" spans="1:6" ht="12.75" customHeight="1" x14ac:dyDescent="0.2">
      <c r="A2456" s="3"/>
      <c r="B2456" s="91" t="s">
        <v>70</v>
      </c>
      <c r="C2456" s="15">
        <f>$D$8</f>
        <v>0</v>
      </c>
      <c r="D2456" s="92"/>
      <c r="E2456" s="93"/>
      <c r="F2456" s="94">
        <f>ROUND(SUM(F2454:F2455)*C2456,2)</f>
        <v>0</v>
      </c>
    </row>
    <row r="2457" spans="1:6" ht="12.75" customHeight="1" thickBot="1" x14ac:dyDescent="0.25">
      <c r="A2457" s="98"/>
      <c r="B2457" s="99" t="s">
        <v>262</v>
      </c>
      <c r="C2457" s="100"/>
      <c r="D2457" s="100"/>
      <c r="E2457" s="101"/>
      <c r="F2457" s="102">
        <f>SUM(F2454:F2456)</f>
        <v>0</v>
      </c>
    </row>
    <row r="2458" spans="1:6" ht="12.75" customHeight="1" thickBot="1" x14ac:dyDescent="0.25">
      <c r="A2458" s="81"/>
      <c r="B2458" s="82"/>
      <c r="C2458" s="83"/>
      <c r="D2458" s="83"/>
      <c r="E2458" s="84"/>
      <c r="F2458" s="103"/>
    </row>
    <row r="2459" spans="1:6" ht="30" customHeight="1" x14ac:dyDescent="0.2">
      <c r="A2459" s="5" t="str">
        <f>'A IV.A'!A81</f>
        <v>3.5.2</v>
      </c>
      <c r="B2459" s="416" t="str">
        <f>'A IV.A'!B81</f>
        <v xml:space="preserve">CALÇADAS E PISOS EM CONCRETO FCK=20 MPA, PREPARO MECÂNICO, ACABAMENTO CONVENCIONAL, INCLUSIVE PREPARO DE CAIXA </v>
      </c>
      <c r="C2459" s="526" t="s">
        <v>269</v>
      </c>
      <c r="D2459" s="527"/>
      <c r="E2459" s="417" t="str">
        <f>'A IV.A'!$C$81</f>
        <v>M3</v>
      </c>
      <c r="F2459" s="58">
        <f>ROUND(F2479+F2493+F2505,2)</f>
        <v>0</v>
      </c>
    </row>
    <row r="2460" spans="1:6" ht="12.75" customHeight="1" x14ac:dyDescent="0.2">
      <c r="A2460" s="1" t="s">
        <v>17</v>
      </c>
      <c r="B2460" s="418" t="s">
        <v>162</v>
      </c>
      <c r="C2460" s="419" t="s">
        <v>263</v>
      </c>
      <c r="D2460" s="419" t="s">
        <v>264</v>
      </c>
      <c r="E2460" s="420" t="s">
        <v>265</v>
      </c>
      <c r="F2460" s="57" t="s">
        <v>266</v>
      </c>
    </row>
    <row r="2461" spans="1:6" ht="12.75" customHeight="1" x14ac:dyDescent="0.2">
      <c r="A2461" s="6" t="str">
        <f>'A VII.'!$A$19</f>
        <v>1.10</v>
      </c>
      <c r="B2461" s="421" t="str">
        <f>VLOOKUP(A2461,'A VII.'!$A$10:$D$199,2,FALSE)</f>
        <v>AREIA MÉDIA LAVADA</v>
      </c>
      <c r="C2461" s="114">
        <f>1.213*0.785</f>
        <v>0.95220500000000008</v>
      </c>
      <c r="D2461" s="757" t="str">
        <f>VLOOKUP(A2461,'A VII.'!$A$10:$D$199,3,FALSE)</f>
        <v>M3</v>
      </c>
      <c r="E2461" s="85">
        <f>'A VII.'!$D$19</f>
        <v>0</v>
      </c>
      <c r="F2461" s="59">
        <f>ROUND(C2461*E2461,2)</f>
        <v>0</v>
      </c>
    </row>
    <row r="2462" spans="1:6" ht="12.75" customHeight="1" x14ac:dyDescent="0.2">
      <c r="A2462" s="6" t="str">
        <f>'A VII.'!$A$38</f>
        <v>1.29</v>
      </c>
      <c r="B2462" s="421" t="str">
        <f>VLOOKUP(A2462,'A VII.'!$A$10:$D$199,2,FALSE)</f>
        <v>CIMENTO PORTLAND CP II-E-32</v>
      </c>
      <c r="C2462" s="114">
        <f>1.213*322.98</f>
        <v>391.77474000000007</v>
      </c>
      <c r="D2462" s="757" t="str">
        <f>VLOOKUP(A2462,'A VII.'!$A$10:$D$199,3,FALSE)</f>
        <v>KG</v>
      </c>
      <c r="E2462" s="85">
        <f>'A VII.'!$D$38</f>
        <v>0</v>
      </c>
      <c r="F2462" s="59">
        <f t="shared" ref="F2462:F2476" si="148">ROUND(C2462*E2462,2)</f>
        <v>0</v>
      </c>
    </row>
    <row r="2463" spans="1:6" ht="12.75" customHeight="1" x14ac:dyDescent="0.2">
      <c r="A2463" s="6" t="str">
        <f>'A VII.'!$A$82</f>
        <v>1.73</v>
      </c>
      <c r="B2463" s="421" t="str">
        <f>VLOOKUP(A2463,'A VII.'!$A$10:$D$199,2,FALSE)</f>
        <v>PEDRA BRITADA Nº 1 GRANULOMETRIA ENTRE (9,5 E 25,00 MM)</v>
      </c>
      <c r="C2463" s="114">
        <f>1.213*0.587</f>
        <v>0.71203099999999997</v>
      </c>
      <c r="D2463" s="757" t="str">
        <f>VLOOKUP(A2463,'A VII.'!$A$10:$D$199,3,FALSE)</f>
        <v>M3</v>
      </c>
      <c r="E2463" s="85">
        <f>'A VII.'!$D$82</f>
        <v>0</v>
      </c>
      <c r="F2463" s="59">
        <f t="shared" si="148"/>
        <v>0</v>
      </c>
    </row>
    <row r="2464" spans="1:6" ht="12.75" customHeight="1" x14ac:dyDescent="0.2">
      <c r="A2464" s="6" t="str">
        <f>'A VII.'!$A$80</f>
        <v>1.71</v>
      </c>
      <c r="B2464" s="421" t="str">
        <f>VLOOKUP(A2464,'A VII.'!$A$10:$D$199,2,FALSE)</f>
        <v>RIPA DE MADEIRA NAO APARELHADA - 1,5 X 5 CM (P/FORMA)</v>
      </c>
      <c r="C2464" s="114">
        <v>2</v>
      </c>
      <c r="D2464" s="757" t="str">
        <f>VLOOKUP(A2464,'A VII.'!$A$10:$D$199,3,FALSE)</f>
        <v>M</v>
      </c>
      <c r="E2464" s="85">
        <f>'A VII.'!$D$80</f>
        <v>0</v>
      </c>
      <c r="F2464" s="59">
        <f t="shared" si="148"/>
        <v>0</v>
      </c>
    </row>
    <row r="2465" spans="1:6" ht="12.75" customHeight="1" x14ac:dyDescent="0.2">
      <c r="A2465" s="6" t="str">
        <f>'A VII.'!$A$84</f>
        <v>1.74</v>
      </c>
      <c r="B2465" s="421" t="str">
        <f>VLOOKUP(A2465,'A VII.'!$A$10:$D$199,2,FALSE)</f>
        <v>PEDRA BRITADA Nº 2 GRANULOMETRIA ENTRE (21,0 E 32,0 MM)</v>
      </c>
      <c r="C2465" s="114">
        <f>(1.13/0.05)*0.03</f>
        <v>0.67799999999999994</v>
      </c>
      <c r="D2465" s="757" t="str">
        <f>VLOOKUP(A2465,'A VII.'!$A$10:$D$199,3,FALSE)</f>
        <v>M3</v>
      </c>
      <c r="E2465" s="85">
        <f>'A VII.'!$D$84</f>
        <v>0</v>
      </c>
      <c r="F2465" s="59">
        <f t="shared" si="148"/>
        <v>0</v>
      </c>
    </row>
    <row r="2466" spans="1:6" ht="12.75" customHeight="1" x14ac:dyDescent="0.2">
      <c r="A2466" s="6" t="str">
        <f>'A VII.'!$A$97</f>
        <v>1.87</v>
      </c>
      <c r="B2466" s="421" t="str">
        <f>VLOOKUP(A2466,'A VII.'!$A$10:$D$199,2,FALSE)</f>
        <v xml:space="preserve">SARRAFO 3A. CONSTRUÇÃO (SEÇÃO TRANSVERSAL: 1X4" - 2,5CM X 10,0CM) </v>
      </c>
      <c r="C2466" s="114">
        <v>2.5</v>
      </c>
      <c r="D2466" s="757" t="str">
        <f>VLOOKUP(A2466,'A VII.'!$A$10:$D$199,3,FALSE)</f>
        <v>M</v>
      </c>
      <c r="E2466" s="85">
        <f>'A VII.'!D97</f>
        <v>0</v>
      </c>
      <c r="F2466" s="59">
        <f t="shared" si="148"/>
        <v>0</v>
      </c>
    </row>
    <row r="2467" spans="1:6" ht="12.75" customHeight="1" x14ac:dyDescent="0.2">
      <c r="A2467" s="6"/>
      <c r="B2467" s="421"/>
      <c r="C2467" s="114"/>
      <c r="D2467" s="757"/>
      <c r="E2467" s="85"/>
      <c r="F2467" s="59">
        <f t="shared" si="148"/>
        <v>0</v>
      </c>
    </row>
    <row r="2468" spans="1:6" ht="12.75" customHeight="1" x14ac:dyDescent="0.2">
      <c r="A2468" s="6"/>
      <c r="B2468" s="421"/>
      <c r="C2468" s="114"/>
      <c r="D2468" s="757"/>
      <c r="E2468" s="85"/>
      <c r="F2468" s="59">
        <f t="shared" si="148"/>
        <v>0</v>
      </c>
    </row>
    <row r="2469" spans="1:6" ht="12.75" customHeight="1" x14ac:dyDescent="0.2">
      <c r="A2469" s="6"/>
      <c r="B2469" s="421"/>
      <c r="C2469" s="114"/>
      <c r="D2469" s="757"/>
      <c r="E2469" s="85"/>
      <c r="F2469" s="59">
        <f t="shared" si="148"/>
        <v>0</v>
      </c>
    </row>
    <row r="2470" spans="1:6" ht="12.75" customHeight="1" x14ac:dyDescent="0.2">
      <c r="A2470" s="6"/>
      <c r="B2470" s="421"/>
      <c r="C2470" s="114"/>
      <c r="D2470" s="757"/>
      <c r="E2470" s="85"/>
      <c r="F2470" s="59">
        <f t="shared" si="148"/>
        <v>0</v>
      </c>
    </row>
    <row r="2471" spans="1:6" ht="12.75" customHeight="1" x14ac:dyDescent="0.2">
      <c r="A2471" s="6"/>
      <c r="B2471" s="421"/>
      <c r="C2471" s="114"/>
      <c r="D2471" s="757"/>
      <c r="E2471" s="85"/>
      <c r="F2471" s="59">
        <f t="shared" si="148"/>
        <v>0</v>
      </c>
    </row>
    <row r="2472" spans="1:6" ht="12.75" customHeight="1" x14ac:dyDescent="0.2">
      <c r="A2472" s="6"/>
      <c r="B2472" s="421"/>
      <c r="C2472" s="114"/>
      <c r="D2472" s="758"/>
      <c r="E2472" s="85"/>
      <c r="F2472" s="59">
        <f t="shared" si="148"/>
        <v>0</v>
      </c>
    </row>
    <row r="2473" spans="1:6" ht="12.75" customHeight="1" x14ac:dyDescent="0.2">
      <c r="A2473" s="6"/>
      <c r="B2473" s="421"/>
      <c r="C2473" s="114"/>
      <c r="D2473" s="758"/>
      <c r="E2473" s="85"/>
      <c r="F2473" s="59">
        <f t="shared" si="148"/>
        <v>0</v>
      </c>
    </row>
    <row r="2474" spans="1:6" ht="12.75" customHeight="1" x14ac:dyDescent="0.2">
      <c r="A2474" s="6"/>
      <c r="B2474" s="421"/>
      <c r="C2474" s="114"/>
      <c r="D2474" s="758"/>
      <c r="E2474" s="85"/>
      <c r="F2474" s="59">
        <f t="shared" si="148"/>
        <v>0</v>
      </c>
    </row>
    <row r="2475" spans="1:6" ht="12.75" customHeight="1" x14ac:dyDescent="0.2">
      <c r="A2475" s="3"/>
      <c r="C2475" s="114"/>
      <c r="D2475" s="759"/>
      <c r="E2475" s="85"/>
      <c r="F2475" s="59">
        <f t="shared" si="148"/>
        <v>0</v>
      </c>
    </row>
    <row r="2476" spans="1:6" ht="12.75" customHeight="1" x14ac:dyDescent="0.2">
      <c r="A2476" s="3"/>
      <c r="C2476" s="114"/>
      <c r="D2476" s="759"/>
      <c r="E2476" s="85"/>
      <c r="F2476" s="59">
        <f t="shared" si="148"/>
        <v>0</v>
      </c>
    </row>
    <row r="2477" spans="1:6" ht="12.75" customHeight="1" x14ac:dyDescent="0.2">
      <c r="A2477" s="3"/>
      <c r="B2477" s="86" t="s">
        <v>258</v>
      </c>
      <c r="C2477" s="87"/>
      <c r="D2477" s="88"/>
      <c r="E2477" s="89"/>
      <c r="F2477" s="90">
        <f>SUM(F2461:F2476)</f>
        <v>0</v>
      </c>
    </row>
    <row r="2478" spans="1:6" ht="12.75" customHeight="1" x14ac:dyDescent="0.2">
      <c r="A2478" s="3"/>
      <c r="B2478" s="91" t="s">
        <v>70</v>
      </c>
      <c r="C2478" s="15">
        <f>$D$8</f>
        <v>0</v>
      </c>
      <c r="D2478" s="92"/>
      <c r="E2478" s="93"/>
      <c r="F2478" s="94">
        <f>ROUND(F2477*C2478,2)</f>
        <v>0</v>
      </c>
    </row>
    <row r="2479" spans="1:6" ht="12.75" customHeight="1" x14ac:dyDescent="0.2">
      <c r="A2479" s="95"/>
      <c r="B2479" s="424" t="s">
        <v>259</v>
      </c>
      <c r="C2479" s="425"/>
      <c r="D2479" s="425"/>
      <c r="E2479" s="426"/>
      <c r="F2479" s="96">
        <f>F2477+F2478</f>
        <v>0</v>
      </c>
    </row>
    <row r="2480" spans="1:6" ht="12.75" customHeight="1" x14ac:dyDescent="0.2">
      <c r="A2480" s="1" t="s">
        <v>5</v>
      </c>
      <c r="B2480" s="418" t="s">
        <v>267</v>
      </c>
      <c r="C2480" s="419" t="s">
        <v>263</v>
      </c>
      <c r="D2480" s="419" t="s">
        <v>264</v>
      </c>
      <c r="E2480" s="420" t="s">
        <v>265</v>
      </c>
      <c r="F2480" s="57" t="s">
        <v>266</v>
      </c>
    </row>
    <row r="2481" spans="1:6" ht="12.75" customHeight="1" x14ac:dyDescent="0.2">
      <c r="A2481" s="3" t="str">
        <f>'A VII.'!$A$149</f>
        <v>2.7</v>
      </c>
      <c r="B2481" s="71" t="str">
        <f>VLOOKUP(A2481,'A VII.'!$A$10:$D$199,2,FALSE)</f>
        <v>BETONEIRA, CAPACIDADE NOMINAL DE 400L, MOTOR ELÉTRICO TRIFÁSICO DE  2CV - CHP</v>
      </c>
      <c r="C2481" s="114">
        <f>1.213*0.83</f>
        <v>1.0067900000000001</v>
      </c>
      <c r="D2481" s="759" t="str">
        <f>VLOOKUP(A2481,'A VII.'!$A$10:$D$199,3,FALSE)</f>
        <v>CHP</v>
      </c>
      <c r="E2481" s="85">
        <f>'A VII.'!$D$149</f>
        <v>0</v>
      </c>
      <c r="F2481" s="59">
        <f t="shared" ref="F2481:F2490" si="149">ROUND(C2481*E2481,2)</f>
        <v>0</v>
      </c>
    </row>
    <row r="2482" spans="1:6" ht="12.75" customHeight="1" x14ac:dyDescent="0.2">
      <c r="A2482" s="3" t="str">
        <f>'A VII.'!$A$148</f>
        <v>2.6</v>
      </c>
      <c r="B2482" s="74" t="str">
        <f>VLOOKUP(A2482,'A VII.'!$A$10:$D$199,2,FALSE)</f>
        <v>BETONEIRA, CAPACIDADE NOMINAL DE 400L, MOTOR ELÉTRICO TRIFÁSICO DE  2CV - CHI</v>
      </c>
      <c r="C2482" s="114">
        <f>1.213*0.78</f>
        <v>0.94614000000000009</v>
      </c>
      <c r="D2482" s="759" t="str">
        <f>VLOOKUP(A2482,'A VII.'!$A$10:$D$199,3,FALSE)</f>
        <v>CHI</v>
      </c>
      <c r="E2482" s="85">
        <f>'A VII.'!$D$148</f>
        <v>0</v>
      </c>
      <c r="F2482" s="59">
        <f t="shared" si="149"/>
        <v>0</v>
      </c>
    </row>
    <row r="2483" spans="1:6" ht="12.75" customHeight="1" x14ac:dyDescent="0.2">
      <c r="A2483" s="3"/>
      <c r="C2483" s="114"/>
      <c r="D2483" s="759"/>
      <c r="E2483" s="85"/>
      <c r="F2483" s="59">
        <f t="shared" si="149"/>
        <v>0</v>
      </c>
    </row>
    <row r="2484" spans="1:6" ht="12.75" customHeight="1" x14ac:dyDescent="0.2">
      <c r="A2484" s="3"/>
      <c r="C2484" s="114"/>
      <c r="D2484" s="759"/>
      <c r="E2484" s="85"/>
      <c r="F2484" s="59">
        <f t="shared" si="149"/>
        <v>0</v>
      </c>
    </row>
    <row r="2485" spans="1:6" ht="12.75" customHeight="1" x14ac:dyDescent="0.2">
      <c r="A2485" s="3"/>
      <c r="C2485" s="114"/>
      <c r="D2485" s="759"/>
      <c r="E2485" s="85"/>
      <c r="F2485" s="59">
        <f t="shared" si="149"/>
        <v>0</v>
      </c>
    </row>
    <row r="2486" spans="1:6" ht="12.75" customHeight="1" x14ac:dyDescent="0.2">
      <c r="A2486" s="3"/>
      <c r="C2486" s="114"/>
      <c r="D2486" s="759"/>
      <c r="E2486" s="85"/>
      <c r="F2486" s="59">
        <f t="shared" si="149"/>
        <v>0</v>
      </c>
    </row>
    <row r="2487" spans="1:6" ht="12.75" customHeight="1" x14ac:dyDescent="0.2">
      <c r="A2487" s="3"/>
      <c r="C2487" s="114"/>
      <c r="D2487" s="759"/>
      <c r="E2487" s="85"/>
      <c r="F2487" s="59">
        <f t="shared" si="149"/>
        <v>0</v>
      </c>
    </row>
    <row r="2488" spans="1:6" ht="12.75" customHeight="1" x14ac:dyDescent="0.2">
      <c r="A2488" s="3"/>
      <c r="C2488" s="114"/>
      <c r="D2488" s="759"/>
      <c r="E2488" s="85"/>
      <c r="F2488" s="59">
        <f t="shared" si="149"/>
        <v>0</v>
      </c>
    </row>
    <row r="2489" spans="1:6" ht="12.75" customHeight="1" x14ac:dyDescent="0.2">
      <c r="A2489" s="3"/>
      <c r="C2489" s="114"/>
      <c r="D2489" s="759"/>
      <c r="E2489" s="85"/>
      <c r="F2489" s="59">
        <f t="shared" si="149"/>
        <v>0</v>
      </c>
    </row>
    <row r="2490" spans="1:6" ht="12.75" customHeight="1" x14ac:dyDescent="0.2">
      <c r="A2490" s="3"/>
      <c r="C2490" s="114"/>
      <c r="D2490" s="759"/>
      <c r="E2490" s="85"/>
      <c r="F2490" s="59">
        <f t="shared" si="149"/>
        <v>0</v>
      </c>
    </row>
    <row r="2491" spans="1:6" ht="12.75" customHeight="1" x14ac:dyDescent="0.2">
      <c r="A2491" s="3"/>
      <c r="B2491" s="86" t="s">
        <v>258</v>
      </c>
      <c r="C2491" s="87"/>
      <c r="D2491" s="88"/>
      <c r="E2491" s="89"/>
      <c r="F2491" s="90">
        <f>SUM(F2481:F2490)</f>
        <v>0</v>
      </c>
    </row>
    <row r="2492" spans="1:6" ht="12.75" customHeight="1" x14ac:dyDescent="0.2">
      <c r="A2492" s="3"/>
      <c r="B2492" s="91" t="s">
        <v>70</v>
      </c>
      <c r="C2492" s="15">
        <f>$D$8</f>
        <v>0</v>
      </c>
      <c r="D2492" s="92"/>
      <c r="E2492" s="93"/>
      <c r="F2492" s="94">
        <f>ROUND(C2492*F2491,2)</f>
        <v>0</v>
      </c>
    </row>
    <row r="2493" spans="1:6" ht="12.75" customHeight="1" x14ac:dyDescent="0.2">
      <c r="A2493" s="95"/>
      <c r="B2493" s="424" t="s">
        <v>260</v>
      </c>
      <c r="C2493" s="425"/>
      <c r="D2493" s="425"/>
      <c r="E2493" s="426"/>
      <c r="F2493" s="96">
        <f>F2491+F2492</f>
        <v>0</v>
      </c>
    </row>
    <row r="2494" spans="1:6" ht="12.75" customHeight="1" x14ac:dyDescent="0.2">
      <c r="A2494" s="97" t="s">
        <v>54</v>
      </c>
      <c r="B2494" s="427" t="s">
        <v>268</v>
      </c>
      <c r="C2494" s="428" t="s">
        <v>263</v>
      </c>
      <c r="D2494" s="429" t="s">
        <v>264</v>
      </c>
      <c r="E2494" s="430" t="s">
        <v>265</v>
      </c>
      <c r="F2494" s="57" t="s">
        <v>266</v>
      </c>
    </row>
    <row r="2495" spans="1:6" ht="12.75" customHeight="1" x14ac:dyDescent="0.2">
      <c r="A2495" s="3" t="str">
        <f>'A VII.'!$A$196</f>
        <v>3.16</v>
      </c>
      <c r="B2495" s="74" t="s">
        <v>189</v>
      </c>
      <c r="C2495" s="114">
        <f>4.239+((0.394/0.05)*0.03)+(1.213*2.53)</f>
        <v>7.5442900000000002</v>
      </c>
      <c r="D2495" s="759" t="str">
        <f>VLOOKUP(A2495,'A VII.'!$A$10:$D$199,3,FALSE)</f>
        <v>H</v>
      </c>
      <c r="E2495" s="85">
        <f>'A VII.'!$D$196</f>
        <v>0</v>
      </c>
      <c r="F2495" s="59">
        <f t="shared" ref="F2495:F2501" si="150">ROUND(C2495*E2495,2)</f>
        <v>0</v>
      </c>
    </row>
    <row r="2496" spans="1:6" ht="12.75" customHeight="1" x14ac:dyDescent="0.2">
      <c r="A2496" s="3" t="str">
        <f>'A VII.'!$A$192</f>
        <v>3.12</v>
      </c>
      <c r="B2496" s="74" t="s">
        <v>185</v>
      </c>
      <c r="C2496" s="114">
        <f>1.983+((1.217/0.05)*0.03)</f>
        <v>2.7132000000000001</v>
      </c>
      <c r="D2496" s="759" t="str">
        <f>VLOOKUP(A2496,'A VII.'!$A$10:$D$199,3,FALSE)</f>
        <v>H</v>
      </c>
      <c r="E2496" s="85">
        <f>'A VII.'!$D$192</f>
        <v>0</v>
      </c>
      <c r="F2496" s="59">
        <f t="shared" si="150"/>
        <v>0</v>
      </c>
    </row>
    <row r="2497" spans="1:6" ht="12.75" customHeight="1" x14ac:dyDescent="0.2">
      <c r="A2497" s="3" t="str">
        <f>'A VII.'!$A$186</f>
        <v>3.6</v>
      </c>
      <c r="B2497" s="74" t="s">
        <v>179</v>
      </c>
      <c r="C2497" s="114">
        <v>2.2559999999999998</v>
      </c>
      <c r="D2497" s="759" t="str">
        <f>VLOOKUP(A2497,'A VII.'!$A$10:$D$199,3,FALSE)</f>
        <v>H</v>
      </c>
      <c r="E2497" s="85">
        <f>'A VII.'!D186</f>
        <v>0</v>
      </c>
      <c r="F2497" s="59">
        <f t="shared" si="150"/>
        <v>0</v>
      </c>
    </row>
    <row r="2498" spans="1:6" ht="12.75" customHeight="1" x14ac:dyDescent="0.2">
      <c r="A2498" s="3"/>
      <c r="C2498" s="114"/>
      <c r="D2498" s="759"/>
      <c r="E2498" s="85"/>
      <c r="F2498" s="59">
        <f t="shared" si="150"/>
        <v>0</v>
      </c>
    </row>
    <row r="2499" spans="1:6" ht="12.75" customHeight="1" x14ac:dyDescent="0.2">
      <c r="A2499" s="3"/>
      <c r="C2499" s="114"/>
      <c r="D2499" s="759"/>
      <c r="E2499" s="85"/>
      <c r="F2499" s="59">
        <f t="shared" si="150"/>
        <v>0</v>
      </c>
    </row>
    <row r="2500" spans="1:6" ht="12.75" customHeight="1" x14ac:dyDescent="0.2">
      <c r="A2500" s="3"/>
      <c r="C2500" s="114"/>
      <c r="D2500" s="759"/>
      <c r="E2500" s="85"/>
      <c r="F2500" s="59">
        <f t="shared" si="150"/>
        <v>0</v>
      </c>
    </row>
    <row r="2501" spans="1:6" ht="12.75" customHeight="1" x14ac:dyDescent="0.2">
      <c r="A2501" s="3"/>
      <c r="C2501" s="114"/>
      <c r="D2501" s="759"/>
      <c r="E2501" s="85"/>
      <c r="F2501" s="59">
        <f t="shared" si="150"/>
        <v>0</v>
      </c>
    </row>
    <row r="2502" spans="1:6" ht="12.75" customHeight="1" x14ac:dyDescent="0.2">
      <c r="A2502" s="3"/>
      <c r="B2502" s="86" t="s">
        <v>258</v>
      </c>
      <c r="C2502" s="87"/>
      <c r="D2502" s="88"/>
      <c r="E2502" s="89"/>
      <c r="F2502" s="90">
        <f>SUM(F2495:F2501)</f>
        <v>0</v>
      </c>
    </row>
    <row r="2503" spans="1:6" ht="12.75" customHeight="1" x14ac:dyDescent="0.2">
      <c r="A2503" s="3"/>
      <c r="B2503" s="91" t="s">
        <v>261</v>
      </c>
      <c r="C2503" s="15">
        <f>'A IX.'!$C$45</f>
        <v>0</v>
      </c>
      <c r="D2503" s="92"/>
      <c r="E2503" s="93"/>
      <c r="F2503" s="94">
        <f>ROUND(F2502*C2503,2)</f>
        <v>0</v>
      </c>
    </row>
    <row r="2504" spans="1:6" ht="12.75" customHeight="1" x14ac:dyDescent="0.2">
      <c r="A2504" s="3"/>
      <c r="B2504" s="91" t="s">
        <v>70</v>
      </c>
      <c r="C2504" s="15">
        <f>$D$8</f>
        <v>0</v>
      </c>
      <c r="D2504" s="92"/>
      <c r="E2504" s="93"/>
      <c r="F2504" s="94">
        <f>ROUND(SUM(F2502:F2503)*C2504,2)</f>
        <v>0</v>
      </c>
    </row>
    <row r="2505" spans="1:6" ht="12.75" customHeight="1" thickBot="1" x14ac:dyDescent="0.25">
      <c r="A2505" s="98"/>
      <c r="B2505" s="99" t="s">
        <v>262</v>
      </c>
      <c r="C2505" s="100"/>
      <c r="D2505" s="100"/>
      <c r="E2505" s="101"/>
      <c r="F2505" s="102">
        <f>SUM(F2502:F2504)</f>
        <v>0</v>
      </c>
    </row>
    <row r="2506" spans="1:6" ht="12.75" customHeight="1" thickBot="1" x14ac:dyDescent="0.25">
      <c r="A2506" s="81"/>
      <c r="B2506" s="82"/>
      <c r="C2506" s="83"/>
      <c r="D2506" s="83"/>
      <c r="E2506" s="84"/>
      <c r="F2506" s="103"/>
    </row>
    <row r="2507" spans="1:6" ht="30" customHeight="1" x14ac:dyDescent="0.2">
      <c r="A2507" s="5" t="str">
        <f>'A IV.A'!A82</f>
        <v>3.5.3</v>
      </c>
      <c r="B2507" s="416" t="str">
        <f>'A IV.A'!B82</f>
        <v xml:space="preserve">CALÇADAS E PISOS EM CONCRETO FCK = 20 MPA, USINADO, ACABAMENTO CONVENCIONAL, INCLUSIVE PREPARO DE CAIXA </v>
      </c>
      <c r="C2507" s="526" t="s">
        <v>269</v>
      </c>
      <c r="D2507" s="527"/>
      <c r="E2507" s="417" t="str">
        <f>'A IV.A'!C82</f>
        <v>M3</v>
      </c>
      <c r="F2507" s="58">
        <f>ROUND(F2527+F2541+F2553,2)</f>
        <v>0</v>
      </c>
    </row>
    <row r="2508" spans="1:6" ht="12.75" customHeight="1" x14ac:dyDescent="0.2">
      <c r="A2508" s="1" t="s">
        <v>17</v>
      </c>
      <c r="B2508" s="418" t="s">
        <v>162</v>
      </c>
      <c r="C2508" s="419" t="s">
        <v>263</v>
      </c>
      <c r="D2508" s="419" t="s">
        <v>264</v>
      </c>
      <c r="E2508" s="420" t="s">
        <v>265</v>
      </c>
      <c r="F2508" s="57" t="s">
        <v>266</v>
      </c>
    </row>
    <row r="2509" spans="1:6" ht="12.75" customHeight="1" x14ac:dyDescent="0.2">
      <c r="A2509" s="6" t="str">
        <f>'A VII.'!$A$41</f>
        <v>1.32</v>
      </c>
      <c r="B2509" s="171" t="str">
        <f>VLOOKUP($A2509,'A VII.'!$A$10:$D$199,2,FALSE)</f>
        <v>CONCRETO USINADO FCK = 20,0 MPA</v>
      </c>
      <c r="C2509" s="114">
        <v>1.2315</v>
      </c>
      <c r="D2509" s="757" t="str">
        <f>'A VII.'!C41</f>
        <v>M3</v>
      </c>
      <c r="E2509" s="85">
        <f>VLOOKUP(A2509,'A VII.'!$A$10:$D$199,4,FALSE)</f>
        <v>0</v>
      </c>
      <c r="F2509" s="59">
        <f>ROUND(C2509*E2509,2)</f>
        <v>0</v>
      </c>
    </row>
    <row r="2510" spans="1:6" ht="12.75" customHeight="1" x14ac:dyDescent="0.2">
      <c r="A2510" s="6" t="str">
        <f>'A VII.'!$A$97</f>
        <v>1.87</v>
      </c>
      <c r="B2510" s="421" t="str">
        <f>'A VII.'!B97</f>
        <v xml:space="preserve">SARRAFO 3A. CONSTRUÇÃO (SEÇÃO TRANSVERSAL: 1X4" - 2,5CM X 10,0CM) </v>
      </c>
      <c r="C2510" s="114">
        <v>2.5</v>
      </c>
      <c r="D2510" s="757" t="str">
        <f>'A VII.'!C97</f>
        <v>M</v>
      </c>
      <c r="E2510" s="85">
        <f>'A VII.'!D97</f>
        <v>0</v>
      </c>
      <c r="F2510" s="59">
        <f t="shared" ref="F2510:F2524" si="151">ROUND(C2510*E2510,2)</f>
        <v>0</v>
      </c>
    </row>
    <row r="2511" spans="1:6" ht="12.75" customHeight="1" x14ac:dyDescent="0.2">
      <c r="A2511" s="6" t="str">
        <f>'A VII.'!$A$84</f>
        <v>1.74</v>
      </c>
      <c r="B2511" s="421" t="str">
        <f>'A VII.'!B84</f>
        <v>PEDRA BRITADA Nº 2 GRANULOMETRIA ENTRE (21,0 E 32,0 MM)</v>
      </c>
      <c r="C2511" s="114">
        <f>(1.13/0.05)*0.03</f>
        <v>0.67799999999999994</v>
      </c>
      <c r="D2511" s="757" t="str">
        <f>'A VII.'!C84</f>
        <v>M3</v>
      </c>
      <c r="E2511" s="85">
        <f>'A VII.'!D84</f>
        <v>0</v>
      </c>
      <c r="F2511" s="59">
        <f t="shared" si="151"/>
        <v>0</v>
      </c>
    </row>
    <row r="2512" spans="1:6" ht="12.75" customHeight="1" x14ac:dyDescent="0.2">
      <c r="A2512" s="6" t="str">
        <f>'A VII.'!$A$80</f>
        <v>1.71</v>
      </c>
      <c r="B2512" s="421" t="str">
        <f>'A VII.'!B80</f>
        <v>RIPA DE MADEIRA NAO APARELHADA - 1,5 X 5 CM (P/FORMA)</v>
      </c>
      <c r="C2512" s="114">
        <v>2</v>
      </c>
      <c r="D2512" s="757" t="str">
        <f>'A VII.'!C80</f>
        <v>M</v>
      </c>
      <c r="E2512" s="85">
        <f>'A VII.'!D80</f>
        <v>0</v>
      </c>
      <c r="F2512" s="59">
        <f t="shared" si="151"/>
        <v>0</v>
      </c>
    </row>
    <row r="2513" spans="1:6" ht="12.75" customHeight="1" x14ac:dyDescent="0.2">
      <c r="A2513" s="6" t="str">
        <f>'A VII.'!$A$90</f>
        <v>1.80</v>
      </c>
      <c r="B2513" s="421" t="str">
        <f>'A VII.'!B90</f>
        <v>PREGO EM AÇO POLIDO COM CABEÇA (MEDIA DAS BITOLAS)</v>
      </c>
      <c r="C2513" s="114">
        <v>0.2994</v>
      </c>
      <c r="D2513" s="759" t="str">
        <f>VLOOKUP(A2513,'A VII.'!$A$10:$D$199,3,FALSE)</f>
        <v>KG</v>
      </c>
      <c r="E2513" s="85">
        <f>'A VII.'!D90</f>
        <v>0</v>
      </c>
      <c r="F2513" s="59">
        <f t="shared" si="151"/>
        <v>0</v>
      </c>
    </row>
    <row r="2514" spans="1:6" ht="12.75" customHeight="1" x14ac:dyDescent="0.2">
      <c r="A2514" s="6"/>
      <c r="B2514" s="421"/>
      <c r="C2514" s="114"/>
      <c r="D2514" s="757"/>
      <c r="E2514" s="85"/>
      <c r="F2514" s="59">
        <f t="shared" si="151"/>
        <v>0</v>
      </c>
    </row>
    <row r="2515" spans="1:6" ht="12.75" customHeight="1" x14ac:dyDescent="0.2">
      <c r="A2515" s="6"/>
      <c r="B2515" s="421"/>
      <c r="C2515" s="114"/>
      <c r="D2515" s="757"/>
      <c r="E2515" s="85"/>
      <c r="F2515" s="59">
        <f t="shared" si="151"/>
        <v>0</v>
      </c>
    </row>
    <row r="2516" spans="1:6" ht="12.75" customHeight="1" x14ac:dyDescent="0.2">
      <c r="A2516" s="6"/>
      <c r="B2516" s="421"/>
      <c r="C2516" s="114"/>
      <c r="D2516" s="757"/>
      <c r="E2516" s="85"/>
      <c r="F2516" s="59">
        <f t="shared" si="151"/>
        <v>0</v>
      </c>
    </row>
    <row r="2517" spans="1:6" ht="12.75" customHeight="1" x14ac:dyDescent="0.2">
      <c r="A2517" s="6"/>
      <c r="B2517" s="421"/>
      <c r="C2517" s="114"/>
      <c r="D2517" s="757"/>
      <c r="E2517" s="85"/>
      <c r="F2517" s="59">
        <f t="shared" si="151"/>
        <v>0</v>
      </c>
    </row>
    <row r="2518" spans="1:6" ht="12.75" customHeight="1" x14ac:dyDescent="0.2">
      <c r="A2518" s="6"/>
      <c r="B2518" s="421"/>
      <c r="C2518" s="114"/>
      <c r="D2518" s="757"/>
      <c r="E2518" s="85"/>
      <c r="F2518" s="59">
        <f t="shared" si="151"/>
        <v>0</v>
      </c>
    </row>
    <row r="2519" spans="1:6" ht="12.75" customHeight="1" x14ac:dyDescent="0.2">
      <c r="A2519" s="6"/>
      <c r="B2519" s="421"/>
      <c r="C2519" s="114"/>
      <c r="D2519" s="757"/>
      <c r="E2519" s="85"/>
      <c r="F2519" s="59">
        <f t="shared" si="151"/>
        <v>0</v>
      </c>
    </row>
    <row r="2520" spans="1:6" ht="12.75" customHeight="1" x14ac:dyDescent="0.2">
      <c r="A2520" s="6"/>
      <c r="B2520" s="421"/>
      <c r="C2520" s="114"/>
      <c r="D2520" s="758"/>
      <c r="E2520" s="85"/>
      <c r="F2520" s="59">
        <f t="shared" si="151"/>
        <v>0</v>
      </c>
    </row>
    <row r="2521" spans="1:6" ht="12.75" customHeight="1" x14ac:dyDescent="0.2">
      <c r="A2521" s="6"/>
      <c r="B2521" s="421"/>
      <c r="C2521" s="114"/>
      <c r="D2521" s="758"/>
      <c r="E2521" s="85"/>
      <c r="F2521" s="59">
        <f t="shared" si="151"/>
        <v>0</v>
      </c>
    </row>
    <row r="2522" spans="1:6" ht="12.75" customHeight="1" x14ac:dyDescent="0.2">
      <c r="A2522" s="6"/>
      <c r="B2522" s="421"/>
      <c r="C2522" s="114"/>
      <c r="D2522" s="758"/>
      <c r="E2522" s="85"/>
      <c r="F2522" s="59">
        <f t="shared" si="151"/>
        <v>0</v>
      </c>
    </row>
    <row r="2523" spans="1:6" ht="12.75" customHeight="1" x14ac:dyDescent="0.2">
      <c r="A2523" s="3"/>
      <c r="C2523" s="114"/>
      <c r="D2523" s="759"/>
      <c r="E2523" s="85"/>
      <c r="F2523" s="59">
        <f t="shared" si="151"/>
        <v>0</v>
      </c>
    </row>
    <row r="2524" spans="1:6" ht="12.75" customHeight="1" x14ac:dyDescent="0.2">
      <c r="A2524" s="3"/>
      <c r="C2524" s="114"/>
      <c r="D2524" s="759"/>
      <c r="E2524" s="85"/>
      <c r="F2524" s="59">
        <f t="shared" si="151"/>
        <v>0</v>
      </c>
    </row>
    <row r="2525" spans="1:6" ht="12.75" customHeight="1" x14ac:dyDescent="0.2">
      <c r="A2525" s="3"/>
      <c r="B2525" s="86" t="s">
        <v>258</v>
      </c>
      <c r="C2525" s="87"/>
      <c r="D2525" s="88"/>
      <c r="E2525" s="89"/>
      <c r="F2525" s="90">
        <f>SUM(F2509:F2524)</f>
        <v>0</v>
      </c>
    </row>
    <row r="2526" spans="1:6" ht="12.75" customHeight="1" x14ac:dyDescent="0.2">
      <c r="A2526" s="3"/>
      <c r="B2526" s="91" t="s">
        <v>70</v>
      </c>
      <c r="C2526" s="15">
        <f>$D$8</f>
        <v>0</v>
      </c>
      <c r="D2526" s="92"/>
      <c r="E2526" s="93"/>
      <c r="F2526" s="94">
        <f>ROUND(F2525*C2526,2)</f>
        <v>0</v>
      </c>
    </row>
    <row r="2527" spans="1:6" ht="12.75" customHeight="1" x14ac:dyDescent="0.2">
      <c r="A2527" s="95"/>
      <c r="B2527" s="424" t="s">
        <v>259</v>
      </c>
      <c r="C2527" s="425"/>
      <c r="D2527" s="425"/>
      <c r="E2527" s="426"/>
      <c r="F2527" s="96">
        <f>F2525+F2526</f>
        <v>0</v>
      </c>
    </row>
    <row r="2528" spans="1:6" ht="12.75" customHeight="1" x14ac:dyDescent="0.2">
      <c r="A2528" s="1" t="s">
        <v>5</v>
      </c>
      <c r="B2528" s="418" t="s">
        <v>267</v>
      </c>
      <c r="C2528" s="419" t="s">
        <v>263</v>
      </c>
      <c r="D2528" s="419" t="s">
        <v>264</v>
      </c>
      <c r="E2528" s="420" t="s">
        <v>265</v>
      </c>
      <c r="F2528" s="57" t="s">
        <v>266</v>
      </c>
    </row>
    <row r="2529" spans="1:6" ht="12.75" customHeight="1" x14ac:dyDescent="0.2">
      <c r="A2529" s="3"/>
      <c r="B2529" s="71"/>
      <c r="C2529" s="114"/>
      <c r="D2529" s="759"/>
      <c r="E2529" s="85"/>
      <c r="F2529" s="59">
        <f t="shared" ref="F2529:F2538" si="152">ROUND(C2529*E2529,2)</f>
        <v>0</v>
      </c>
    </row>
    <row r="2530" spans="1:6" ht="12.75" customHeight="1" x14ac:dyDescent="0.2">
      <c r="A2530" s="3"/>
      <c r="C2530" s="114"/>
      <c r="D2530" s="759"/>
      <c r="E2530" s="85"/>
      <c r="F2530" s="59">
        <f t="shared" si="152"/>
        <v>0</v>
      </c>
    </row>
    <row r="2531" spans="1:6" ht="12.75" customHeight="1" x14ac:dyDescent="0.2">
      <c r="A2531" s="3"/>
      <c r="C2531" s="114"/>
      <c r="D2531" s="759"/>
      <c r="E2531" s="85"/>
      <c r="F2531" s="59">
        <f t="shared" si="152"/>
        <v>0</v>
      </c>
    </row>
    <row r="2532" spans="1:6" ht="12.75" customHeight="1" x14ac:dyDescent="0.2">
      <c r="A2532" s="3"/>
      <c r="C2532" s="114"/>
      <c r="D2532" s="759"/>
      <c r="E2532" s="85"/>
      <c r="F2532" s="59">
        <f t="shared" si="152"/>
        <v>0</v>
      </c>
    </row>
    <row r="2533" spans="1:6" ht="12.75" customHeight="1" x14ac:dyDescent="0.2">
      <c r="A2533" s="3"/>
      <c r="C2533" s="114"/>
      <c r="D2533" s="759"/>
      <c r="E2533" s="85"/>
      <c r="F2533" s="59">
        <f t="shared" si="152"/>
        <v>0</v>
      </c>
    </row>
    <row r="2534" spans="1:6" ht="12.75" customHeight="1" x14ac:dyDescent="0.2">
      <c r="A2534" s="3"/>
      <c r="C2534" s="114"/>
      <c r="D2534" s="759"/>
      <c r="E2534" s="85"/>
      <c r="F2534" s="59">
        <f t="shared" si="152"/>
        <v>0</v>
      </c>
    </row>
    <row r="2535" spans="1:6" ht="12.75" customHeight="1" x14ac:dyDescent="0.2">
      <c r="A2535" s="3"/>
      <c r="C2535" s="114"/>
      <c r="D2535" s="759"/>
      <c r="E2535" s="85"/>
      <c r="F2535" s="59">
        <f t="shared" si="152"/>
        <v>0</v>
      </c>
    </row>
    <row r="2536" spans="1:6" ht="12.75" customHeight="1" x14ac:dyDescent="0.2">
      <c r="A2536" s="3"/>
      <c r="C2536" s="114"/>
      <c r="D2536" s="759"/>
      <c r="E2536" s="85"/>
      <c r="F2536" s="59">
        <f t="shared" si="152"/>
        <v>0</v>
      </c>
    </row>
    <row r="2537" spans="1:6" ht="12.75" customHeight="1" x14ac:dyDescent="0.2">
      <c r="A2537" s="3"/>
      <c r="C2537" s="114"/>
      <c r="D2537" s="759"/>
      <c r="E2537" s="85"/>
      <c r="F2537" s="59">
        <f t="shared" si="152"/>
        <v>0</v>
      </c>
    </row>
    <row r="2538" spans="1:6" ht="12.75" customHeight="1" x14ac:dyDescent="0.2">
      <c r="A2538" s="3"/>
      <c r="C2538" s="114"/>
      <c r="D2538" s="759"/>
      <c r="E2538" s="85"/>
      <c r="F2538" s="59">
        <f t="shared" si="152"/>
        <v>0</v>
      </c>
    </row>
    <row r="2539" spans="1:6" ht="12.75" customHeight="1" x14ac:dyDescent="0.2">
      <c r="A2539" s="3"/>
      <c r="B2539" s="86" t="s">
        <v>258</v>
      </c>
      <c r="C2539" s="87"/>
      <c r="D2539" s="88"/>
      <c r="E2539" s="89"/>
      <c r="F2539" s="90">
        <f>SUM(F2529:F2538)</f>
        <v>0</v>
      </c>
    </row>
    <row r="2540" spans="1:6" ht="12.75" customHeight="1" x14ac:dyDescent="0.2">
      <c r="A2540" s="3"/>
      <c r="B2540" s="91" t="s">
        <v>70</v>
      </c>
      <c r="C2540" s="15">
        <f>$D$8</f>
        <v>0</v>
      </c>
      <c r="D2540" s="92"/>
      <c r="E2540" s="93"/>
      <c r="F2540" s="94">
        <f>ROUND(C2540*F2539,2)</f>
        <v>0</v>
      </c>
    </row>
    <row r="2541" spans="1:6" ht="12.75" customHeight="1" x14ac:dyDescent="0.2">
      <c r="A2541" s="95"/>
      <c r="B2541" s="424" t="s">
        <v>260</v>
      </c>
      <c r="C2541" s="425"/>
      <c r="D2541" s="425"/>
      <c r="E2541" s="426"/>
      <c r="F2541" s="96">
        <f>F2539+F2540</f>
        <v>0</v>
      </c>
    </row>
    <row r="2542" spans="1:6" ht="12.75" customHeight="1" x14ac:dyDescent="0.2">
      <c r="A2542" s="97" t="s">
        <v>54</v>
      </c>
      <c r="B2542" s="427" t="s">
        <v>268</v>
      </c>
      <c r="C2542" s="428" t="s">
        <v>263</v>
      </c>
      <c r="D2542" s="429" t="s">
        <v>264</v>
      </c>
      <c r="E2542" s="430" t="s">
        <v>265</v>
      </c>
      <c r="F2542" s="57" t="s">
        <v>266</v>
      </c>
    </row>
    <row r="2543" spans="1:6" ht="12.75" customHeight="1" x14ac:dyDescent="0.2">
      <c r="A2543" s="3" t="str">
        <f>'A VII.'!$A$196</f>
        <v>3.16</v>
      </c>
      <c r="B2543" s="171" t="str">
        <f>VLOOKUP($A2543,'A VII.'!$A$10:$D$199,2,FALSE)</f>
        <v>SERVENTE COM ENCARGOS COMPLEMENTARES</v>
      </c>
      <c r="C2543" s="114">
        <f>1.7828+((0.394/0.05)*0.03)</f>
        <v>2.0192000000000001</v>
      </c>
      <c r="D2543" s="759" t="str">
        <f>VLOOKUP($A$2543,'A VII.'!$A$10:$D$199,3,FALSE)</f>
        <v>H</v>
      </c>
      <c r="E2543" s="85">
        <f>'A VII.'!$D$196</f>
        <v>0</v>
      </c>
      <c r="F2543" s="59">
        <f t="shared" ref="F2543:F2549" si="153">ROUND(C2543*E2543,2)</f>
        <v>0</v>
      </c>
    </row>
    <row r="2544" spans="1:6" ht="12.75" customHeight="1" x14ac:dyDescent="0.2">
      <c r="A2544" s="3" t="str">
        <f>'A VII.'!$A$192</f>
        <v>3.12</v>
      </c>
      <c r="B2544" s="171" t="str">
        <f>VLOOKUP($A2544,'A VII.'!$A$10:$D$199,2,FALSE)</f>
        <v>PEDREIRO COM ENCARGOS COMPLEMENTARES</v>
      </c>
      <c r="C2544" s="114">
        <f>0.156+((1.217/0.05)*0.03)</f>
        <v>0.88619999999999999</v>
      </c>
      <c r="D2544" s="759" t="str">
        <f>VLOOKUP(A2544,'A VII.'!$A$10:$D$199,3,FALSE)</f>
        <v>H</v>
      </c>
      <c r="E2544" s="85">
        <f>'A VII.'!$D$192</f>
        <v>0</v>
      </c>
      <c r="F2544" s="59">
        <f t="shared" si="153"/>
        <v>0</v>
      </c>
    </row>
    <row r="2545" spans="1:6" ht="12.75" customHeight="1" x14ac:dyDescent="0.2">
      <c r="A2545" s="3" t="str">
        <f>'A VII.'!$A$186</f>
        <v>3.6</v>
      </c>
      <c r="B2545" s="171" t="str">
        <f>VLOOKUP($A2545,'A VII.'!$A$10:$D$199,2,FALSE)</f>
        <v>CARPINTEIRO COM ENCARGOS COMPLEMENTARES</v>
      </c>
      <c r="C2545" s="114">
        <v>1.6268</v>
      </c>
      <c r="D2545" s="759" t="str">
        <f>VLOOKUP(A2545,'A VII.'!$A$10:$D$199,3,FALSE)</f>
        <v>H</v>
      </c>
      <c r="E2545" s="85">
        <f>'A VII.'!D186</f>
        <v>0</v>
      </c>
      <c r="F2545" s="59">
        <f t="shared" si="153"/>
        <v>0</v>
      </c>
    </row>
    <row r="2546" spans="1:6" ht="12.75" customHeight="1" x14ac:dyDescent="0.2">
      <c r="A2546" s="3"/>
      <c r="C2546" s="114"/>
      <c r="D2546" s="759"/>
      <c r="E2546" s="85"/>
      <c r="F2546" s="59">
        <f t="shared" si="153"/>
        <v>0</v>
      </c>
    </row>
    <row r="2547" spans="1:6" ht="12.75" customHeight="1" x14ac:dyDescent="0.2">
      <c r="A2547" s="3"/>
      <c r="C2547" s="114"/>
      <c r="D2547" s="759"/>
      <c r="E2547" s="85"/>
      <c r="F2547" s="59">
        <f t="shared" si="153"/>
        <v>0</v>
      </c>
    </row>
    <row r="2548" spans="1:6" ht="12.75" customHeight="1" x14ac:dyDescent="0.2">
      <c r="A2548" s="3"/>
      <c r="C2548" s="114"/>
      <c r="D2548" s="759"/>
      <c r="E2548" s="85"/>
      <c r="F2548" s="59">
        <f t="shared" si="153"/>
        <v>0</v>
      </c>
    </row>
    <row r="2549" spans="1:6" ht="12.75" customHeight="1" x14ac:dyDescent="0.2">
      <c r="A2549" s="3"/>
      <c r="C2549" s="114"/>
      <c r="D2549" s="759"/>
      <c r="E2549" s="85"/>
      <c r="F2549" s="59">
        <f t="shared" si="153"/>
        <v>0</v>
      </c>
    </row>
    <row r="2550" spans="1:6" ht="12.75" customHeight="1" x14ac:dyDescent="0.2">
      <c r="A2550" s="3"/>
      <c r="B2550" s="86" t="s">
        <v>258</v>
      </c>
      <c r="C2550" s="87"/>
      <c r="D2550" s="88"/>
      <c r="E2550" s="89"/>
      <c r="F2550" s="90">
        <f>SUM(F2543:F2549)</f>
        <v>0</v>
      </c>
    </row>
    <row r="2551" spans="1:6" ht="12.75" customHeight="1" x14ac:dyDescent="0.2">
      <c r="A2551" s="3"/>
      <c r="B2551" s="91" t="s">
        <v>261</v>
      </c>
      <c r="C2551" s="15">
        <f>'A IX.'!$C$45</f>
        <v>0</v>
      </c>
      <c r="D2551" s="92"/>
      <c r="E2551" s="93"/>
      <c r="F2551" s="94">
        <f>ROUND(F2550*C2551,2)</f>
        <v>0</v>
      </c>
    </row>
    <row r="2552" spans="1:6" ht="12.75" customHeight="1" x14ac:dyDescent="0.2">
      <c r="A2552" s="3"/>
      <c r="B2552" s="91" t="s">
        <v>70</v>
      </c>
      <c r="C2552" s="15">
        <f>$D$8</f>
        <v>0</v>
      </c>
      <c r="D2552" s="92"/>
      <c r="E2552" s="93"/>
      <c r="F2552" s="94">
        <f>ROUND(SUM(F2550:F2551)*C2552,2)</f>
        <v>0</v>
      </c>
    </row>
    <row r="2553" spans="1:6" ht="12.75" customHeight="1" thickBot="1" x14ac:dyDescent="0.25">
      <c r="A2553" s="98"/>
      <c r="B2553" s="99" t="s">
        <v>262</v>
      </c>
      <c r="C2553" s="100"/>
      <c r="D2553" s="100"/>
      <c r="E2553" s="101"/>
      <c r="F2553" s="102">
        <f>SUM(F2550:F2552)</f>
        <v>0</v>
      </c>
    </row>
    <row r="2554" spans="1:6" ht="12.75" customHeight="1" thickBot="1" x14ac:dyDescent="0.25">
      <c r="A2554" s="81"/>
      <c r="B2554" s="82"/>
      <c r="C2554" s="83"/>
      <c r="D2554" s="83"/>
      <c r="E2554" s="84"/>
      <c r="F2554" s="103"/>
    </row>
    <row r="2555" spans="1:6" ht="30" customHeight="1" x14ac:dyDescent="0.2">
      <c r="A2555" s="5" t="str">
        <f>'A IV.A'!$A$83</f>
        <v>3.5.4</v>
      </c>
      <c r="B2555" s="416" t="str">
        <f>'A IV.A'!$B$83</f>
        <v xml:space="preserve">CONCRETO ESTRUTURAL VIRADO EM OBRA, FCK 20MPA </v>
      </c>
      <c r="C2555" s="526" t="s">
        <v>269</v>
      </c>
      <c r="D2555" s="527"/>
      <c r="E2555" s="417" t="str">
        <f>'A IV.A'!$C$83</f>
        <v>M3</v>
      </c>
      <c r="F2555" s="58">
        <f>ROUND(F2575+F2589+F2601,2)</f>
        <v>0</v>
      </c>
    </row>
    <row r="2556" spans="1:6" ht="12.75" customHeight="1" x14ac:dyDescent="0.2">
      <c r="A2556" s="1" t="s">
        <v>17</v>
      </c>
      <c r="B2556" s="418" t="s">
        <v>162</v>
      </c>
      <c r="C2556" s="419" t="s">
        <v>263</v>
      </c>
      <c r="D2556" s="419" t="s">
        <v>264</v>
      </c>
      <c r="E2556" s="420" t="s">
        <v>265</v>
      </c>
      <c r="F2556" s="57" t="s">
        <v>266</v>
      </c>
    </row>
    <row r="2557" spans="1:6" ht="12.75" customHeight="1" x14ac:dyDescent="0.2">
      <c r="A2557" s="6" t="str">
        <f>'A VII.'!$A$19</f>
        <v>1.10</v>
      </c>
      <c r="B2557" s="421" t="str">
        <f>VLOOKUP(A2557,'A VII.'!$A$10:$D$199,2,FALSE)</f>
        <v>AREIA MÉDIA LAVADA</v>
      </c>
      <c r="C2557" s="114">
        <v>0.78500000000000003</v>
      </c>
      <c r="D2557" s="757" t="str">
        <f>VLOOKUP(A2557,'A VII.'!$A$10:$D$199,3,FALSE)</f>
        <v>M3</v>
      </c>
      <c r="E2557" s="85">
        <f>'A VII.'!$D$19</f>
        <v>0</v>
      </c>
      <c r="F2557" s="59">
        <f>ROUND(C2557*E2557,2)</f>
        <v>0</v>
      </c>
    </row>
    <row r="2558" spans="1:6" ht="12.75" customHeight="1" x14ac:dyDescent="0.2">
      <c r="A2558" s="6" t="str">
        <f>'A VII.'!$A$38</f>
        <v>1.29</v>
      </c>
      <c r="B2558" s="421" t="str">
        <f>VLOOKUP(A2558,'A VII.'!$A$10:$D$199,2,FALSE)</f>
        <v>CIMENTO PORTLAND CP II-E-32</v>
      </c>
      <c r="C2558" s="114">
        <v>322.98</v>
      </c>
      <c r="D2558" s="757" t="str">
        <f>VLOOKUP(A2558,'A VII.'!$A$10:$D$199,3,FALSE)</f>
        <v>KG</v>
      </c>
      <c r="E2558" s="85">
        <f>'A VII.'!$D$38</f>
        <v>0</v>
      </c>
      <c r="F2558" s="59">
        <f t="shared" ref="F2558:F2572" si="154">ROUND(C2558*E2558,2)</f>
        <v>0</v>
      </c>
    </row>
    <row r="2559" spans="1:6" ht="12.75" customHeight="1" x14ac:dyDescent="0.2">
      <c r="A2559" s="6" t="str">
        <f>'A VII.'!$A$82</f>
        <v>1.73</v>
      </c>
      <c r="B2559" s="421" t="str">
        <f>VLOOKUP(A2559,'A VII.'!$A$10:$D$199,2,FALSE)</f>
        <v>PEDRA BRITADA Nº 1 GRANULOMETRIA ENTRE (9,5 E 25,00 MM)</v>
      </c>
      <c r="C2559" s="114">
        <v>0.58699999999999997</v>
      </c>
      <c r="D2559" s="757" t="str">
        <f>VLOOKUP(A2559,'A VII.'!$A$10:$D$199,3,FALSE)</f>
        <v>M3</v>
      </c>
      <c r="E2559" s="85">
        <f>'A VII.'!$D$82</f>
        <v>0</v>
      </c>
      <c r="F2559" s="59">
        <f t="shared" si="154"/>
        <v>0</v>
      </c>
    </row>
    <row r="2560" spans="1:6" ht="12.75" customHeight="1" x14ac:dyDescent="0.2">
      <c r="A2560" s="6"/>
      <c r="B2560" s="421"/>
      <c r="C2560" s="114"/>
      <c r="D2560" s="757"/>
      <c r="E2560" s="85"/>
      <c r="F2560" s="59">
        <f t="shared" si="154"/>
        <v>0</v>
      </c>
    </row>
    <row r="2561" spans="1:6" ht="12.75" customHeight="1" x14ac:dyDescent="0.2">
      <c r="A2561" s="6"/>
      <c r="B2561" s="421"/>
      <c r="C2561" s="114"/>
      <c r="D2561" s="757"/>
      <c r="E2561" s="85"/>
      <c r="F2561" s="59">
        <f t="shared" si="154"/>
        <v>0</v>
      </c>
    </row>
    <row r="2562" spans="1:6" ht="12.75" customHeight="1" x14ac:dyDescent="0.2">
      <c r="A2562" s="6"/>
      <c r="B2562" s="421"/>
      <c r="C2562" s="114"/>
      <c r="D2562" s="757"/>
      <c r="E2562" s="85"/>
      <c r="F2562" s="59">
        <f t="shared" si="154"/>
        <v>0</v>
      </c>
    </row>
    <row r="2563" spans="1:6" ht="12.75" customHeight="1" x14ac:dyDescent="0.2">
      <c r="A2563" s="6"/>
      <c r="B2563" s="421"/>
      <c r="C2563" s="114"/>
      <c r="D2563" s="757"/>
      <c r="E2563" s="85"/>
      <c r="F2563" s="59">
        <f t="shared" si="154"/>
        <v>0</v>
      </c>
    </row>
    <row r="2564" spans="1:6" ht="12.75" customHeight="1" x14ac:dyDescent="0.2">
      <c r="A2564" s="6"/>
      <c r="B2564" s="421"/>
      <c r="C2564" s="114"/>
      <c r="D2564" s="757"/>
      <c r="E2564" s="85"/>
      <c r="F2564" s="59">
        <f t="shared" si="154"/>
        <v>0</v>
      </c>
    </row>
    <row r="2565" spans="1:6" ht="12.75" customHeight="1" x14ac:dyDescent="0.2">
      <c r="A2565" s="6"/>
      <c r="B2565" s="421"/>
      <c r="C2565" s="114"/>
      <c r="D2565" s="757"/>
      <c r="E2565" s="85"/>
      <c r="F2565" s="59">
        <f t="shared" si="154"/>
        <v>0</v>
      </c>
    </row>
    <row r="2566" spans="1:6" ht="12.75" customHeight="1" x14ac:dyDescent="0.2">
      <c r="A2566" s="6"/>
      <c r="B2566" s="421"/>
      <c r="C2566" s="114"/>
      <c r="D2566" s="757"/>
      <c r="E2566" s="85"/>
      <c r="F2566" s="59">
        <f t="shared" si="154"/>
        <v>0</v>
      </c>
    </row>
    <row r="2567" spans="1:6" ht="12.75" customHeight="1" x14ac:dyDescent="0.2">
      <c r="A2567" s="6"/>
      <c r="B2567" s="421"/>
      <c r="C2567" s="114"/>
      <c r="D2567" s="757"/>
      <c r="E2567" s="85"/>
      <c r="F2567" s="59">
        <f t="shared" si="154"/>
        <v>0</v>
      </c>
    </row>
    <row r="2568" spans="1:6" ht="12.75" customHeight="1" x14ac:dyDescent="0.2">
      <c r="A2568" s="6"/>
      <c r="B2568" s="421"/>
      <c r="C2568" s="114"/>
      <c r="D2568" s="758"/>
      <c r="E2568" s="85"/>
      <c r="F2568" s="59">
        <f t="shared" si="154"/>
        <v>0</v>
      </c>
    </row>
    <row r="2569" spans="1:6" ht="12.75" customHeight="1" x14ac:dyDescent="0.2">
      <c r="A2569" s="6"/>
      <c r="B2569" s="421"/>
      <c r="C2569" s="114"/>
      <c r="D2569" s="758"/>
      <c r="E2569" s="85"/>
      <c r="F2569" s="59">
        <f t="shared" si="154"/>
        <v>0</v>
      </c>
    </row>
    <row r="2570" spans="1:6" ht="12.75" customHeight="1" x14ac:dyDescent="0.2">
      <c r="A2570" s="6"/>
      <c r="B2570" s="421"/>
      <c r="C2570" s="114"/>
      <c r="D2570" s="758"/>
      <c r="E2570" s="85"/>
      <c r="F2570" s="59">
        <f t="shared" si="154"/>
        <v>0</v>
      </c>
    </row>
    <row r="2571" spans="1:6" ht="12.75" customHeight="1" x14ac:dyDescent="0.2">
      <c r="A2571" s="3"/>
      <c r="C2571" s="114"/>
      <c r="D2571" s="759"/>
      <c r="E2571" s="85"/>
      <c r="F2571" s="59">
        <f t="shared" si="154"/>
        <v>0</v>
      </c>
    </row>
    <row r="2572" spans="1:6" ht="12.75" customHeight="1" x14ac:dyDescent="0.2">
      <c r="A2572" s="3"/>
      <c r="C2572" s="114"/>
      <c r="D2572" s="759"/>
      <c r="E2572" s="85"/>
      <c r="F2572" s="59">
        <f t="shared" si="154"/>
        <v>0</v>
      </c>
    </row>
    <row r="2573" spans="1:6" ht="12.75" customHeight="1" x14ac:dyDescent="0.2">
      <c r="A2573" s="3"/>
      <c r="B2573" s="86" t="s">
        <v>258</v>
      </c>
      <c r="C2573" s="87"/>
      <c r="D2573" s="88"/>
      <c r="E2573" s="89"/>
      <c r="F2573" s="90">
        <f>SUM(F2557:F2572)</f>
        <v>0</v>
      </c>
    </row>
    <row r="2574" spans="1:6" ht="12.75" customHeight="1" x14ac:dyDescent="0.2">
      <c r="A2574" s="3"/>
      <c r="B2574" s="91" t="s">
        <v>70</v>
      </c>
      <c r="C2574" s="15">
        <f>$D$8</f>
        <v>0</v>
      </c>
      <c r="D2574" s="92"/>
      <c r="E2574" s="93"/>
      <c r="F2574" s="94">
        <f>ROUND(F2573*C2574,2)</f>
        <v>0</v>
      </c>
    </row>
    <row r="2575" spans="1:6" ht="12.75" customHeight="1" x14ac:dyDescent="0.2">
      <c r="A2575" s="95"/>
      <c r="B2575" s="424" t="s">
        <v>259</v>
      </c>
      <c r="C2575" s="425"/>
      <c r="D2575" s="425"/>
      <c r="E2575" s="426"/>
      <c r="F2575" s="96">
        <f>F2573+F2574</f>
        <v>0</v>
      </c>
    </row>
    <row r="2576" spans="1:6" ht="12.75" customHeight="1" x14ac:dyDescent="0.2">
      <c r="A2576" s="1" t="s">
        <v>5</v>
      </c>
      <c r="B2576" s="418" t="s">
        <v>267</v>
      </c>
      <c r="C2576" s="419" t="s">
        <v>263</v>
      </c>
      <c r="D2576" s="419" t="s">
        <v>264</v>
      </c>
      <c r="E2576" s="420" t="s">
        <v>265</v>
      </c>
      <c r="F2576" s="57" t="s">
        <v>266</v>
      </c>
    </row>
    <row r="2577" spans="1:6" ht="12.75" customHeight="1" x14ac:dyDescent="0.2">
      <c r="A2577" s="3" t="str">
        <f>'A VII.'!$A$149</f>
        <v>2.7</v>
      </c>
      <c r="B2577" s="71" t="str">
        <f>VLOOKUP(A2577,'A VII.'!$A$10:$D$199,2,FALSE)</f>
        <v>BETONEIRA, CAPACIDADE NOMINAL DE 400L, MOTOR ELÉTRICO TRIFÁSICO DE  2CV - CHP</v>
      </c>
      <c r="C2577" s="114">
        <v>0.83</v>
      </c>
      <c r="D2577" s="759" t="str">
        <f>VLOOKUP(A2577,'A VII.'!$A$10:$D$199,3,FALSE)</f>
        <v>CHP</v>
      </c>
      <c r="E2577" s="85">
        <f>'A VII.'!$D$149</f>
        <v>0</v>
      </c>
      <c r="F2577" s="59">
        <f t="shared" ref="F2577:F2586" si="155">ROUND(C2577*E2577,2)</f>
        <v>0</v>
      </c>
    </row>
    <row r="2578" spans="1:6" ht="12.75" customHeight="1" x14ac:dyDescent="0.2">
      <c r="A2578" s="3" t="str">
        <f>'A VII.'!$A$148</f>
        <v>2.6</v>
      </c>
      <c r="B2578" s="74" t="str">
        <f>VLOOKUP(A2578,'A VII.'!$A$10:$D$199,2,FALSE)</f>
        <v>BETONEIRA, CAPACIDADE NOMINAL DE 400L, MOTOR ELÉTRICO TRIFÁSICO DE  2CV - CHI</v>
      </c>
      <c r="C2578" s="114">
        <v>0.78</v>
      </c>
      <c r="D2578" s="759" t="str">
        <f>VLOOKUP(A2578,'A VII.'!$A$10:$D$199,3,FALSE)</f>
        <v>CHI</v>
      </c>
      <c r="E2578" s="85">
        <f>'A VII.'!$D$148</f>
        <v>0</v>
      </c>
      <c r="F2578" s="59">
        <f t="shared" si="155"/>
        <v>0</v>
      </c>
    </row>
    <row r="2579" spans="1:6" ht="12.75" customHeight="1" x14ac:dyDescent="0.2">
      <c r="A2579" s="3"/>
      <c r="C2579" s="114"/>
      <c r="D2579" s="759"/>
      <c r="E2579" s="85"/>
      <c r="F2579" s="59">
        <f t="shared" si="155"/>
        <v>0</v>
      </c>
    </row>
    <row r="2580" spans="1:6" ht="12.75" customHeight="1" x14ac:dyDescent="0.2">
      <c r="A2580" s="3"/>
      <c r="C2580" s="114"/>
      <c r="D2580" s="759"/>
      <c r="E2580" s="85"/>
      <c r="F2580" s="59">
        <f t="shared" si="155"/>
        <v>0</v>
      </c>
    </row>
    <row r="2581" spans="1:6" ht="12.75" customHeight="1" x14ac:dyDescent="0.2">
      <c r="A2581" s="3"/>
      <c r="C2581" s="114"/>
      <c r="D2581" s="759"/>
      <c r="E2581" s="85"/>
      <c r="F2581" s="59">
        <f t="shared" si="155"/>
        <v>0</v>
      </c>
    </row>
    <row r="2582" spans="1:6" ht="12.75" customHeight="1" x14ac:dyDescent="0.2">
      <c r="A2582" s="3"/>
      <c r="C2582" s="114"/>
      <c r="D2582" s="759"/>
      <c r="E2582" s="85"/>
      <c r="F2582" s="59">
        <f t="shared" si="155"/>
        <v>0</v>
      </c>
    </row>
    <row r="2583" spans="1:6" ht="12.75" customHeight="1" x14ac:dyDescent="0.2">
      <c r="A2583" s="3"/>
      <c r="C2583" s="114"/>
      <c r="D2583" s="759"/>
      <c r="E2583" s="85"/>
      <c r="F2583" s="59">
        <f t="shared" si="155"/>
        <v>0</v>
      </c>
    </row>
    <row r="2584" spans="1:6" ht="12.75" customHeight="1" x14ac:dyDescent="0.2">
      <c r="A2584" s="3"/>
      <c r="C2584" s="114"/>
      <c r="D2584" s="759"/>
      <c r="E2584" s="85"/>
      <c r="F2584" s="59">
        <f t="shared" si="155"/>
        <v>0</v>
      </c>
    </row>
    <row r="2585" spans="1:6" ht="12.75" customHeight="1" x14ac:dyDescent="0.2">
      <c r="A2585" s="3"/>
      <c r="C2585" s="114"/>
      <c r="D2585" s="759"/>
      <c r="E2585" s="85"/>
      <c r="F2585" s="59">
        <f t="shared" si="155"/>
        <v>0</v>
      </c>
    </row>
    <row r="2586" spans="1:6" ht="12.75" customHeight="1" x14ac:dyDescent="0.2">
      <c r="A2586" s="3"/>
      <c r="C2586" s="114"/>
      <c r="D2586" s="759"/>
      <c r="E2586" s="85"/>
      <c r="F2586" s="59">
        <f t="shared" si="155"/>
        <v>0</v>
      </c>
    </row>
    <row r="2587" spans="1:6" ht="12.75" customHeight="1" x14ac:dyDescent="0.2">
      <c r="A2587" s="3"/>
      <c r="B2587" s="86" t="s">
        <v>258</v>
      </c>
      <c r="C2587" s="87"/>
      <c r="D2587" s="88"/>
      <c r="E2587" s="89"/>
      <c r="F2587" s="90">
        <f>SUM(F2577:F2586)</f>
        <v>0</v>
      </c>
    </row>
    <row r="2588" spans="1:6" ht="12.75" customHeight="1" x14ac:dyDescent="0.2">
      <c r="A2588" s="3"/>
      <c r="B2588" s="91" t="s">
        <v>70</v>
      </c>
      <c r="C2588" s="15">
        <f>$D$8</f>
        <v>0</v>
      </c>
      <c r="D2588" s="92"/>
      <c r="E2588" s="93"/>
      <c r="F2588" s="94">
        <f>ROUND(C2588*F2587,2)</f>
        <v>0</v>
      </c>
    </row>
    <row r="2589" spans="1:6" ht="12.75" customHeight="1" x14ac:dyDescent="0.2">
      <c r="A2589" s="95"/>
      <c r="B2589" s="424" t="s">
        <v>260</v>
      </c>
      <c r="C2589" s="425"/>
      <c r="D2589" s="425"/>
      <c r="E2589" s="426"/>
      <c r="F2589" s="96">
        <f>F2587+F2588</f>
        <v>0</v>
      </c>
    </row>
    <row r="2590" spans="1:6" ht="12.75" customHeight="1" x14ac:dyDescent="0.2">
      <c r="A2590" s="97" t="s">
        <v>54</v>
      </c>
      <c r="B2590" s="427" t="s">
        <v>268</v>
      </c>
      <c r="C2590" s="428" t="s">
        <v>263</v>
      </c>
      <c r="D2590" s="429" t="s">
        <v>264</v>
      </c>
      <c r="E2590" s="430" t="s">
        <v>265</v>
      </c>
      <c r="F2590" s="57" t="s">
        <v>266</v>
      </c>
    </row>
    <row r="2591" spans="1:6" ht="12.75" customHeight="1" x14ac:dyDescent="0.2">
      <c r="A2591" s="3" t="str">
        <f>'A VII.'!$A$196</f>
        <v>3.16</v>
      </c>
      <c r="B2591" s="74" t="s">
        <v>189</v>
      </c>
      <c r="C2591" s="114">
        <v>2.5299999999999998</v>
      </c>
      <c r="D2591" s="759" t="str">
        <f>VLOOKUP(A2591,'A VII.'!$A$10:$D$199,3,FALSE)</f>
        <v>H</v>
      </c>
      <c r="E2591" s="85">
        <f>'A VII.'!$D$196</f>
        <v>0</v>
      </c>
      <c r="F2591" s="59">
        <f t="shared" ref="F2591:F2597" si="156">ROUND(C2591*E2591,2)</f>
        <v>0</v>
      </c>
    </row>
    <row r="2592" spans="1:6" ht="12.75" customHeight="1" x14ac:dyDescent="0.2">
      <c r="A2592" s="3" t="str">
        <f>'A VII.'!$A$192</f>
        <v>3.12</v>
      </c>
      <c r="B2592" s="74" t="s">
        <v>185</v>
      </c>
      <c r="C2592" s="114">
        <v>1.6</v>
      </c>
      <c r="D2592" s="759" t="str">
        <f>VLOOKUP(A2592,'A VII.'!$A$10:$D$199,3,FALSE)</f>
        <v>H</v>
      </c>
      <c r="E2592" s="85">
        <f>'A VII.'!$D$192</f>
        <v>0</v>
      </c>
      <c r="F2592" s="59">
        <f t="shared" si="156"/>
        <v>0</v>
      </c>
    </row>
    <row r="2593" spans="1:6" ht="12.75" customHeight="1" x14ac:dyDescent="0.2">
      <c r="A2593" s="3"/>
      <c r="C2593" s="114"/>
      <c r="D2593" s="759"/>
      <c r="E2593" s="85"/>
      <c r="F2593" s="59">
        <f t="shared" si="156"/>
        <v>0</v>
      </c>
    </row>
    <row r="2594" spans="1:6" ht="12.75" customHeight="1" x14ac:dyDescent="0.2">
      <c r="A2594" s="3"/>
      <c r="C2594" s="114"/>
      <c r="D2594" s="759"/>
      <c r="E2594" s="85"/>
      <c r="F2594" s="59">
        <f t="shared" si="156"/>
        <v>0</v>
      </c>
    </row>
    <row r="2595" spans="1:6" ht="12.75" customHeight="1" x14ac:dyDescent="0.2">
      <c r="A2595" s="3"/>
      <c r="C2595" s="114"/>
      <c r="D2595" s="759"/>
      <c r="E2595" s="85"/>
      <c r="F2595" s="59">
        <f t="shared" si="156"/>
        <v>0</v>
      </c>
    </row>
    <row r="2596" spans="1:6" ht="12.75" customHeight="1" x14ac:dyDescent="0.2">
      <c r="A2596" s="3"/>
      <c r="C2596" s="114"/>
      <c r="D2596" s="759"/>
      <c r="E2596" s="85"/>
      <c r="F2596" s="59">
        <f t="shared" si="156"/>
        <v>0</v>
      </c>
    </row>
    <row r="2597" spans="1:6" ht="12.75" customHeight="1" x14ac:dyDescent="0.2">
      <c r="A2597" s="3"/>
      <c r="C2597" s="114"/>
      <c r="D2597" s="759"/>
      <c r="E2597" s="85"/>
      <c r="F2597" s="59">
        <f t="shared" si="156"/>
        <v>0</v>
      </c>
    </row>
    <row r="2598" spans="1:6" ht="12.75" customHeight="1" x14ac:dyDescent="0.2">
      <c r="A2598" s="3"/>
      <c r="B2598" s="86" t="s">
        <v>258</v>
      </c>
      <c r="C2598" s="87"/>
      <c r="D2598" s="88"/>
      <c r="E2598" s="89"/>
      <c r="F2598" s="90">
        <f>SUM(F2591:F2597)</f>
        <v>0</v>
      </c>
    </row>
    <row r="2599" spans="1:6" ht="12.75" customHeight="1" x14ac:dyDescent="0.2">
      <c r="A2599" s="3"/>
      <c r="B2599" s="91" t="s">
        <v>261</v>
      </c>
      <c r="C2599" s="15">
        <f>'A IX.'!$C$45</f>
        <v>0</v>
      </c>
      <c r="D2599" s="92"/>
      <c r="E2599" s="93"/>
      <c r="F2599" s="94">
        <f>ROUND(F2598*C2599,2)</f>
        <v>0</v>
      </c>
    </row>
    <row r="2600" spans="1:6" ht="12.75" customHeight="1" x14ac:dyDescent="0.2">
      <c r="A2600" s="3"/>
      <c r="B2600" s="91" t="s">
        <v>70</v>
      </c>
      <c r="C2600" s="15">
        <f>$D$8</f>
        <v>0</v>
      </c>
      <c r="D2600" s="92"/>
      <c r="E2600" s="93"/>
      <c r="F2600" s="94">
        <f>ROUND(SUM(F2598:F2599)*C2600,2)</f>
        <v>0</v>
      </c>
    </row>
    <row r="2601" spans="1:6" ht="12.75" customHeight="1" thickBot="1" x14ac:dyDescent="0.25">
      <c r="A2601" s="98"/>
      <c r="B2601" s="99" t="s">
        <v>262</v>
      </c>
      <c r="C2601" s="100"/>
      <c r="D2601" s="100"/>
      <c r="E2601" s="101"/>
      <c r="F2601" s="102">
        <f>SUM(F2598:F2600)</f>
        <v>0</v>
      </c>
    </row>
    <row r="2602" spans="1:6" ht="12.75" customHeight="1" thickBot="1" x14ac:dyDescent="0.25">
      <c r="A2602" s="81"/>
      <c r="B2602" s="82"/>
      <c r="C2602" s="83"/>
      <c r="D2602" s="83"/>
      <c r="E2602" s="84"/>
      <c r="F2602" s="103"/>
    </row>
    <row r="2603" spans="1:6" ht="30" customHeight="1" x14ac:dyDescent="0.2">
      <c r="A2603" s="5" t="str">
        <f>'A IV.A'!A84</f>
        <v>3.5.5</v>
      </c>
      <c r="B2603" s="416" t="str">
        <f>'A IV.A'!B84</f>
        <v xml:space="preserve">ARGAMASSA GROUT (PREPARO E LANÇAMENTO DE ARGAMASSA DE CIMENTO, AREIA E PEDRISCO 1:3:2) </v>
      </c>
      <c r="C2603" s="526" t="s">
        <v>269</v>
      </c>
      <c r="D2603" s="527"/>
      <c r="E2603" s="417" t="str">
        <f>'A IV.A'!$C$84</f>
        <v>M3</v>
      </c>
      <c r="F2603" s="58">
        <f>ROUND(F2623+F2637+F2649,2)</f>
        <v>0</v>
      </c>
    </row>
    <row r="2604" spans="1:6" ht="12.75" customHeight="1" x14ac:dyDescent="0.2">
      <c r="A2604" s="1" t="s">
        <v>17</v>
      </c>
      <c r="B2604" s="418" t="s">
        <v>162</v>
      </c>
      <c r="C2604" s="419" t="s">
        <v>263</v>
      </c>
      <c r="D2604" s="419" t="s">
        <v>264</v>
      </c>
      <c r="E2604" s="420" t="s">
        <v>265</v>
      </c>
      <c r="F2604" s="57" t="s">
        <v>266</v>
      </c>
    </row>
    <row r="2605" spans="1:6" ht="12.75" customHeight="1" x14ac:dyDescent="0.2">
      <c r="A2605" s="6" t="str">
        <f>'A VII.'!$A$19</f>
        <v>1.10</v>
      </c>
      <c r="B2605" s="421" t="str">
        <f>VLOOKUP(A2605,'A VII.'!$A$10:$D$199,2,FALSE)</f>
        <v>AREIA MÉDIA LAVADA</v>
      </c>
      <c r="C2605" s="114">
        <v>0.72</v>
      </c>
      <c r="D2605" s="757" t="str">
        <f>VLOOKUP(A2605,'A VII.'!$A$10:$D$199,3,FALSE)</f>
        <v>M3</v>
      </c>
      <c r="E2605" s="85">
        <f>'A VII.'!$D$19</f>
        <v>0</v>
      </c>
      <c r="F2605" s="59">
        <f>ROUND(C2605*E2605,2)</f>
        <v>0</v>
      </c>
    </row>
    <row r="2606" spans="1:6" ht="12.75" customHeight="1" x14ac:dyDescent="0.2">
      <c r="A2606" s="6" t="str">
        <f>'A VII.'!$A$38</f>
        <v>1.29</v>
      </c>
      <c r="B2606" s="421" t="str">
        <f>VLOOKUP(A2606,'A VII.'!$A$10:$D$199,2,FALSE)</f>
        <v>CIMENTO PORTLAND CP II-E-32</v>
      </c>
      <c r="C2606" s="114">
        <v>283</v>
      </c>
      <c r="D2606" s="757" t="str">
        <f>VLOOKUP(A2606,'A VII.'!$A$10:$D$199,3,FALSE)</f>
        <v>KG</v>
      </c>
      <c r="E2606" s="85">
        <f>'A VII.'!$D$38</f>
        <v>0</v>
      </c>
      <c r="F2606" s="59">
        <f t="shared" ref="F2606:F2620" si="157">ROUND(C2606*E2606,2)</f>
        <v>0</v>
      </c>
    </row>
    <row r="2607" spans="1:6" ht="12.75" customHeight="1" x14ac:dyDescent="0.2">
      <c r="A2607" s="6" t="str">
        <f>'A VII.'!$A$81</f>
        <v>1.72</v>
      </c>
      <c r="B2607" s="421" t="str">
        <f>VLOOKUP(A2607,'A VII.'!$A$10:$D$199,2,FALSE)</f>
        <v>PEDRISCO GRANULOMETRIA ENTRE (0,075 E 4,8 MM) NBR 7225</v>
      </c>
      <c r="C2607" s="114">
        <v>0.28000000000000003</v>
      </c>
      <c r="D2607" s="757" t="str">
        <f>VLOOKUP(A2607,'A VII.'!$A$10:$D$199,3,FALSE)</f>
        <v>M3</v>
      </c>
      <c r="E2607" s="85">
        <f>'A VII.'!$D$81</f>
        <v>0</v>
      </c>
      <c r="F2607" s="59">
        <f t="shared" si="157"/>
        <v>0</v>
      </c>
    </row>
    <row r="2608" spans="1:6" ht="12.75" customHeight="1" x14ac:dyDescent="0.2">
      <c r="A2608" s="6"/>
      <c r="B2608" s="421"/>
      <c r="C2608" s="114"/>
      <c r="D2608" s="757"/>
      <c r="E2608" s="85"/>
      <c r="F2608" s="59">
        <f t="shared" si="157"/>
        <v>0</v>
      </c>
    </row>
    <row r="2609" spans="1:6" ht="12.75" customHeight="1" x14ac:dyDescent="0.2">
      <c r="A2609" s="6"/>
      <c r="B2609" s="421"/>
      <c r="C2609" s="114"/>
      <c r="D2609" s="757"/>
      <c r="E2609" s="85"/>
      <c r="F2609" s="59">
        <f t="shared" si="157"/>
        <v>0</v>
      </c>
    </row>
    <row r="2610" spans="1:6" ht="12.75" customHeight="1" x14ac:dyDescent="0.2">
      <c r="A2610" s="6"/>
      <c r="B2610" s="421"/>
      <c r="C2610" s="114"/>
      <c r="D2610" s="757"/>
      <c r="E2610" s="85"/>
      <c r="F2610" s="59">
        <f t="shared" si="157"/>
        <v>0</v>
      </c>
    </row>
    <row r="2611" spans="1:6" ht="12.75" customHeight="1" x14ac:dyDescent="0.2">
      <c r="A2611" s="6"/>
      <c r="B2611" s="421"/>
      <c r="C2611" s="114"/>
      <c r="D2611" s="757"/>
      <c r="E2611" s="85"/>
      <c r="F2611" s="59">
        <f t="shared" si="157"/>
        <v>0</v>
      </c>
    </row>
    <row r="2612" spans="1:6" ht="12.75" customHeight="1" x14ac:dyDescent="0.2">
      <c r="A2612" s="6"/>
      <c r="B2612" s="421"/>
      <c r="C2612" s="114"/>
      <c r="D2612" s="757"/>
      <c r="E2612" s="85"/>
      <c r="F2612" s="59">
        <f t="shared" si="157"/>
        <v>0</v>
      </c>
    </row>
    <row r="2613" spans="1:6" ht="12.75" customHeight="1" x14ac:dyDescent="0.2">
      <c r="A2613" s="6"/>
      <c r="B2613" s="421"/>
      <c r="C2613" s="114"/>
      <c r="D2613" s="757"/>
      <c r="E2613" s="85"/>
      <c r="F2613" s="59">
        <f t="shared" si="157"/>
        <v>0</v>
      </c>
    </row>
    <row r="2614" spans="1:6" ht="12.75" customHeight="1" x14ac:dyDescent="0.2">
      <c r="A2614" s="6"/>
      <c r="B2614" s="421"/>
      <c r="C2614" s="114"/>
      <c r="D2614" s="757"/>
      <c r="E2614" s="85"/>
      <c r="F2614" s="59">
        <f t="shared" si="157"/>
        <v>0</v>
      </c>
    </row>
    <row r="2615" spans="1:6" ht="12.75" customHeight="1" x14ac:dyDescent="0.2">
      <c r="A2615" s="6"/>
      <c r="B2615" s="421"/>
      <c r="C2615" s="114"/>
      <c r="D2615" s="757"/>
      <c r="E2615" s="85"/>
      <c r="F2615" s="59">
        <f t="shared" si="157"/>
        <v>0</v>
      </c>
    </row>
    <row r="2616" spans="1:6" ht="12.75" customHeight="1" x14ac:dyDescent="0.2">
      <c r="A2616" s="6"/>
      <c r="B2616" s="421"/>
      <c r="C2616" s="114"/>
      <c r="D2616" s="758"/>
      <c r="E2616" s="85"/>
      <c r="F2616" s="59">
        <f t="shared" si="157"/>
        <v>0</v>
      </c>
    </row>
    <row r="2617" spans="1:6" ht="12.75" customHeight="1" x14ac:dyDescent="0.2">
      <c r="A2617" s="6"/>
      <c r="B2617" s="421"/>
      <c r="C2617" s="114"/>
      <c r="D2617" s="758"/>
      <c r="E2617" s="85"/>
      <c r="F2617" s="59">
        <f t="shared" si="157"/>
        <v>0</v>
      </c>
    </row>
    <row r="2618" spans="1:6" ht="12.75" customHeight="1" x14ac:dyDescent="0.2">
      <c r="A2618" s="6"/>
      <c r="B2618" s="421"/>
      <c r="C2618" s="114"/>
      <c r="D2618" s="758"/>
      <c r="E2618" s="85"/>
      <c r="F2618" s="59">
        <f t="shared" si="157"/>
        <v>0</v>
      </c>
    </row>
    <row r="2619" spans="1:6" ht="12.75" customHeight="1" x14ac:dyDescent="0.2">
      <c r="A2619" s="3"/>
      <c r="C2619" s="114"/>
      <c r="D2619" s="759"/>
      <c r="E2619" s="85"/>
      <c r="F2619" s="59">
        <f t="shared" si="157"/>
        <v>0</v>
      </c>
    </row>
    <row r="2620" spans="1:6" ht="12.75" customHeight="1" x14ac:dyDescent="0.2">
      <c r="A2620" s="3"/>
      <c r="C2620" s="114"/>
      <c r="D2620" s="759"/>
      <c r="E2620" s="85"/>
      <c r="F2620" s="59">
        <f t="shared" si="157"/>
        <v>0</v>
      </c>
    </row>
    <row r="2621" spans="1:6" ht="12.75" customHeight="1" x14ac:dyDescent="0.2">
      <c r="A2621" s="3"/>
      <c r="B2621" s="86" t="s">
        <v>258</v>
      </c>
      <c r="C2621" s="87"/>
      <c r="D2621" s="88"/>
      <c r="E2621" s="89"/>
      <c r="F2621" s="90">
        <f>SUM(F2605:F2620)</f>
        <v>0</v>
      </c>
    </row>
    <row r="2622" spans="1:6" ht="12.75" customHeight="1" x14ac:dyDescent="0.2">
      <c r="A2622" s="3"/>
      <c r="B2622" s="91" t="s">
        <v>70</v>
      </c>
      <c r="C2622" s="15">
        <f>$D$8</f>
        <v>0</v>
      </c>
      <c r="D2622" s="92"/>
      <c r="E2622" s="93"/>
      <c r="F2622" s="94">
        <f>ROUND(F2621*C2622,2)</f>
        <v>0</v>
      </c>
    </row>
    <row r="2623" spans="1:6" ht="12.75" customHeight="1" x14ac:dyDescent="0.2">
      <c r="A2623" s="95"/>
      <c r="B2623" s="424" t="s">
        <v>259</v>
      </c>
      <c r="C2623" s="425"/>
      <c r="D2623" s="425"/>
      <c r="E2623" s="426"/>
      <c r="F2623" s="96">
        <f>F2621+F2622</f>
        <v>0</v>
      </c>
    </row>
    <row r="2624" spans="1:6" ht="12.75" customHeight="1" x14ac:dyDescent="0.2">
      <c r="A2624" s="1" t="s">
        <v>5</v>
      </c>
      <c r="B2624" s="418" t="s">
        <v>267</v>
      </c>
      <c r="C2624" s="419" t="s">
        <v>263</v>
      </c>
      <c r="D2624" s="419" t="s">
        <v>264</v>
      </c>
      <c r="E2624" s="420" t="s">
        <v>265</v>
      </c>
      <c r="F2624" s="57" t="s">
        <v>266</v>
      </c>
    </row>
    <row r="2625" spans="1:6" ht="12.75" customHeight="1" x14ac:dyDescent="0.2">
      <c r="A2625" s="3" t="str">
        <f>'A VII.'!$A$172</f>
        <v>2.30</v>
      </c>
      <c r="B2625" s="71" t="str">
        <f>VLOOKUP(A2625,'A VII.'!$A$10:$D$199,2,FALSE)</f>
        <v>BETONEIRA REVERSIVEL COM CARREGADOR, CAPACIDADE DE 320 LITROS, ACIONAMENTO DO MOTOR COMBUSTÃO INTERNA (DIESEL E GASOLINA) OU MOTOR ELÉTRICO ALFA 320</v>
      </c>
      <c r="C2625" s="114">
        <v>0.43</v>
      </c>
      <c r="D2625" s="759" t="str">
        <f>VLOOKUP(A2625,'A VII.'!$A$10:$D$199,3,FALSE)</f>
        <v>H</v>
      </c>
      <c r="E2625" s="85">
        <f>VLOOKUP(A2625,'A VII.'!$A$10:$D$199,4,FALSE)</f>
        <v>0</v>
      </c>
      <c r="F2625" s="59">
        <f t="shared" ref="F2625:F2634" si="158">ROUND(C2625*E2625,2)</f>
        <v>0</v>
      </c>
    </row>
    <row r="2626" spans="1:6" ht="12.75" customHeight="1" x14ac:dyDescent="0.2">
      <c r="A2626" s="3"/>
      <c r="C2626" s="114"/>
      <c r="D2626" s="759"/>
      <c r="E2626" s="85"/>
      <c r="F2626" s="59">
        <f t="shared" si="158"/>
        <v>0</v>
      </c>
    </row>
    <row r="2627" spans="1:6" ht="12.75" customHeight="1" x14ac:dyDescent="0.2">
      <c r="A2627" s="3"/>
      <c r="C2627" s="114"/>
      <c r="D2627" s="759"/>
      <c r="E2627" s="85"/>
      <c r="F2627" s="59">
        <f t="shared" si="158"/>
        <v>0</v>
      </c>
    </row>
    <row r="2628" spans="1:6" ht="12.75" customHeight="1" x14ac:dyDescent="0.2">
      <c r="A2628" s="3"/>
      <c r="C2628" s="114"/>
      <c r="D2628" s="759"/>
      <c r="E2628" s="85"/>
      <c r="F2628" s="59">
        <f t="shared" si="158"/>
        <v>0</v>
      </c>
    </row>
    <row r="2629" spans="1:6" ht="12.75" customHeight="1" x14ac:dyDescent="0.2">
      <c r="A2629" s="3"/>
      <c r="C2629" s="114"/>
      <c r="D2629" s="759"/>
      <c r="E2629" s="85"/>
      <c r="F2629" s="59">
        <f t="shared" si="158"/>
        <v>0</v>
      </c>
    </row>
    <row r="2630" spans="1:6" ht="12.75" customHeight="1" x14ac:dyDescent="0.2">
      <c r="A2630" s="3"/>
      <c r="C2630" s="114"/>
      <c r="D2630" s="759"/>
      <c r="E2630" s="85"/>
      <c r="F2630" s="59">
        <f t="shared" si="158"/>
        <v>0</v>
      </c>
    </row>
    <row r="2631" spans="1:6" ht="12.75" customHeight="1" x14ac:dyDescent="0.2">
      <c r="A2631" s="3"/>
      <c r="C2631" s="114"/>
      <c r="D2631" s="759"/>
      <c r="E2631" s="85"/>
      <c r="F2631" s="59">
        <f t="shared" si="158"/>
        <v>0</v>
      </c>
    </row>
    <row r="2632" spans="1:6" ht="12.75" customHeight="1" x14ac:dyDescent="0.2">
      <c r="A2632" s="3"/>
      <c r="C2632" s="114"/>
      <c r="D2632" s="759"/>
      <c r="E2632" s="85"/>
      <c r="F2632" s="59">
        <f t="shared" si="158"/>
        <v>0</v>
      </c>
    </row>
    <row r="2633" spans="1:6" ht="12.75" customHeight="1" x14ac:dyDescent="0.2">
      <c r="A2633" s="3"/>
      <c r="C2633" s="114"/>
      <c r="D2633" s="759"/>
      <c r="E2633" s="85"/>
      <c r="F2633" s="59">
        <f t="shared" si="158"/>
        <v>0</v>
      </c>
    </row>
    <row r="2634" spans="1:6" ht="12.75" customHeight="1" x14ac:dyDescent="0.2">
      <c r="A2634" s="3"/>
      <c r="C2634" s="114"/>
      <c r="D2634" s="759"/>
      <c r="E2634" s="85"/>
      <c r="F2634" s="59">
        <f t="shared" si="158"/>
        <v>0</v>
      </c>
    </row>
    <row r="2635" spans="1:6" ht="12.75" customHeight="1" x14ac:dyDescent="0.2">
      <c r="A2635" s="3"/>
      <c r="B2635" s="86" t="s">
        <v>258</v>
      </c>
      <c r="C2635" s="87"/>
      <c r="D2635" s="88"/>
      <c r="E2635" s="89"/>
      <c r="F2635" s="90">
        <f>SUM(F2625:F2634)</f>
        <v>0</v>
      </c>
    </row>
    <row r="2636" spans="1:6" ht="12.75" customHeight="1" x14ac:dyDescent="0.2">
      <c r="A2636" s="3"/>
      <c r="B2636" s="91" t="s">
        <v>70</v>
      </c>
      <c r="C2636" s="15">
        <f>$D$8</f>
        <v>0</v>
      </c>
      <c r="D2636" s="92"/>
      <c r="E2636" s="93"/>
      <c r="F2636" s="94">
        <f>ROUND(C2636*F2635,2)</f>
        <v>0</v>
      </c>
    </row>
    <row r="2637" spans="1:6" ht="12.75" customHeight="1" x14ac:dyDescent="0.2">
      <c r="A2637" s="95"/>
      <c r="B2637" s="424" t="s">
        <v>260</v>
      </c>
      <c r="C2637" s="425"/>
      <c r="D2637" s="425"/>
      <c r="E2637" s="426"/>
      <c r="F2637" s="96">
        <f>F2635+F2636</f>
        <v>0</v>
      </c>
    </row>
    <row r="2638" spans="1:6" ht="12.75" customHeight="1" x14ac:dyDescent="0.2">
      <c r="A2638" s="97" t="s">
        <v>54</v>
      </c>
      <c r="B2638" s="427" t="s">
        <v>268</v>
      </c>
      <c r="C2638" s="428" t="s">
        <v>263</v>
      </c>
      <c r="D2638" s="429" t="s">
        <v>264</v>
      </c>
      <c r="E2638" s="430" t="s">
        <v>265</v>
      </c>
      <c r="F2638" s="57" t="s">
        <v>266</v>
      </c>
    </row>
    <row r="2639" spans="1:6" ht="12.75" customHeight="1" x14ac:dyDescent="0.2">
      <c r="A2639" s="3" t="str">
        <f>'A VII.'!$A$196</f>
        <v>3.16</v>
      </c>
      <c r="B2639" s="74" t="s">
        <v>189</v>
      </c>
      <c r="C2639" s="114">
        <v>2.5</v>
      </c>
      <c r="D2639" s="759" t="str">
        <f>VLOOKUP(A2639,'A VII.'!$A$10:$D$199,3,FALSE)</f>
        <v>H</v>
      </c>
      <c r="E2639" s="85">
        <f>'A VII.'!$D$196</f>
        <v>0</v>
      </c>
      <c r="F2639" s="59">
        <f t="shared" ref="F2639:F2645" si="159">ROUND(C2639*E2639,2)</f>
        <v>0</v>
      </c>
    </row>
    <row r="2640" spans="1:6" ht="12.75" customHeight="1" x14ac:dyDescent="0.2">
      <c r="A2640" s="3" t="str">
        <f>'A VII.'!$A$192</f>
        <v>3.12</v>
      </c>
      <c r="B2640" s="74" t="s">
        <v>185</v>
      </c>
      <c r="C2640" s="114">
        <v>0.25</v>
      </c>
      <c r="D2640" s="759" t="str">
        <f>VLOOKUP(A2640,'A VII.'!$A$10:$D$199,3,FALSE)</f>
        <v>H</v>
      </c>
      <c r="E2640" s="85">
        <f>'A VII.'!D192</f>
        <v>0</v>
      </c>
      <c r="F2640" s="59">
        <f t="shared" si="159"/>
        <v>0</v>
      </c>
    </row>
    <row r="2641" spans="1:6" ht="12.75" customHeight="1" x14ac:dyDescent="0.2">
      <c r="A2641" s="3"/>
      <c r="C2641" s="114"/>
      <c r="D2641" s="759"/>
      <c r="E2641" s="85"/>
      <c r="F2641" s="59">
        <f t="shared" si="159"/>
        <v>0</v>
      </c>
    </row>
    <row r="2642" spans="1:6" ht="12.75" customHeight="1" x14ac:dyDescent="0.2">
      <c r="A2642" s="3"/>
      <c r="C2642" s="114"/>
      <c r="D2642" s="759"/>
      <c r="E2642" s="85"/>
      <c r="F2642" s="59">
        <f t="shared" si="159"/>
        <v>0</v>
      </c>
    </row>
    <row r="2643" spans="1:6" ht="12.75" customHeight="1" x14ac:dyDescent="0.2">
      <c r="A2643" s="3"/>
      <c r="C2643" s="114"/>
      <c r="D2643" s="759"/>
      <c r="E2643" s="85"/>
      <c r="F2643" s="59">
        <f t="shared" si="159"/>
        <v>0</v>
      </c>
    </row>
    <row r="2644" spans="1:6" ht="12.75" customHeight="1" x14ac:dyDescent="0.2">
      <c r="A2644" s="3"/>
      <c r="C2644" s="114"/>
      <c r="D2644" s="759"/>
      <c r="E2644" s="85"/>
      <c r="F2644" s="59">
        <f t="shared" si="159"/>
        <v>0</v>
      </c>
    </row>
    <row r="2645" spans="1:6" ht="12.75" customHeight="1" x14ac:dyDescent="0.2">
      <c r="A2645" s="3"/>
      <c r="C2645" s="114"/>
      <c r="D2645" s="759"/>
      <c r="E2645" s="85"/>
      <c r="F2645" s="59">
        <f t="shared" si="159"/>
        <v>0</v>
      </c>
    </row>
    <row r="2646" spans="1:6" ht="12.75" customHeight="1" x14ac:dyDescent="0.2">
      <c r="A2646" s="3"/>
      <c r="B2646" s="86" t="s">
        <v>258</v>
      </c>
      <c r="C2646" s="87"/>
      <c r="D2646" s="88"/>
      <c r="E2646" s="89"/>
      <c r="F2646" s="90">
        <f>SUM(F2639:F2645)</f>
        <v>0</v>
      </c>
    </row>
    <row r="2647" spans="1:6" ht="12.75" customHeight="1" x14ac:dyDescent="0.2">
      <c r="A2647" s="3"/>
      <c r="B2647" s="91" t="s">
        <v>261</v>
      </c>
      <c r="C2647" s="15">
        <f>'A IX.'!$C$45</f>
        <v>0</v>
      </c>
      <c r="D2647" s="92"/>
      <c r="E2647" s="93"/>
      <c r="F2647" s="94">
        <f>ROUND(F2646*C2647,2)</f>
        <v>0</v>
      </c>
    </row>
    <row r="2648" spans="1:6" ht="12.75" customHeight="1" x14ac:dyDescent="0.2">
      <c r="A2648" s="3"/>
      <c r="B2648" s="91" t="s">
        <v>70</v>
      </c>
      <c r="C2648" s="15">
        <f>$D$8</f>
        <v>0</v>
      </c>
      <c r="D2648" s="92"/>
      <c r="E2648" s="93"/>
      <c r="F2648" s="94">
        <f>ROUND(SUM(F2646:F2647)*C2648,2)</f>
        <v>0</v>
      </c>
    </row>
    <row r="2649" spans="1:6" ht="12.75" customHeight="1" thickBot="1" x14ac:dyDescent="0.25">
      <c r="A2649" s="98"/>
      <c r="B2649" s="99" t="s">
        <v>262</v>
      </c>
      <c r="C2649" s="100"/>
      <c r="D2649" s="100"/>
      <c r="E2649" s="101"/>
      <c r="F2649" s="102">
        <f>SUM(F2646:F2648)</f>
        <v>0</v>
      </c>
    </row>
    <row r="2650" spans="1:6" ht="12.75" customHeight="1" thickBot="1" x14ac:dyDescent="0.25">
      <c r="A2650" s="81"/>
      <c r="B2650" s="82"/>
      <c r="C2650" s="83"/>
      <c r="D2650" s="83"/>
      <c r="E2650" s="84"/>
      <c r="F2650" s="103"/>
    </row>
    <row r="2651" spans="1:6" ht="30" customHeight="1" x14ac:dyDescent="0.2">
      <c r="A2651" s="5" t="str">
        <f>'A IV.A'!A86</f>
        <v>3.6.1</v>
      </c>
      <c r="B2651" s="416" t="str">
        <f>'A IV.A'!B86</f>
        <v xml:space="preserve">FORMA PLANA COMUM </v>
      </c>
      <c r="C2651" s="526" t="s">
        <v>269</v>
      </c>
      <c r="D2651" s="527"/>
      <c r="E2651" s="417" t="str">
        <f>'A IV.A'!$C$86</f>
        <v>M2</v>
      </c>
      <c r="F2651" s="58">
        <f>ROUND(F2671+F2685+F2697,2)</f>
        <v>0</v>
      </c>
    </row>
    <row r="2652" spans="1:6" ht="12.75" customHeight="1" x14ac:dyDescent="0.2">
      <c r="A2652" s="1" t="s">
        <v>17</v>
      </c>
      <c r="B2652" s="418" t="s">
        <v>162</v>
      </c>
      <c r="C2652" s="419" t="s">
        <v>263</v>
      </c>
      <c r="D2652" s="419" t="s">
        <v>264</v>
      </c>
      <c r="E2652" s="420" t="s">
        <v>265</v>
      </c>
      <c r="F2652" s="57" t="s">
        <v>266</v>
      </c>
    </row>
    <row r="2653" spans="1:6" ht="12.75" customHeight="1" x14ac:dyDescent="0.2">
      <c r="A2653" s="6" t="str">
        <f>'A VII.'!$A$43</f>
        <v>1.34</v>
      </c>
      <c r="B2653" s="421" t="str">
        <f>VLOOKUP(A2653,'A VII.'!$A$10:$D$199,2,FALSE)</f>
        <v>DESMOLDANTE PARA FÔRMAS - BASE DE ÓLEO MINERAL EMULSIONADO</v>
      </c>
      <c r="C2653" s="114">
        <v>0.1</v>
      </c>
      <c r="D2653" s="757" t="str">
        <f>VLOOKUP(A2653,'A VII.'!$A$10:$D$199,3,FALSE)</f>
        <v>L</v>
      </c>
      <c r="E2653" s="85">
        <f>'A VII.'!$D$43</f>
        <v>0</v>
      </c>
      <c r="F2653" s="59">
        <f>ROUND(C2653*E2653,2)</f>
        <v>0</v>
      </c>
    </row>
    <row r="2654" spans="1:6" ht="12.75" customHeight="1" x14ac:dyDescent="0.2">
      <c r="A2654" s="6" t="str">
        <f>'A VII.'!$A$90</f>
        <v>1.80</v>
      </c>
      <c r="B2654" s="421" t="str">
        <f>VLOOKUP(A2654,'A VII.'!$A$10:$D$199,2,FALSE)</f>
        <v>PREGO EM AÇO POLIDO COM CABEÇA (MEDIA DAS BITOLAS)</v>
      </c>
      <c r="C2654" s="114">
        <f>0.1+0.036</f>
        <v>0.13600000000000001</v>
      </c>
      <c r="D2654" s="757" t="str">
        <f>VLOOKUP(A2654,'A VII.'!$A$10:$D$199,3,FALSE)</f>
        <v>KG</v>
      </c>
      <c r="E2654" s="85">
        <f>'A VII.'!$D$90</f>
        <v>0</v>
      </c>
      <c r="F2654" s="59">
        <f t="shared" ref="F2654:F2668" si="160">ROUND(C2654*E2654,2)</f>
        <v>0</v>
      </c>
    </row>
    <row r="2655" spans="1:6" ht="12.75" customHeight="1" x14ac:dyDescent="0.2">
      <c r="A2655" s="6" t="str">
        <f>'A VII.'!$A$97</f>
        <v>1.87</v>
      </c>
      <c r="B2655" s="421" t="str">
        <f>VLOOKUP(A2655,'A VII.'!$A$10:$D$199,2,FALSE)</f>
        <v xml:space="preserve">SARRAFO 3A. CONSTRUÇÃO (SEÇÃO TRANSVERSAL: 1X4" - 2,5CM X 10,0CM) </v>
      </c>
      <c r="C2655" s="114">
        <v>0.75</v>
      </c>
      <c r="D2655" s="757" t="str">
        <f>VLOOKUP(A2655,'A VII.'!$A$10:$D$199,3,FALSE)</f>
        <v>M</v>
      </c>
      <c r="E2655" s="85">
        <f>'A VII.'!$D$97</f>
        <v>0</v>
      </c>
      <c r="F2655" s="59">
        <f t="shared" si="160"/>
        <v>0</v>
      </c>
    </row>
    <row r="2656" spans="1:6" ht="12.75" customHeight="1" x14ac:dyDescent="0.2">
      <c r="A2656" s="6" t="str">
        <f>'A VII.'!$A$101</f>
        <v>1.91</v>
      </c>
      <c r="B2656" s="421" t="str">
        <f>VLOOKUP(A2656,'A VII.'!$A$10:$D$199,2,FALSE)</f>
        <v>TÁBUA MADEIRA 3A QUALIDADE 2,5 X 30CM (1X12") NÃO APARELHADA</v>
      </c>
      <c r="C2656" s="114">
        <f>0.26/0.3</f>
        <v>0.8666666666666667</v>
      </c>
      <c r="D2656" s="757" t="str">
        <f>VLOOKUP(A2656,'A VII.'!$A$10:$D$199,3,FALSE)</f>
        <v>M</v>
      </c>
      <c r="E2656" s="85">
        <f>'A VII.'!$D$101</f>
        <v>0</v>
      </c>
      <c r="F2656" s="59">
        <f t="shared" si="160"/>
        <v>0</v>
      </c>
    </row>
    <row r="2657" spans="1:6" ht="12.75" customHeight="1" x14ac:dyDescent="0.2">
      <c r="A2657" s="6"/>
      <c r="B2657" s="421"/>
      <c r="C2657" s="114"/>
      <c r="D2657" s="757"/>
      <c r="E2657" s="85"/>
      <c r="F2657" s="59">
        <f t="shared" si="160"/>
        <v>0</v>
      </c>
    </row>
    <row r="2658" spans="1:6" ht="12.75" customHeight="1" x14ac:dyDescent="0.2">
      <c r="A2658" s="6"/>
      <c r="B2658" s="421"/>
      <c r="C2658" s="114"/>
      <c r="D2658" s="757"/>
      <c r="E2658" s="85"/>
      <c r="F2658" s="59">
        <f t="shared" si="160"/>
        <v>0</v>
      </c>
    </row>
    <row r="2659" spans="1:6" ht="12.75" customHeight="1" x14ac:dyDescent="0.2">
      <c r="A2659" s="6"/>
      <c r="B2659" s="421"/>
      <c r="C2659" s="114"/>
      <c r="D2659" s="757"/>
      <c r="E2659" s="85"/>
      <c r="F2659" s="59">
        <f t="shared" si="160"/>
        <v>0</v>
      </c>
    </row>
    <row r="2660" spans="1:6" ht="12.75" customHeight="1" x14ac:dyDescent="0.2">
      <c r="A2660" s="6"/>
      <c r="B2660" s="421"/>
      <c r="C2660" s="114"/>
      <c r="D2660" s="757"/>
      <c r="E2660" s="85"/>
      <c r="F2660" s="59">
        <f t="shared" si="160"/>
        <v>0</v>
      </c>
    </row>
    <row r="2661" spans="1:6" ht="12.75" customHeight="1" x14ac:dyDescent="0.2">
      <c r="A2661" s="6"/>
      <c r="B2661" s="421"/>
      <c r="C2661" s="114"/>
      <c r="D2661" s="757"/>
      <c r="E2661" s="85"/>
      <c r="F2661" s="59">
        <f t="shared" si="160"/>
        <v>0</v>
      </c>
    </row>
    <row r="2662" spans="1:6" ht="12.75" customHeight="1" x14ac:dyDescent="0.2">
      <c r="A2662" s="6"/>
      <c r="B2662" s="421"/>
      <c r="C2662" s="114"/>
      <c r="D2662" s="757"/>
      <c r="E2662" s="85"/>
      <c r="F2662" s="59">
        <f t="shared" si="160"/>
        <v>0</v>
      </c>
    </row>
    <row r="2663" spans="1:6" ht="12.75" customHeight="1" x14ac:dyDescent="0.2">
      <c r="A2663" s="6"/>
      <c r="B2663" s="421"/>
      <c r="C2663" s="114"/>
      <c r="D2663" s="757"/>
      <c r="E2663" s="85"/>
      <c r="F2663" s="59">
        <f t="shared" si="160"/>
        <v>0</v>
      </c>
    </row>
    <row r="2664" spans="1:6" ht="12.75" customHeight="1" x14ac:dyDescent="0.2">
      <c r="A2664" s="6"/>
      <c r="B2664" s="421"/>
      <c r="C2664" s="114"/>
      <c r="D2664" s="758"/>
      <c r="E2664" s="85"/>
      <c r="F2664" s="59">
        <f t="shared" si="160"/>
        <v>0</v>
      </c>
    </row>
    <row r="2665" spans="1:6" ht="12.75" customHeight="1" x14ac:dyDescent="0.2">
      <c r="A2665" s="6"/>
      <c r="B2665" s="421"/>
      <c r="C2665" s="114"/>
      <c r="D2665" s="758"/>
      <c r="E2665" s="85"/>
      <c r="F2665" s="59">
        <f t="shared" si="160"/>
        <v>0</v>
      </c>
    </row>
    <row r="2666" spans="1:6" ht="12.75" customHeight="1" x14ac:dyDescent="0.2">
      <c r="A2666" s="6"/>
      <c r="B2666" s="421"/>
      <c r="C2666" s="114"/>
      <c r="D2666" s="758"/>
      <c r="E2666" s="85"/>
      <c r="F2666" s="59">
        <f t="shared" si="160"/>
        <v>0</v>
      </c>
    </row>
    <row r="2667" spans="1:6" ht="12.75" customHeight="1" x14ac:dyDescent="0.2">
      <c r="A2667" s="3"/>
      <c r="C2667" s="114"/>
      <c r="D2667" s="759"/>
      <c r="E2667" s="85"/>
      <c r="F2667" s="59">
        <f t="shared" si="160"/>
        <v>0</v>
      </c>
    </row>
    <row r="2668" spans="1:6" ht="12.75" customHeight="1" x14ac:dyDescent="0.2">
      <c r="A2668" s="3"/>
      <c r="C2668" s="114"/>
      <c r="D2668" s="759"/>
      <c r="E2668" s="85"/>
      <c r="F2668" s="59">
        <f t="shared" si="160"/>
        <v>0</v>
      </c>
    </row>
    <row r="2669" spans="1:6" ht="12.75" customHeight="1" x14ac:dyDescent="0.2">
      <c r="A2669" s="3"/>
      <c r="B2669" s="86" t="s">
        <v>258</v>
      </c>
      <c r="C2669" s="87"/>
      <c r="D2669" s="88"/>
      <c r="E2669" s="89"/>
      <c r="F2669" s="90">
        <f>SUM(F2653:F2668)</f>
        <v>0</v>
      </c>
    </row>
    <row r="2670" spans="1:6" ht="12.75" customHeight="1" x14ac:dyDescent="0.2">
      <c r="A2670" s="3"/>
      <c r="B2670" s="91" t="s">
        <v>70</v>
      </c>
      <c r="C2670" s="15">
        <f>$D$8</f>
        <v>0</v>
      </c>
      <c r="D2670" s="92"/>
      <c r="E2670" s="93"/>
      <c r="F2670" s="94">
        <f>ROUND(F2669*C2670,2)</f>
        <v>0</v>
      </c>
    </row>
    <row r="2671" spans="1:6" ht="12.75" customHeight="1" x14ac:dyDescent="0.2">
      <c r="A2671" s="95"/>
      <c r="B2671" s="424" t="s">
        <v>259</v>
      </c>
      <c r="C2671" s="425"/>
      <c r="D2671" s="425"/>
      <c r="E2671" s="426"/>
      <c r="F2671" s="96">
        <f>F2669+F2670</f>
        <v>0</v>
      </c>
    </row>
    <row r="2672" spans="1:6" ht="12.75" customHeight="1" x14ac:dyDescent="0.2">
      <c r="A2672" s="1" t="s">
        <v>5</v>
      </c>
      <c r="B2672" s="418" t="s">
        <v>267</v>
      </c>
      <c r="C2672" s="419" t="s">
        <v>263</v>
      </c>
      <c r="D2672" s="419" t="s">
        <v>264</v>
      </c>
      <c r="E2672" s="420" t="s">
        <v>265</v>
      </c>
      <c r="F2672" s="57" t="s">
        <v>266</v>
      </c>
    </row>
    <row r="2673" spans="1:6" ht="12.75" customHeight="1" x14ac:dyDescent="0.2">
      <c r="A2673" s="3"/>
      <c r="B2673" s="71"/>
      <c r="C2673" s="114"/>
      <c r="D2673" s="759"/>
      <c r="E2673" s="85"/>
      <c r="F2673" s="59">
        <f t="shared" ref="F2673:F2682" si="161">ROUND(C2673*E2673,2)</f>
        <v>0</v>
      </c>
    </row>
    <row r="2674" spans="1:6" ht="12.75" customHeight="1" x14ac:dyDescent="0.2">
      <c r="A2674" s="3"/>
      <c r="C2674" s="114"/>
      <c r="D2674" s="759"/>
      <c r="E2674" s="85"/>
      <c r="F2674" s="59">
        <f t="shared" si="161"/>
        <v>0</v>
      </c>
    </row>
    <row r="2675" spans="1:6" ht="12.75" customHeight="1" x14ac:dyDescent="0.2">
      <c r="A2675" s="3"/>
      <c r="C2675" s="114"/>
      <c r="D2675" s="759"/>
      <c r="E2675" s="85"/>
      <c r="F2675" s="59">
        <f t="shared" si="161"/>
        <v>0</v>
      </c>
    </row>
    <row r="2676" spans="1:6" ht="12.75" customHeight="1" x14ac:dyDescent="0.2">
      <c r="A2676" s="3"/>
      <c r="C2676" s="114"/>
      <c r="D2676" s="759"/>
      <c r="E2676" s="85"/>
      <c r="F2676" s="59">
        <f t="shared" si="161"/>
        <v>0</v>
      </c>
    </row>
    <row r="2677" spans="1:6" ht="12.75" customHeight="1" x14ac:dyDescent="0.2">
      <c r="A2677" s="3"/>
      <c r="C2677" s="114"/>
      <c r="D2677" s="759"/>
      <c r="E2677" s="85"/>
      <c r="F2677" s="59">
        <f t="shared" si="161"/>
        <v>0</v>
      </c>
    </row>
    <row r="2678" spans="1:6" ht="12.75" customHeight="1" x14ac:dyDescent="0.2">
      <c r="A2678" s="3"/>
      <c r="C2678" s="114"/>
      <c r="D2678" s="759"/>
      <c r="E2678" s="85"/>
      <c r="F2678" s="59">
        <f t="shared" si="161"/>
        <v>0</v>
      </c>
    </row>
    <row r="2679" spans="1:6" ht="12.75" customHeight="1" x14ac:dyDescent="0.2">
      <c r="A2679" s="3"/>
      <c r="C2679" s="114"/>
      <c r="D2679" s="759"/>
      <c r="E2679" s="85"/>
      <c r="F2679" s="59">
        <f t="shared" si="161"/>
        <v>0</v>
      </c>
    </row>
    <row r="2680" spans="1:6" ht="12.75" customHeight="1" x14ac:dyDescent="0.2">
      <c r="A2680" s="3"/>
      <c r="C2680" s="114"/>
      <c r="D2680" s="759"/>
      <c r="E2680" s="85"/>
      <c r="F2680" s="59">
        <f t="shared" si="161"/>
        <v>0</v>
      </c>
    </row>
    <row r="2681" spans="1:6" ht="12.75" customHeight="1" x14ac:dyDescent="0.2">
      <c r="A2681" s="3"/>
      <c r="C2681" s="114"/>
      <c r="D2681" s="759"/>
      <c r="E2681" s="85"/>
      <c r="F2681" s="59">
        <f t="shared" si="161"/>
        <v>0</v>
      </c>
    </row>
    <row r="2682" spans="1:6" ht="12.75" customHeight="1" x14ac:dyDescent="0.2">
      <c r="A2682" s="3"/>
      <c r="C2682" s="114"/>
      <c r="D2682" s="759"/>
      <c r="E2682" s="85"/>
      <c r="F2682" s="59">
        <f t="shared" si="161"/>
        <v>0</v>
      </c>
    </row>
    <row r="2683" spans="1:6" ht="12.75" customHeight="1" x14ac:dyDescent="0.2">
      <c r="A2683" s="3"/>
      <c r="B2683" s="86" t="s">
        <v>258</v>
      </c>
      <c r="C2683" s="87"/>
      <c r="D2683" s="88"/>
      <c r="E2683" s="89"/>
      <c r="F2683" s="90">
        <f>SUM(F2673:F2682)</f>
        <v>0</v>
      </c>
    </row>
    <row r="2684" spans="1:6" ht="12.75" customHeight="1" x14ac:dyDescent="0.2">
      <c r="A2684" s="3"/>
      <c r="B2684" s="91" t="s">
        <v>70</v>
      </c>
      <c r="C2684" s="15">
        <f>$D$8</f>
        <v>0</v>
      </c>
      <c r="D2684" s="92"/>
      <c r="E2684" s="93"/>
      <c r="F2684" s="94">
        <f>ROUND(C2684*F2683,2)</f>
        <v>0</v>
      </c>
    </row>
    <row r="2685" spans="1:6" ht="12.75" customHeight="1" x14ac:dyDescent="0.2">
      <c r="A2685" s="95"/>
      <c r="B2685" s="424" t="s">
        <v>260</v>
      </c>
      <c r="C2685" s="425"/>
      <c r="D2685" s="425"/>
      <c r="E2685" s="426"/>
      <c r="F2685" s="96">
        <f>F2683+F2684</f>
        <v>0</v>
      </c>
    </row>
    <row r="2686" spans="1:6" ht="12.75" customHeight="1" x14ac:dyDescent="0.2">
      <c r="A2686" s="97" t="s">
        <v>54</v>
      </c>
      <c r="B2686" s="427" t="s">
        <v>268</v>
      </c>
      <c r="C2686" s="428" t="s">
        <v>263</v>
      </c>
      <c r="D2686" s="429" t="s">
        <v>264</v>
      </c>
      <c r="E2686" s="430" t="s">
        <v>265</v>
      </c>
      <c r="F2686" s="57" t="s">
        <v>266</v>
      </c>
    </row>
    <row r="2687" spans="1:6" ht="12.75" customHeight="1" x14ac:dyDescent="0.2">
      <c r="A2687" s="3" t="str">
        <f>'A VII.'!$A$183</f>
        <v>3.3</v>
      </c>
      <c r="B2687" s="74" t="s">
        <v>176</v>
      </c>
      <c r="C2687" s="114">
        <v>0.39040000000000002</v>
      </c>
      <c r="D2687" s="759" t="str">
        <f>VLOOKUP(A2687,'A VII.'!$A$10:$D$199,3,FALSE)</f>
        <v>H</v>
      </c>
      <c r="E2687" s="85">
        <f>'A VII.'!D183</f>
        <v>0</v>
      </c>
      <c r="F2687" s="59">
        <f t="shared" ref="F2687:F2693" si="162">ROUND(C2687*E2687,2)</f>
        <v>0</v>
      </c>
    </row>
    <row r="2688" spans="1:6" ht="12.75" customHeight="1" x14ac:dyDescent="0.2">
      <c r="A2688" s="3" t="str">
        <f>'A VII.'!$A$186</f>
        <v>3.6</v>
      </c>
      <c r="B2688" s="74" t="s">
        <v>179</v>
      </c>
      <c r="C2688" s="114">
        <v>1.5620000000000001</v>
      </c>
      <c r="D2688" s="759" t="str">
        <f>VLOOKUP(A2688,'A VII.'!$A$10:$D$199,3,FALSE)</f>
        <v>H</v>
      </c>
      <c r="E2688" s="85">
        <f>'A VII.'!D186</f>
        <v>0</v>
      </c>
      <c r="F2688" s="59">
        <f t="shared" si="162"/>
        <v>0</v>
      </c>
    </row>
    <row r="2689" spans="1:6" ht="12.75" customHeight="1" x14ac:dyDescent="0.2">
      <c r="A2689" s="3"/>
      <c r="C2689" s="114"/>
      <c r="D2689" s="759"/>
      <c r="E2689" s="85"/>
      <c r="F2689" s="59">
        <f t="shared" si="162"/>
        <v>0</v>
      </c>
    </row>
    <row r="2690" spans="1:6" ht="12.75" customHeight="1" x14ac:dyDescent="0.2">
      <c r="A2690" s="3"/>
      <c r="C2690" s="114"/>
      <c r="D2690" s="759"/>
      <c r="E2690" s="85"/>
      <c r="F2690" s="59">
        <f t="shared" si="162"/>
        <v>0</v>
      </c>
    </row>
    <row r="2691" spans="1:6" ht="12.75" customHeight="1" x14ac:dyDescent="0.2">
      <c r="A2691" s="3"/>
      <c r="C2691" s="114"/>
      <c r="D2691" s="759"/>
      <c r="E2691" s="85"/>
      <c r="F2691" s="59">
        <f t="shared" si="162"/>
        <v>0</v>
      </c>
    </row>
    <row r="2692" spans="1:6" ht="12.75" customHeight="1" x14ac:dyDescent="0.2">
      <c r="A2692" s="3"/>
      <c r="C2692" s="114"/>
      <c r="D2692" s="759"/>
      <c r="E2692" s="85"/>
      <c r="F2692" s="59">
        <f t="shared" si="162"/>
        <v>0</v>
      </c>
    </row>
    <row r="2693" spans="1:6" ht="12.75" customHeight="1" x14ac:dyDescent="0.2">
      <c r="A2693" s="3"/>
      <c r="C2693" s="114"/>
      <c r="D2693" s="759"/>
      <c r="E2693" s="85"/>
      <c r="F2693" s="59">
        <f t="shared" si="162"/>
        <v>0</v>
      </c>
    </row>
    <row r="2694" spans="1:6" ht="12.75" customHeight="1" x14ac:dyDescent="0.2">
      <c r="A2694" s="3"/>
      <c r="B2694" s="86" t="s">
        <v>258</v>
      </c>
      <c r="C2694" s="87"/>
      <c r="D2694" s="88"/>
      <c r="E2694" s="89"/>
      <c r="F2694" s="90">
        <f>SUM(F2687:F2693)</f>
        <v>0</v>
      </c>
    </row>
    <row r="2695" spans="1:6" ht="12.75" customHeight="1" x14ac:dyDescent="0.2">
      <c r="A2695" s="3"/>
      <c r="B2695" s="91" t="s">
        <v>261</v>
      </c>
      <c r="C2695" s="15">
        <f>'A IX.'!$C$45</f>
        <v>0</v>
      </c>
      <c r="D2695" s="92"/>
      <c r="E2695" s="93"/>
      <c r="F2695" s="94">
        <f>ROUND(F2694*C2695,2)</f>
        <v>0</v>
      </c>
    </row>
    <row r="2696" spans="1:6" ht="12.75" customHeight="1" x14ac:dyDescent="0.2">
      <c r="A2696" s="3"/>
      <c r="B2696" s="91" t="s">
        <v>70</v>
      </c>
      <c r="C2696" s="15">
        <f>$D$8</f>
        <v>0</v>
      </c>
      <c r="D2696" s="92"/>
      <c r="E2696" s="93"/>
      <c r="F2696" s="94">
        <f>ROUND(SUM(F2694:F2695)*C2696,2)</f>
        <v>0</v>
      </c>
    </row>
    <row r="2697" spans="1:6" ht="12.75" customHeight="1" thickBot="1" x14ac:dyDescent="0.25">
      <c r="A2697" s="98"/>
      <c r="B2697" s="99" t="s">
        <v>262</v>
      </c>
      <c r="C2697" s="100"/>
      <c r="D2697" s="100"/>
      <c r="E2697" s="101"/>
      <c r="F2697" s="102">
        <f>SUM(F2694:F2696)</f>
        <v>0</v>
      </c>
    </row>
    <row r="2698" spans="1:6" ht="12.75" customHeight="1" thickBot="1" x14ac:dyDescent="0.25">
      <c r="A2698" s="81"/>
      <c r="B2698" s="82"/>
      <c r="C2698" s="83"/>
      <c r="D2698" s="83"/>
      <c r="E2698" s="84"/>
      <c r="F2698" s="103"/>
    </row>
    <row r="2699" spans="1:6" ht="30" customHeight="1" x14ac:dyDescent="0.2">
      <c r="A2699" s="5" t="str">
        <f>'A IV.A'!A87</f>
        <v>3.6.2</v>
      </c>
      <c r="B2699" s="416" t="str">
        <f>'A IV.A'!B87</f>
        <v xml:space="preserve">ARMADURA EM BARRA DE AÇO CA 50/60 (CORTE, DOBRA E MONTAGEM) </v>
      </c>
      <c r="C2699" s="526" t="s">
        <v>269</v>
      </c>
      <c r="D2699" s="527"/>
      <c r="E2699" s="417" t="str">
        <f>'A IV.A'!$C$87</f>
        <v>KG</v>
      </c>
      <c r="F2699" s="58">
        <f>ROUND(F2719+F2733+F2745,2)</f>
        <v>0</v>
      </c>
    </row>
    <row r="2700" spans="1:6" ht="12.75" customHeight="1" x14ac:dyDescent="0.2">
      <c r="A2700" s="1" t="s">
        <v>17</v>
      </c>
      <c r="B2700" s="418" t="s">
        <v>162</v>
      </c>
      <c r="C2700" s="419" t="s">
        <v>263</v>
      </c>
      <c r="D2700" s="419" t="s">
        <v>264</v>
      </c>
      <c r="E2700" s="420" t="s">
        <v>265</v>
      </c>
      <c r="F2700" s="57" t="s">
        <v>266</v>
      </c>
    </row>
    <row r="2701" spans="1:6" ht="12.75" customHeight="1" x14ac:dyDescent="0.2">
      <c r="A2701" s="6" t="str">
        <f>'A VII.'!$A$10</f>
        <v>1.1</v>
      </c>
      <c r="B2701" s="421" t="str">
        <f>VLOOKUP(A2701,'A VII.'!$A$10:$D$199,2,FALSE)</f>
        <v>AÇO CA-50 (MÉDIA DAS BITOLAS)</v>
      </c>
      <c r="C2701" s="114">
        <v>1.1000000000000001</v>
      </c>
      <c r="D2701" s="757" t="str">
        <f>VLOOKUP(A2701,'A VII.'!$A$10:$D$199,3,FALSE)</f>
        <v>KG</v>
      </c>
      <c r="E2701" s="85">
        <f>'A VII.'!D10</f>
        <v>0</v>
      </c>
      <c r="F2701" s="59">
        <f>ROUND(C2701*E2701,2)</f>
        <v>0</v>
      </c>
    </row>
    <row r="2702" spans="1:6" ht="12.75" customHeight="1" x14ac:dyDescent="0.2">
      <c r="A2702" s="6" t="str">
        <f>'A VII.'!$A$18</f>
        <v>1.9</v>
      </c>
      <c r="B2702" s="421" t="str">
        <f>VLOOKUP(A2702,'A VII.'!$A$10:$D$199,2,FALSE)</f>
        <v>ARAME RECOZIDO 18 BWG - 1,25MM - 9,60 G/M</v>
      </c>
      <c r="C2702" s="114">
        <v>0.03</v>
      </c>
      <c r="D2702" s="757" t="str">
        <f>VLOOKUP(A2702,'A VII.'!$A$10:$D$199,3,FALSE)</f>
        <v>KG</v>
      </c>
      <c r="E2702" s="85">
        <f>'A VII.'!D18</f>
        <v>0</v>
      </c>
      <c r="F2702" s="59">
        <f t="shared" ref="F2702:F2716" si="163">ROUND(C2702*E2702,2)</f>
        <v>0</v>
      </c>
    </row>
    <row r="2703" spans="1:6" ht="12.75" customHeight="1" x14ac:dyDescent="0.2">
      <c r="A2703" s="6"/>
      <c r="B2703" s="421"/>
      <c r="C2703" s="114"/>
      <c r="D2703" s="757"/>
      <c r="E2703" s="85"/>
      <c r="F2703" s="59"/>
    </row>
    <row r="2704" spans="1:6" ht="12.75" customHeight="1" x14ac:dyDescent="0.2">
      <c r="A2704" s="6"/>
      <c r="B2704" s="421"/>
      <c r="C2704" s="114"/>
      <c r="D2704" s="757"/>
      <c r="E2704" s="85"/>
      <c r="F2704" s="59">
        <f t="shared" si="163"/>
        <v>0</v>
      </c>
    </row>
    <row r="2705" spans="1:6" ht="12.75" customHeight="1" x14ac:dyDescent="0.2">
      <c r="A2705" s="6"/>
      <c r="B2705" s="421"/>
      <c r="C2705" s="114"/>
      <c r="D2705" s="757"/>
      <c r="E2705" s="85"/>
      <c r="F2705" s="59">
        <f t="shared" si="163"/>
        <v>0</v>
      </c>
    </row>
    <row r="2706" spans="1:6" ht="12.75" customHeight="1" x14ac:dyDescent="0.2">
      <c r="A2706" s="6"/>
      <c r="B2706" s="421"/>
      <c r="C2706" s="114"/>
      <c r="D2706" s="757"/>
      <c r="E2706" s="85"/>
      <c r="F2706" s="59">
        <f t="shared" si="163"/>
        <v>0</v>
      </c>
    </row>
    <row r="2707" spans="1:6" ht="12.75" customHeight="1" x14ac:dyDescent="0.2">
      <c r="A2707" s="6"/>
      <c r="B2707" s="421"/>
      <c r="C2707" s="114"/>
      <c r="D2707" s="757"/>
      <c r="E2707" s="85"/>
      <c r="F2707" s="59">
        <f t="shared" si="163"/>
        <v>0</v>
      </c>
    </row>
    <row r="2708" spans="1:6" ht="12.75" customHeight="1" x14ac:dyDescent="0.2">
      <c r="A2708" s="6"/>
      <c r="B2708" s="421"/>
      <c r="C2708" s="114"/>
      <c r="D2708" s="757"/>
      <c r="E2708" s="85"/>
      <c r="F2708" s="59">
        <f t="shared" si="163"/>
        <v>0</v>
      </c>
    </row>
    <row r="2709" spans="1:6" ht="12.75" customHeight="1" x14ac:dyDescent="0.2">
      <c r="A2709" s="6"/>
      <c r="B2709" s="421"/>
      <c r="C2709" s="114"/>
      <c r="D2709" s="757"/>
      <c r="E2709" s="85"/>
      <c r="F2709" s="59">
        <f t="shared" si="163"/>
        <v>0</v>
      </c>
    </row>
    <row r="2710" spans="1:6" ht="12.75" customHeight="1" x14ac:dyDescent="0.2">
      <c r="A2710" s="6"/>
      <c r="B2710" s="421"/>
      <c r="C2710" s="114"/>
      <c r="D2710" s="757"/>
      <c r="E2710" s="85"/>
      <c r="F2710" s="59">
        <f t="shared" si="163"/>
        <v>0</v>
      </c>
    </row>
    <row r="2711" spans="1:6" ht="12.75" customHeight="1" x14ac:dyDescent="0.2">
      <c r="A2711" s="6"/>
      <c r="B2711" s="421"/>
      <c r="C2711" s="114"/>
      <c r="D2711" s="757"/>
      <c r="E2711" s="85"/>
      <c r="F2711" s="59">
        <f t="shared" si="163"/>
        <v>0</v>
      </c>
    </row>
    <row r="2712" spans="1:6" ht="12.75" customHeight="1" x14ac:dyDescent="0.2">
      <c r="A2712" s="6"/>
      <c r="B2712" s="421"/>
      <c r="C2712" s="114"/>
      <c r="D2712" s="758"/>
      <c r="E2712" s="85"/>
      <c r="F2712" s="59">
        <f t="shared" si="163"/>
        <v>0</v>
      </c>
    </row>
    <row r="2713" spans="1:6" ht="12.75" customHeight="1" x14ac:dyDescent="0.2">
      <c r="A2713" s="6"/>
      <c r="B2713" s="421"/>
      <c r="C2713" s="114"/>
      <c r="D2713" s="758"/>
      <c r="E2713" s="85"/>
      <c r="F2713" s="59">
        <f t="shared" si="163"/>
        <v>0</v>
      </c>
    </row>
    <row r="2714" spans="1:6" ht="12.75" customHeight="1" x14ac:dyDescent="0.2">
      <c r="A2714" s="6"/>
      <c r="B2714" s="421"/>
      <c r="C2714" s="114"/>
      <c r="D2714" s="758"/>
      <c r="E2714" s="85"/>
      <c r="F2714" s="59">
        <f t="shared" si="163"/>
        <v>0</v>
      </c>
    </row>
    <row r="2715" spans="1:6" ht="12.75" customHeight="1" x14ac:dyDescent="0.2">
      <c r="A2715" s="3"/>
      <c r="C2715" s="114"/>
      <c r="D2715" s="759"/>
      <c r="E2715" s="85"/>
      <c r="F2715" s="59">
        <f t="shared" si="163"/>
        <v>0</v>
      </c>
    </row>
    <row r="2716" spans="1:6" ht="12.75" customHeight="1" x14ac:dyDescent="0.2">
      <c r="A2716" s="3"/>
      <c r="C2716" s="114"/>
      <c r="D2716" s="759"/>
      <c r="E2716" s="85"/>
      <c r="F2716" s="59">
        <f t="shared" si="163"/>
        <v>0</v>
      </c>
    </row>
    <row r="2717" spans="1:6" ht="12.75" customHeight="1" x14ac:dyDescent="0.2">
      <c r="A2717" s="3"/>
      <c r="B2717" s="86" t="s">
        <v>258</v>
      </c>
      <c r="C2717" s="87"/>
      <c r="D2717" s="88"/>
      <c r="E2717" s="89"/>
      <c r="F2717" s="90">
        <f>SUM(F2701:F2716)</f>
        <v>0</v>
      </c>
    </row>
    <row r="2718" spans="1:6" ht="12.75" customHeight="1" x14ac:dyDescent="0.2">
      <c r="A2718" s="3"/>
      <c r="B2718" s="91" t="s">
        <v>70</v>
      </c>
      <c r="C2718" s="15">
        <f>$D$8</f>
        <v>0</v>
      </c>
      <c r="D2718" s="92"/>
      <c r="E2718" s="93"/>
      <c r="F2718" s="94">
        <f>ROUND(F2717*C2718,2)</f>
        <v>0</v>
      </c>
    </row>
    <row r="2719" spans="1:6" ht="12.75" customHeight="1" x14ac:dyDescent="0.2">
      <c r="A2719" s="95"/>
      <c r="B2719" s="424" t="s">
        <v>259</v>
      </c>
      <c r="C2719" s="425"/>
      <c r="D2719" s="425"/>
      <c r="E2719" s="426"/>
      <c r="F2719" s="96">
        <f>F2717+F2718</f>
        <v>0</v>
      </c>
    </row>
    <row r="2720" spans="1:6" ht="12.75" customHeight="1" x14ac:dyDescent="0.2">
      <c r="A2720" s="1" t="s">
        <v>5</v>
      </c>
      <c r="B2720" s="418" t="s">
        <v>267</v>
      </c>
      <c r="C2720" s="419" t="s">
        <v>263</v>
      </c>
      <c r="D2720" s="419" t="s">
        <v>264</v>
      </c>
      <c r="E2720" s="420" t="s">
        <v>265</v>
      </c>
      <c r="F2720" s="57" t="s">
        <v>266</v>
      </c>
    </row>
    <row r="2721" spans="1:6" ht="12.75" customHeight="1" x14ac:dyDescent="0.2">
      <c r="A2721" s="3"/>
      <c r="B2721" s="71"/>
      <c r="C2721" s="114"/>
      <c r="D2721" s="759"/>
      <c r="E2721" s="85"/>
      <c r="F2721" s="59">
        <f t="shared" ref="F2721:F2730" si="164">ROUND(C2721*E2721,2)</f>
        <v>0</v>
      </c>
    </row>
    <row r="2722" spans="1:6" ht="12.75" customHeight="1" x14ac:dyDescent="0.2">
      <c r="A2722" s="3"/>
      <c r="C2722" s="114"/>
      <c r="D2722" s="759"/>
      <c r="E2722" s="85"/>
      <c r="F2722" s="59">
        <f t="shared" si="164"/>
        <v>0</v>
      </c>
    </row>
    <row r="2723" spans="1:6" ht="12.75" customHeight="1" x14ac:dyDescent="0.2">
      <c r="A2723" s="3"/>
      <c r="C2723" s="114"/>
      <c r="D2723" s="759"/>
      <c r="E2723" s="85"/>
      <c r="F2723" s="59">
        <f t="shared" si="164"/>
        <v>0</v>
      </c>
    </row>
    <row r="2724" spans="1:6" ht="12.75" customHeight="1" x14ac:dyDescent="0.2">
      <c r="A2724" s="3"/>
      <c r="C2724" s="114"/>
      <c r="D2724" s="759"/>
      <c r="E2724" s="85"/>
      <c r="F2724" s="59">
        <f t="shared" si="164"/>
        <v>0</v>
      </c>
    </row>
    <row r="2725" spans="1:6" ht="12.75" customHeight="1" x14ac:dyDescent="0.2">
      <c r="A2725" s="3"/>
      <c r="C2725" s="114"/>
      <c r="D2725" s="759"/>
      <c r="E2725" s="85"/>
      <c r="F2725" s="59">
        <f t="shared" si="164"/>
        <v>0</v>
      </c>
    </row>
    <row r="2726" spans="1:6" ht="12.75" customHeight="1" x14ac:dyDescent="0.2">
      <c r="A2726" s="3"/>
      <c r="C2726" s="114"/>
      <c r="D2726" s="759"/>
      <c r="E2726" s="85"/>
      <c r="F2726" s="59">
        <f t="shared" si="164"/>
        <v>0</v>
      </c>
    </row>
    <row r="2727" spans="1:6" ht="12.75" customHeight="1" x14ac:dyDescent="0.2">
      <c r="A2727" s="3"/>
      <c r="C2727" s="114"/>
      <c r="D2727" s="759"/>
      <c r="E2727" s="85"/>
      <c r="F2727" s="59">
        <f t="shared" si="164"/>
        <v>0</v>
      </c>
    </row>
    <row r="2728" spans="1:6" ht="12.75" customHeight="1" x14ac:dyDescent="0.2">
      <c r="A2728" s="3"/>
      <c r="C2728" s="114"/>
      <c r="D2728" s="759"/>
      <c r="E2728" s="85"/>
      <c r="F2728" s="59">
        <f t="shared" si="164"/>
        <v>0</v>
      </c>
    </row>
    <row r="2729" spans="1:6" ht="12.75" customHeight="1" x14ac:dyDescent="0.2">
      <c r="A2729" s="3"/>
      <c r="C2729" s="114"/>
      <c r="D2729" s="759"/>
      <c r="E2729" s="85"/>
      <c r="F2729" s="59">
        <f t="shared" si="164"/>
        <v>0</v>
      </c>
    </row>
    <row r="2730" spans="1:6" ht="12.75" customHeight="1" x14ac:dyDescent="0.2">
      <c r="A2730" s="3"/>
      <c r="C2730" s="114"/>
      <c r="D2730" s="759"/>
      <c r="E2730" s="85"/>
      <c r="F2730" s="59">
        <f t="shared" si="164"/>
        <v>0</v>
      </c>
    </row>
    <row r="2731" spans="1:6" ht="12.75" customHeight="1" x14ac:dyDescent="0.2">
      <c r="A2731" s="3"/>
      <c r="B2731" s="86" t="s">
        <v>258</v>
      </c>
      <c r="C2731" s="87"/>
      <c r="D2731" s="88"/>
      <c r="E2731" s="89"/>
      <c r="F2731" s="90">
        <f>SUM(F2721:F2730)</f>
        <v>0</v>
      </c>
    </row>
    <row r="2732" spans="1:6" ht="12.75" customHeight="1" x14ac:dyDescent="0.2">
      <c r="A2732" s="3"/>
      <c r="B2732" s="91" t="s">
        <v>70</v>
      </c>
      <c r="C2732" s="15">
        <f>$D$8</f>
        <v>0</v>
      </c>
      <c r="D2732" s="92"/>
      <c r="E2732" s="93"/>
      <c r="F2732" s="94">
        <f>ROUND(C2732*F2731,2)</f>
        <v>0</v>
      </c>
    </row>
    <row r="2733" spans="1:6" ht="12.75" customHeight="1" x14ac:dyDescent="0.2">
      <c r="A2733" s="95"/>
      <c r="B2733" s="424" t="s">
        <v>260</v>
      </c>
      <c r="C2733" s="425"/>
      <c r="D2733" s="425"/>
      <c r="E2733" s="426"/>
      <c r="F2733" s="96">
        <f>F2731+F2732</f>
        <v>0</v>
      </c>
    </row>
    <row r="2734" spans="1:6" ht="12.75" customHeight="1" x14ac:dyDescent="0.2">
      <c r="A2734" s="97" t="s">
        <v>54</v>
      </c>
      <c r="B2734" s="427" t="s">
        <v>268</v>
      </c>
      <c r="C2734" s="428" t="s">
        <v>263</v>
      </c>
      <c r="D2734" s="429" t="s">
        <v>264</v>
      </c>
      <c r="E2734" s="430" t="s">
        <v>265</v>
      </c>
      <c r="F2734" s="57" t="s">
        <v>266</v>
      </c>
    </row>
    <row r="2735" spans="1:6" ht="12.75" customHeight="1" x14ac:dyDescent="0.2">
      <c r="A2735" s="3" t="str">
        <f>'A VII.'!$A$181</f>
        <v>3.1</v>
      </c>
      <c r="B2735" s="74" t="s">
        <v>174</v>
      </c>
      <c r="C2735" s="114">
        <v>0.08</v>
      </c>
      <c r="D2735" s="759" t="str">
        <f>VLOOKUP(A2735,'A VII.'!$A$10:$D$199,3,FALSE)</f>
        <v>H</v>
      </c>
      <c r="E2735" s="85">
        <f>'A VII.'!D181</f>
        <v>0</v>
      </c>
      <c r="F2735" s="59">
        <f t="shared" ref="F2735:F2741" si="165">ROUND(C2735*E2735,2)</f>
        <v>0</v>
      </c>
    </row>
    <row r="2736" spans="1:6" ht="12.75" customHeight="1" x14ac:dyDescent="0.2">
      <c r="A2736" s="3" t="str">
        <f>'A VII.'!$A$184</f>
        <v>3.4</v>
      </c>
      <c r="B2736" s="74" t="s">
        <v>177</v>
      </c>
      <c r="C2736" s="114">
        <v>0.04</v>
      </c>
      <c r="D2736" s="759" t="str">
        <f>VLOOKUP(A2736,'A VII.'!$A$10:$D$199,3,FALSE)</f>
        <v>H</v>
      </c>
      <c r="E2736" s="85">
        <f>'A VII.'!D184</f>
        <v>0</v>
      </c>
      <c r="F2736" s="59">
        <f t="shared" si="165"/>
        <v>0</v>
      </c>
    </row>
    <row r="2737" spans="1:6" ht="12.75" customHeight="1" x14ac:dyDescent="0.2">
      <c r="A2737" s="3"/>
      <c r="C2737" s="114"/>
      <c r="D2737" s="759"/>
      <c r="E2737" s="85"/>
      <c r="F2737" s="59">
        <f t="shared" si="165"/>
        <v>0</v>
      </c>
    </row>
    <row r="2738" spans="1:6" ht="12.75" customHeight="1" x14ac:dyDescent="0.2">
      <c r="A2738" s="3"/>
      <c r="C2738" s="114"/>
      <c r="D2738" s="759"/>
      <c r="E2738" s="85"/>
      <c r="F2738" s="59">
        <f t="shared" si="165"/>
        <v>0</v>
      </c>
    </row>
    <row r="2739" spans="1:6" ht="12.75" customHeight="1" x14ac:dyDescent="0.2">
      <c r="A2739" s="3"/>
      <c r="C2739" s="114"/>
      <c r="D2739" s="759"/>
      <c r="E2739" s="85"/>
      <c r="F2739" s="59">
        <f t="shared" si="165"/>
        <v>0</v>
      </c>
    </row>
    <row r="2740" spans="1:6" ht="12.75" customHeight="1" x14ac:dyDescent="0.2">
      <c r="A2740" s="3"/>
      <c r="C2740" s="114"/>
      <c r="D2740" s="759"/>
      <c r="E2740" s="85"/>
      <c r="F2740" s="59">
        <f t="shared" si="165"/>
        <v>0</v>
      </c>
    </row>
    <row r="2741" spans="1:6" ht="12.75" customHeight="1" x14ac:dyDescent="0.2">
      <c r="A2741" s="3"/>
      <c r="C2741" s="114"/>
      <c r="D2741" s="759"/>
      <c r="E2741" s="85"/>
      <c r="F2741" s="59">
        <f t="shared" si="165"/>
        <v>0</v>
      </c>
    </row>
    <row r="2742" spans="1:6" ht="12.75" customHeight="1" x14ac:dyDescent="0.2">
      <c r="A2742" s="3"/>
      <c r="B2742" s="86" t="s">
        <v>258</v>
      </c>
      <c r="C2742" s="87"/>
      <c r="D2742" s="88"/>
      <c r="E2742" s="89"/>
      <c r="F2742" s="90">
        <f>SUM(F2735:F2741)</f>
        <v>0</v>
      </c>
    </row>
    <row r="2743" spans="1:6" ht="12.75" customHeight="1" x14ac:dyDescent="0.2">
      <c r="A2743" s="3"/>
      <c r="B2743" s="91" t="s">
        <v>261</v>
      </c>
      <c r="C2743" s="15">
        <f>'A IX.'!$C$45</f>
        <v>0</v>
      </c>
      <c r="D2743" s="92"/>
      <c r="E2743" s="93"/>
      <c r="F2743" s="94">
        <f>ROUND(F2742*C2743,2)</f>
        <v>0</v>
      </c>
    </row>
    <row r="2744" spans="1:6" ht="12.75" customHeight="1" x14ac:dyDescent="0.2">
      <c r="A2744" s="3"/>
      <c r="B2744" s="91" t="s">
        <v>70</v>
      </c>
      <c r="C2744" s="15">
        <f>$D$8</f>
        <v>0</v>
      </c>
      <c r="D2744" s="92"/>
      <c r="E2744" s="93"/>
      <c r="F2744" s="94">
        <f>ROUND(SUM(F2742:F2743)*C2744,2)</f>
        <v>0</v>
      </c>
    </row>
    <row r="2745" spans="1:6" ht="12.75" customHeight="1" thickBot="1" x14ac:dyDescent="0.25">
      <c r="A2745" s="98"/>
      <c r="B2745" s="99" t="s">
        <v>262</v>
      </c>
      <c r="C2745" s="100"/>
      <c r="D2745" s="100"/>
      <c r="E2745" s="101"/>
      <c r="F2745" s="102">
        <f>SUM(F2742:F2744)</f>
        <v>0</v>
      </c>
    </row>
    <row r="2746" spans="1:6" ht="12.75" customHeight="1" thickBot="1" x14ac:dyDescent="0.25">
      <c r="A2746" s="81"/>
      <c r="B2746" s="82"/>
      <c r="C2746" s="83"/>
      <c r="D2746" s="83"/>
      <c r="E2746" s="84"/>
      <c r="F2746" s="103"/>
    </row>
    <row r="2747" spans="1:6" ht="30" customHeight="1" x14ac:dyDescent="0.2">
      <c r="A2747" s="5" t="str">
        <f>'A IV.A'!A88</f>
        <v>3.6.3</v>
      </c>
      <c r="B2747" s="416" t="str">
        <f>'A IV.A'!B88</f>
        <v xml:space="preserve">ARMADURA EM TELA SOLDADA DE AÇO CA 50/60 (CORTE, DOBRA E MONTAGEM) </v>
      </c>
      <c r="C2747" s="526" t="s">
        <v>269</v>
      </c>
      <c r="D2747" s="527"/>
      <c r="E2747" s="417" t="str">
        <f>'A IV.A'!C88</f>
        <v>KG</v>
      </c>
      <c r="F2747" s="58">
        <f>ROUND(F2767+F2781+F2793,2)</f>
        <v>0</v>
      </c>
    </row>
    <row r="2748" spans="1:6" ht="12.75" customHeight="1" x14ac:dyDescent="0.2">
      <c r="A2748" s="1" t="s">
        <v>17</v>
      </c>
      <c r="B2748" s="418" t="s">
        <v>162</v>
      </c>
      <c r="C2748" s="419" t="s">
        <v>263</v>
      </c>
      <c r="D2748" s="419" t="s">
        <v>264</v>
      </c>
      <c r="E2748" s="420" t="s">
        <v>265</v>
      </c>
      <c r="F2748" s="57" t="s">
        <v>266</v>
      </c>
    </row>
    <row r="2749" spans="1:6" ht="12.75" customHeight="1" x14ac:dyDescent="0.2">
      <c r="A2749" s="6" t="str">
        <f>'A VII.'!$A$18</f>
        <v>1.9</v>
      </c>
      <c r="B2749" s="421" t="str">
        <f>'A VII.'!B18</f>
        <v>ARAME RECOZIDO 18 BWG - 1,25MM - 9,60 G/M</v>
      </c>
      <c r="C2749" s="114">
        <v>6.4999999999999997E-3</v>
      </c>
      <c r="D2749" s="757" t="str">
        <f>'A VII.'!C18</f>
        <v>KG</v>
      </c>
      <c r="E2749" s="85">
        <f>'A VII.'!D18</f>
        <v>0</v>
      </c>
      <c r="F2749" s="59">
        <f>ROUND(C2749*E2749,2)</f>
        <v>0</v>
      </c>
    </row>
    <row r="2750" spans="1:6" ht="12.75" customHeight="1" x14ac:dyDescent="0.2">
      <c r="A2750" s="6" t="str">
        <f>'A VII.'!$A$103</f>
        <v>1.93</v>
      </c>
      <c r="B2750" s="421" t="str">
        <f>'A VII.'!B103</f>
        <v>TELA DE AÇO SOLDADA, CA-60 (MÉDIA DAS BITOLAS)</v>
      </c>
      <c r="C2750" s="114">
        <v>1.1000000000000001</v>
      </c>
      <c r="D2750" s="757" t="str">
        <f>'A VII.'!C103</f>
        <v>KG</v>
      </c>
      <c r="E2750" s="85">
        <f>'A VII.'!D103</f>
        <v>0</v>
      </c>
      <c r="F2750" s="59">
        <f t="shared" ref="F2750:F2764" si="166">ROUND(C2750*E2750,2)</f>
        <v>0</v>
      </c>
    </row>
    <row r="2751" spans="1:6" ht="12.75" customHeight="1" x14ac:dyDescent="0.2">
      <c r="A2751" s="6"/>
      <c r="B2751" s="421"/>
      <c r="C2751" s="114"/>
      <c r="D2751" s="757"/>
      <c r="E2751" s="85"/>
      <c r="F2751" s="59">
        <f t="shared" si="166"/>
        <v>0</v>
      </c>
    </row>
    <row r="2752" spans="1:6" ht="12.75" customHeight="1" x14ac:dyDescent="0.2">
      <c r="A2752" s="6"/>
      <c r="B2752" s="421"/>
      <c r="C2752" s="114"/>
      <c r="D2752" s="757"/>
      <c r="E2752" s="85"/>
      <c r="F2752" s="59">
        <f t="shared" si="166"/>
        <v>0</v>
      </c>
    </row>
    <row r="2753" spans="1:6" ht="12.75" customHeight="1" x14ac:dyDescent="0.2">
      <c r="A2753" s="6"/>
      <c r="B2753" s="421"/>
      <c r="C2753" s="114"/>
      <c r="D2753" s="757"/>
      <c r="E2753" s="85"/>
      <c r="F2753" s="59">
        <f t="shared" si="166"/>
        <v>0</v>
      </c>
    </row>
    <row r="2754" spans="1:6" ht="12.75" customHeight="1" x14ac:dyDescent="0.2">
      <c r="A2754" s="6"/>
      <c r="B2754" s="421"/>
      <c r="C2754" s="114"/>
      <c r="D2754" s="757"/>
      <c r="E2754" s="85"/>
      <c r="F2754" s="59">
        <f t="shared" si="166"/>
        <v>0</v>
      </c>
    </row>
    <row r="2755" spans="1:6" ht="12.75" customHeight="1" x14ac:dyDescent="0.2">
      <c r="A2755" s="6"/>
      <c r="B2755" s="421"/>
      <c r="C2755" s="114"/>
      <c r="D2755" s="757"/>
      <c r="E2755" s="85"/>
      <c r="F2755" s="59">
        <f t="shared" si="166"/>
        <v>0</v>
      </c>
    </row>
    <row r="2756" spans="1:6" ht="12.75" customHeight="1" x14ac:dyDescent="0.2">
      <c r="A2756" s="6"/>
      <c r="B2756" s="421"/>
      <c r="C2756" s="114"/>
      <c r="D2756" s="757"/>
      <c r="E2756" s="85"/>
      <c r="F2756" s="59">
        <f t="shared" si="166"/>
        <v>0</v>
      </c>
    </row>
    <row r="2757" spans="1:6" ht="12.75" customHeight="1" x14ac:dyDescent="0.2">
      <c r="A2757" s="6"/>
      <c r="B2757" s="421"/>
      <c r="C2757" s="114"/>
      <c r="D2757" s="757"/>
      <c r="E2757" s="85"/>
      <c r="F2757" s="59">
        <f t="shared" si="166"/>
        <v>0</v>
      </c>
    </row>
    <row r="2758" spans="1:6" ht="12.75" customHeight="1" x14ac:dyDescent="0.2">
      <c r="A2758" s="6"/>
      <c r="B2758" s="421"/>
      <c r="C2758" s="114"/>
      <c r="D2758" s="757"/>
      <c r="E2758" s="85"/>
      <c r="F2758" s="59">
        <f t="shared" si="166"/>
        <v>0</v>
      </c>
    </row>
    <row r="2759" spans="1:6" ht="12.75" customHeight="1" x14ac:dyDescent="0.2">
      <c r="A2759" s="6"/>
      <c r="B2759" s="421"/>
      <c r="C2759" s="114"/>
      <c r="D2759" s="757"/>
      <c r="E2759" s="85"/>
      <c r="F2759" s="59">
        <f t="shared" si="166"/>
        <v>0</v>
      </c>
    </row>
    <row r="2760" spans="1:6" ht="12.75" customHeight="1" x14ac:dyDescent="0.2">
      <c r="A2760" s="6"/>
      <c r="B2760" s="421"/>
      <c r="C2760" s="114"/>
      <c r="D2760" s="758"/>
      <c r="E2760" s="85"/>
      <c r="F2760" s="59">
        <f t="shared" si="166"/>
        <v>0</v>
      </c>
    </row>
    <row r="2761" spans="1:6" ht="12.75" customHeight="1" x14ac:dyDescent="0.2">
      <c r="A2761" s="6"/>
      <c r="B2761" s="421"/>
      <c r="C2761" s="114"/>
      <c r="D2761" s="758"/>
      <c r="E2761" s="85"/>
      <c r="F2761" s="59">
        <f t="shared" si="166"/>
        <v>0</v>
      </c>
    </row>
    <row r="2762" spans="1:6" ht="12.75" customHeight="1" x14ac:dyDescent="0.2">
      <c r="A2762" s="6"/>
      <c r="B2762" s="421"/>
      <c r="C2762" s="114"/>
      <c r="D2762" s="758"/>
      <c r="E2762" s="85"/>
      <c r="F2762" s="59">
        <f t="shared" si="166"/>
        <v>0</v>
      </c>
    </row>
    <row r="2763" spans="1:6" ht="12.75" customHeight="1" x14ac:dyDescent="0.2">
      <c r="A2763" s="3"/>
      <c r="C2763" s="114"/>
      <c r="D2763" s="759"/>
      <c r="E2763" s="85"/>
      <c r="F2763" s="59">
        <f t="shared" si="166"/>
        <v>0</v>
      </c>
    </row>
    <row r="2764" spans="1:6" ht="12.75" customHeight="1" x14ac:dyDescent="0.2">
      <c r="A2764" s="3"/>
      <c r="C2764" s="114"/>
      <c r="D2764" s="759"/>
      <c r="E2764" s="85"/>
      <c r="F2764" s="59">
        <f t="shared" si="166"/>
        <v>0</v>
      </c>
    </row>
    <row r="2765" spans="1:6" ht="12.75" customHeight="1" x14ac:dyDescent="0.2">
      <c r="A2765" s="3"/>
      <c r="B2765" s="86" t="s">
        <v>258</v>
      </c>
      <c r="C2765" s="87"/>
      <c r="D2765" s="88"/>
      <c r="E2765" s="89"/>
      <c r="F2765" s="90">
        <f>SUM(F2749:F2764)</f>
        <v>0</v>
      </c>
    </row>
    <row r="2766" spans="1:6" ht="12.75" customHeight="1" x14ac:dyDescent="0.2">
      <c r="A2766" s="3"/>
      <c r="B2766" s="91" t="s">
        <v>70</v>
      </c>
      <c r="C2766" s="15">
        <f>$D$8</f>
        <v>0</v>
      </c>
      <c r="D2766" s="92"/>
      <c r="E2766" s="93"/>
      <c r="F2766" s="94">
        <f>ROUND(F2765*C2766,2)</f>
        <v>0</v>
      </c>
    </row>
    <row r="2767" spans="1:6" ht="12.75" customHeight="1" x14ac:dyDescent="0.2">
      <c r="A2767" s="95"/>
      <c r="B2767" s="424" t="s">
        <v>259</v>
      </c>
      <c r="C2767" s="425"/>
      <c r="D2767" s="425"/>
      <c r="E2767" s="426"/>
      <c r="F2767" s="96">
        <f>F2765+F2766</f>
        <v>0</v>
      </c>
    </row>
    <row r="2768" spans="1:6" ht="12.75" customHeight="1" x14ac:dyDescent="0.2">
      <c r="A2768" s="1" t="s">
        <v>5</v>
      </c>
      <c r="B2768" s="418" t="s">
        <v>267</v>
      </c>
      <c r="C2768" s="419" t="s">
        <v>263</v>
      </c>
      <c r="D2768" s="419" t="s">
        <v>264</v>
      </c>
      <c r="E2768" s="420" t="s">
        <v>265</v>
      </c>
      <c r="F2768" s="57" t="s">
        <v>266</v>
      </c>
    </row>
    <row r="2769" spans="1:6" ht="12.75" customHeight="1" x14ac:dyDescent="0.2">
      <c r="A2769" s="3"/>
      <c r="B2769" s="71"/>
      <c r="C2769" s="114"/>
      <c r="D2769" s="759"/>
      <c r="E2769" s="85"/>
      <c r="F2769" s="59">
        <f t="shared" ref="F2769:F2778" si="167">ROUND(C2769*E2769,2)</f>
        <v>0</v>
      </c>
    </row>
    <row r="2770" spans="1:6" ht="12.75" customHeight="1" x14ac:dyDescent="0.2">
      <c r="A2770" s="3"/>
      <c r="C2770" s="114"/>
      <c r="D2770" s="759"/>
      <c r="E2770" s="85"/>
      <c r="F2770" s="59">
        <f t="shared" si="167"/>
        <v>0</v>
      </c>
    </row>
    <row r="2771" spans="1:6" ht="12.75" customHeight="1" x14ac:dyDescent="0.2">
      <c r="A2771" s="3"/>
      <c r="C2771" s="114"/>
      <c r="D2771" s="759"/>
      <c r="E2771" s="85"/>
      <c r="F2771" s="59">
        <f t="shared" si="167"/>
        <v>0</v>
      </c>
    </row>
    <row r="2772" spans="1:6" ht="12.75" customHeight="1" x14ac:dyDescent="0.2">
      <c r="A2772" s="3"/>
      <c r="C2772" s="114"/>
      <c r="D2772" s="759"/>
      <c r="E2772" s="85"/>
      <c r="F2772" s="59">
        <f t="shared" si="167"/>
        <v>0</v>
      </c>
    </row>
    <row r="2773" spans="1:6" ht="12.75" customHeight="1" x14ac:dyDescent="0.2">
      <c r="A2773" s="3"/>
      <c r="C2773" s="114"/>
      <c r="D2773" s="759"/>
      <c r="E2773" s="85"/>
      <c r="F2773" s="59">
        <f t="shared" si="167"/>
        <v>0</v>
      </c>
    </row>
    <row r="2774" spans="1:6" ht="12.75" customHeight="1" x14ac:dyDescent="0.2">
      <c r="A2774" s="3"/>
      <c r="C2774" s="114"/>
      <c r="D2774" s="759"/>
      <c r="E2774" s="85"/>
      <c r="F2774" s="59">
        <f t="shared" si="167"/>
        <v>0</v>
      </c>
    </row>
    <row r="2775" spans="1:6" ht="12.75" customHeight="1" x14ac:dyDescent="0.2">
      <c r="A2775" s="3"/>
      <c r="C2775" s="114"/>
      <c r="D2775" s="759"/>
      <c r="E2775" s="85"/>
      <c r="F2775" s="59">
        <f t="shared" si="167"/>
        <v>0</v>
      </c>
    </row>
    <row r="2776" spans="1:6" ht="12.75" customHeight="1" x14ac:dyDescent="0.2">
      <c r="A2776" s="3"/>
      <c r="C2776" s="114"/>
      <c r="D2776" s="759"/>
      <c r="E2776" s="85"/>
      <c r="F2776" s="59">
        <f t="shared" si="167"/>
        <v>0</v>
      </c>
    </row>
    <row r="2777" spans="1:6" ht="12.75" customHeight="1" x14ac:dyDescent="0.2">
      <c r="A2777" s="3"/>
      <c r="C2777" s="114"/>
      <c r="D2777" s="759"/>
      <c r="E2777" s="85"/>
      <c r="F2777" s="59">
        <f t="shared" si="167"/>
        <v>0</v>
      </c>
    </row>
    <row r="2778" spans="1:6" ht="12.75" customHeight="1" x14ac:dyDescent="0.2">
      <c r="A2778" s="3"/>
      <c r="C2778" s="114"/>
      <c r="D2778" s="759"/>
      <c r="E2778" s="85"/>
      <c r="F2778" s="59">
        <f t="shared" si="167"/>
        <v>0</v>
      </c>
    </row>
    <row r="2779" spans="1:6" ht="12.75" customHeight="1" x14ac:dyDescent="0.2">
      <c r="A2779" s="3"/>
      <c r="B2779" s="86" t="s">
        <v>258</v>
      </c>
      <c r="C2779" s="87"/>
      <c r="D2779" s="88"/>
      <c r="E2779" s="89"/>
      <c r="F2779" s="90">
        <f>SUM(F2769:F2778)</f>
        <v>0</v>
      </c>
    </row>
    <row r="2780" spans="1:6" ht="12.75" customHeight="1" x14ac:dyDescent="0.2">
      <c r="A2780" s="3"/>
      <c r="B2780" s="91" t="s">
        <v>70</v>
      </c>
      <c r="C2780" s="15">
        <f>$D$8</f>
        <v>0</v>
      </c>
      <c r="D2780" s="92"/>
      <c r="E2780" s="93"/>
      <c r="F2780" s="94">
        <f>ROUND(C2780*F2779,2)</f>
        <v>0</v>
      </c>
    </row>
    <row r="2781" spans="1:6" ht="12.75" customHeight="1" x14ac:dyDescent="0.2">
      <c r="A2781" s="95"/>
      <c r="B2781" s="424" t="s">
        <v>260</v>
      </c>
      <c r="C2781" s="425"/>
      <c r="D2781" s="425"/>
      <c r="E2781" s="426"/>
      <c r="F2781" s="96">
        <f>F2779+F2780</f>
        <v>0</v>
      </c>
    </row>
    <row r="2782" spans="1:6" ht="12.75" customHeight="1" x14ac:dyDescent="0.2">
      <c r="A2782" s="97" t="s">
        <v>54</v>
      </c>
      <c r="B2782" s="427" t="s">
        <v>268</v>
      </c>
      <c r="C2782" s="428" t="s">
        <v>263</v>
      </c>
      <c r="D2782" s="429" t="s">
        <v>264</v>
      </c>
      <c r="E2782" s="430" t="s">
        <v>265</v>
      </c>
      <c r="F2782" s="57" t="s">
        <v>266</v>
      </c>
    </row>
    <row r="2783" spans="1:6" ht="12.75" customHeight="1" x14ac:dyDescent="0.2">
      <c r="A2783" s="3" t="str">
        <f>'A VII.'!$A$181</f>
        <v>3.1</v>
      </c>
      <c r="B2783" s="74" t="s">
        <v>174</v>
      </c>
      <c r="C2783" s="114">
        <v>0.04</v>
      </c>
      <c r="D2783" s="759" t="str">
        <f>VLOOKUP(A2783,'A VII.'!$A$10:$D$199,3,FALSE)</f>
        <v>H</v>
      </c>
      <c r="E2783" s="85">
        <f>'A VII.'!D181</f>
        <v>0</v>
      </c>
      <c r="F2783" s="59">
        <f t="shared" ref="F2783:F2789" si="168">ROUND(C2783*E2783,2)</f>
        <v>0</v>
      </c>
    </row>
    <row r="2784" spans="1:6" ht="12.75" customHeight="1" x14ac:dyDescent="0.2">
      <c r="A2784" s="3" t="str">
        <f>'A VII.'!$A$184</f>
        <v>3.4</v>
      </c>
      <c r="B2784" s="74" t="s">
        <v>177</v>
      </c>
      <c r="C2784" s="114">
        <v>0.02</v>
      </c>
      <c r="D2784" s="759" t="str">
        <f>VLOOKUP(A2784,'A VII.'!$A$10:$D$199,3,FALSE)</f>
        <v>H</v>
      </c>
      <c r="E2784" s="85">
        <f>'A VII.'!D184</f>
        <v>0</v>
      </c>
      <c r="F2784" s="59">
        <f t="shared" si="168"/>
        <v>0</v>
      </c>
    </row>
    <row r="2785" spans="1:6" ht="12.75" customHeight="1" x14ac:dyDescent="0.2">
      <c r="A2785" s="3"/>
      <c r="C2785" s="114"/>
      <c r="D2785" s="759"/>
      <c r="E2785" s="85"/>
      <c r="F2785" s="59">
        <f t="shared" si="168"/>
        <v>0</v>
      </c>
    </row>
    <row r="2786" spans="1:6" ht="12.75" customHeight="1" x14ac:dyDescent="0.2">
      <c r="A2786" s="3"/>
      <c r="C2786" s="114"/>
      <c r="D2786" s="759"/>
      <c r="E2786" s="85"/>
      <c r="F2786" s="59">
        <f t="shared" si="168"/>
        <v>0</v>
      </c>
    </row>
    <row r="2787" spans="1:6" ht="12.75" customHeight="1" x14ac:dyDescent="0.2">
      <c r="A2787" s="3"/>
      <c r="C2787" s="114"/>
      <c r="D2787" s="759"/>
      <c r="E2787" s="85"/>
      <c r="F2787" s="59">
        <f t="shared" si="168"/>
        <v>0</v>
      </c>
    </row>
    <row r="2788" spans="1:6" ht="12.75" customHeight="1" x14ac:dyDescent="0.2">
      <c r="A2788" s="3"/>
      <c r="C2788" s="114"/>
      <c r="D2788" s="759"/>
      <c r="E2788" s="85"/>
      <c r="F2788" s="59">
        <f t="shared" si="168"/>
        <v>0</v>
      </c>
    </row>
    <row r="2789" spans="1:6" ht="12.75" customHeight="1" x14ac:dyDescent="0.2">
      <c r="A2789" s="3"/>
      <c r="C2789" s="114"/>
      <c r="D2789" s="759"/>
      <c r="E2789" s="85"/>
      <c r="F2789" s="59">
        <f t="shared" si="168"/>
        <v>0</v>
      </c>
    </row>
    <row r="2790" spans="1:6" ht="12.75" customHeight="1" x14ac:dyDescent="0.2">
      <c r="A2790" s="3"/>
      <c r="B2790" s="86" t="s">
        <v>258</v>
      </c>
      <c r="C2790" s="87"/>
      <c r="D2790" s="88"/>
      <c r="E2790" s="89"/>
      <c r="F2790" s="90">
        <f>SUM(F2783:F2789)</f>
        <v>0</v>
      </c>
    </row>
    <row r="2791" spans="1:6" ht="12.75" customHeight="1" x14ac:dyDescent="0.2">
      <c r="A2791" s="3"/>
      <c r="B2791" s="91" t="s">
        <v>261</v>
      </c>
      <c r="C2791" s="15">
        <f>'A IX.'!$C$45</f>
        <v>0</v>
      </c>
      <c r="D2791" s="92"/>
      <c r="E2791" s="93"/>
      <c r="F2791" s="94">
        <f>ROUND(F2790*C2791,2)</f>
        <v>0</v>
      </c>
    </row>
    <row r="2792" spans="1:6" ht="12.75" customHeight="1" x14ac:dyDescent="0.2">
      <c r="A2792" s="3"/>
      <c r="B2792" s="91" t="s">
        <v>70</v>
      </c>
      <c r="C2792" s="15">
        <f>$D$8</f>
        <v>0</v>
      </c>
      <c r="D2792" s="92"/>
      <c r="E2792" s="93"/>
      <c r="F2792" s="94">
        <f>ROUND(SUM(F2790:F2791)*C2792,2)</f>
        <v>0</v>
      </c>
    </row>
    <row r="2793" spans="1:6" ht="12.75" customHeight="1" thickBot="1" x14ac:dyDescent="0.25">
      <c r="A2793" s="98"/>
      <c r="B2793" s="99" t="s">
        <v>262</v>
      </c>
      <c r="C2793" s="100"/>
      <c r="D2793" s="100"/>
      <c r="E2793" s="101"/>
      <c r="F2793" s="102">
        <f>SUM(F2790:F2792)</f>
        <v>0</v>
      </c>
    </row>
    <row r="2794" spans="1:6" ht="12.75" customHeight="1" thickBot="1" x14ac:dyDescent="0.25">
      <c r="A2794" s="252"/>
      <c r="B2794" s="253"/>
      <c r="C2794" s="254"/>
      <c r="D2794" s="254"/>
      <c r="E2794" s="255"/>
      <c r="F2794" s="256"/>
    </row>
    <row r="2795" spans="1:6" ht="30" customHeight="1" x14ac:dyDescent="0.2">
      <c r="A2795" s="5" t="str">
        <f>'A IV.A'!A90</f>
        <v>3.7.1</v>
      </c>
      <c r="B2795" s="416" t="str">
        <f>'A IV.A'!B90</f>
        <v xml:space="preserve">BROCA EM CONCRETO ARMADO, DIÂMETRO DE 20CM, COMPLETA </v>
      </c>
      <c r="C2795" s="526" t="s">
        <v>269</v>
      </c>
      <c r="D2795" s="527"/>
      <c r="E2795" s="417" t="str">
        <f>'A IV.A'!C90</f>
        <v>M</v>
      </c>
      <c r="F2795" s="58">
        <f>ROUND(F2815+F2829+F2841,2)</f>
        <v>0</v>
      </c>
    </row>
    <row r="2796" spans="1:6" ht="12.75" customHeight="1" x14ac:dyDescent="0.2">
      <c r="A2796" s="1" t="s">
        <v>17</v>
      </c>
      <c r="B2796" s="418" t="s">
        <v>162</v>
      </c>
      <c r="C2796" s="419" t="s">
        <v>263</v>
      </c>
      <c r="D2796" s="419" t="s">
        <v>264</v>
      </c>
      <c r="E2796" s="420" t="s">
        <v>265</v>
      </c>
      <c r="F2796" s="57" t="s">
        <v>266</v>
      </c>
    </row>
    <row r="2797" spans="1:6" ht="12.75" customHeight="1" x14ac:dyDescent="0.2">
      <c r="A2797" s="6" t="str">
        <f>'A VII.'!$A$10</f>
        <v>1.1</v>
      </c>
      <c r="B2797" s="421" t="str">
        <f>'A VII.'!B10</f>
        <v>AÇO CA-50 (MÉDIA DAS BITOLAS)</v>
      </c>
      <c r="C2797" s="114">
        <v>1.5096000000000001</v>
      </c>
      <c r="D2797" s="757" t="str">
        <f>'A VII.'!C10</f>
        <v>KG</v>
      </c>
      <c r="E2797" s="85">
        <f>'A VII.'!D10</f>
        <v>0</v>
      </c>
      <c r="F2797" s="59">
        <f>ROUND(C2797*E2797,2)</f>
        <v>0</v>
      </c>
    </row>
    <row r="2798" spans="1:6" ht="12.75" customHeight="1" x14ac:dyDescent="0.2">
      <c r="A2798" s="6" t="str">
        <f>'A VII.'!$A$19</f>
        <v>1.10</v>
      </c>
      <c r="B2798" s="421" t="str">
        <f>'A VII.'!B19</f>
        <v>AREIA MÉDIA LAVADA</v>
      </c>
      <c r="C2798" s="114">
        <v>3.27E-2</v>
      </c>
      <c r="D2798" s="757" t="str">
        <f>'A VII.'!C19</f>
        <v>M3</v>
      </c>
      <c r="E2798" s="85">
        <f>'A VII.'!D19</f>
        <v>0</v>
      </c>
      <c r="F2798" s="59">
        <f t="shared" ref="F2798:F2812" si="169">ROUND(C2798*E2798,2)</f>
        <v>0</v>
      </c>
    </row>
    <row r="2799" spans="1:6" ht="12.75" customHeight="1" x14ac:dyDescent="0.2">
      <c r="A2799" s="6" t="str">
        <f>'A VII.'!$A$38</f>
        <v>1.29</v>
      </c>
      <c r="B2799" s="421" t="str">
        <f>'A VII.'!B38</f>
        <v>CIMENTO PORTLAND CP II-E-32</v>
      </c>
      <c r="C2799" s="114">
        <v>13.9818</v>
      </c>
      <c r="D2799" s="757" t="str">
        <f>'A VII.'!C38</f>
        <v>KG</v>
      </c>
      <c r="E2799" s="85">
        <f>'A VII.'!D38</f>
        <v>0</v>
      </c>
      <c r="F2799" s="59">
        <f t="shared" si="169"/>
        <v>0</v>
      </c>
    </row>
    <row r="2800" spans="1:6" ht="12.75" customHeight="1" x14ac:dyDescent="0.2">
      <c r="A2800" s="6" t="str">
        <f>'A VII.'!$A$84</f>
        <v>1.74</v>
      </c>
      <c r="B2800" s="421" t="str">
        <f>'A VII.'!B84</f>
        <v>PEDRA BRITADA Nº 2 GRANULOMETRIA ENTRE (21,0 E 32,0 MM)</v>
      </c>
      <c r="C2800" s="114">
        <v>2.5399999999999999E-2</v>
      </c>
      <c r="D2800" s="757" t="str">
        <f>'A VII.'!C84</f>
        <v>M3</v>
      </c>
      <c r="E2800" s="85">
        <f>'A VII.'!D84</f>
        <v>0</v>
      </c>
      <c r="F2800" s="59">
        <f t="shared" si="169"/>
        <v>0</v>
      </c>
    </row>
    <row r="2801" spans="1:6" ht="12.75" customHeight="1" x14ac:dyDescent="0.2">
      <c r="A2801" s="6"/>
      <c r="B2801" s="421"/>
      <c r="C2801" s="114"/>
      <c r="D2801" s="757"/>
      <c r="E2801" s="85"/>
      <c r="F2801" s="59">
        <f t="shared" si="169"/>
        <v>0</v>
      </c>
    </row>
    <row r="2802" spans="1:6" ht="12.75" customHeight="1" x14ac:dyDescent="0.2">
      <c r="A2802" s="6"/>
      <c r="B2802" s="421"/>
      <c r="C2802" s="114"/>
      <c r="D2802" s="757"/>
      <c r="E2802" s="85"/>
      <c r="F2802" s="59">
        <f t="shared" si="169"/>
        <v>0</v>
      </c>
    </row>
    <row r="2803" spans="1:6" ht="12.75" customHeight="1" x14ac:dyDescent="0.2">
      <c r="A2803" s="6"/>
      <c r="B2803" s="421"/>
      <c r="C2803" s="114"/>
      <c r="D2803" s="757"/>
      <c r="E2803" s="85"/>
      <c r="F2803" s="59">
        <f t="shared" si="169"/>
        <v>0</v>
      </c>
    </row>
    <row r="2804" spans="1:6" ht="12.75" customHeight="1" x14ac:dyDescent="0.2">
      <c r="A2804" s="6"/>
      <c r="B2804" s="421"/>
      <c r="C2804" s="114"/>
      <c r="D2804" s="757"/>
      <c r="E2804" s="85"/>
      <c r="F2804" s="59">
        <f t="shared" si="169"/>
        <v>0</v>
      </c>
    </row>
    <row r="2805" spans="1:6" ht="12.75" customHeight="1" x14ac:dyDescent="0.2">
      <c r="A2805" s="6"/>
      <c r="B2805" s="421"/>
      <c r="C2805" s="114"/>
      <c r="D2805" s="757"/>
      <c r="E2805" s="85"/>
      <c r="F2805" s="59">
        <f t="shared" si="169"/>
        <v>0</v>
      </c>
    </row>
    <row r="2806" spans="1:6" ht="12.75" customHeight="1" x14ac:dyDescent="0.2">
      <c r="A2806" s="6"/>
      <c r="B2806" s="421"/>
      <c r="C2806" s="114"/>
      <c r="D2806" s="757"/>
      <c r="E2806" s="85"/>
      <c r="F2806" s="59">
        <f t="shared" si="169"/>
        <v>0</v>
      </c>
    </row>
    <row r="2807" spans="1:6" ht="12.75" customHeight="1" x14ac:dyDescent="0.2">
      <c r="A2807" s="6"/>
      <c r="B2807" s="421"/>
      <c r="C2807" s="114"/>
      <c r="D2807" s="757"/>
      <c r="E2807" s="85"/>
      <c r="F2807" s="59">
        <f t="shared" si="169"/>
        <v>0</v>
      </c>
    </row>
    <row r="2808" spans="1:6" ht="12.75" customHeight="1" x14ac:dyDescent="0.2">
      <c r="A2808" s="6"/>
      <c r="B2808" s="421"/>
      <c r="C2808" s="114"/>
      <c r="D2808" s="758"/>
      <c r="E2808" s="85"/>
      <c r="F2808" s="59">
        <f t="shared" si="169"/>
        <v>0</v>
      </c>
    </row>
    <row r="2809" spans="1:6" ht="12.75" customHeight="1" x14ac:dyDescent="0.2">
      <c r="A2809" s="6"/>
      <c r="B2809" s="421"/>
      <c r="C2809" s="114"/>
      <c r="D2809" s="758"/>
      <c r="E2809" s="85"/>
      <c r="F2809" s="59">
        <f t="shared" si="169"/>
        <v>0</v>
      </c>
    </row>
    <row r="2810" spans="1:6" ht="12.75" customHeight="1" x14ac:dyDescent="0.2">
      <c r="A2810" s="6"/>
      <c r="B2810" s="421"/>
      <c r="C2810" s="114"/>
      <c r="D2810" s="758"/>
      <c r="E2810" s="85"/>
      <c r="F2810" s="59">
        <f t="shared" si="169"/>
        <v>0</v>
      </c>
    </row>
    <row r="2811" spans="1:6" ht="12.75" customHeight="1" x14ac:dyDescent="0.2">
      <c r="A2811" s="3"/>
      <c r="C2811" s="114"/>
      <c r="D2811" s="759"/>
      <c r="E2811" s="85"/>
      <c r="F2811" s="59">
        <f t="shared" si="169"/>
        <v>0</v>
      </c>
    </row>
    <row r="2812" spans="1:6" ht="12.75" customHeight="1" x14ac:dyDescent="0.2">
      <c r="A2812" s="3"/>
      <c r="C2812" s="114"/>
      <c r="D2812" s="759"/>
      <c r="E2812" s="85"/>
      <c r="F2812" s="59">
        <f t="shared" si="169"/>
        <v>0</v>
      </c>
    </row>
    <row r="2813" spans="1:6" ht="12.75" customHeight="1" x14ac:dyDescent="0.2">
      <c r="A2813" s="3"/>
      <c r="B2813" s="86" t="s">
        <v>258</v>
      </c>
      <c r="C2813" s="87"/>
      <c r="D2813" s="88"/>
      <c r="E2813" s="89"/>
      <c r="F2813" s="90">
        <f>SUM(F2797:F2812)</f>
        <v>0</v>
      </c>
    </row>
    <row r="2814" spans="1:6" ht="12.75" customHeight="1" x14ac:dyDescent="0.2">
      <c r="A2814" s="3"/>
      <c r="B2814" s="91" t="s">
        <v>70</v>
      </c>
      <c r="C2814" s="15">
        <f>$D$8</f>
        <v>0</v>
      </c>
      <c r="D2814" s="92"/>
      <c r="E2814" s="93"/>
      <c r="F2814" s="94">
        <f>ROUND(F2813*C2814,2)</f>
        <v>0</v>
      </c>
    </row>
    <row r="2815" spans="1:6" ht="12.75" customHeight="1" x14ac:dyDescent="0.2">
      <c r="A2815" s="95"/>
      <c r="B2815" s="424" t="s">
        <v>259</v>
      </c>
      <c r="C2815" s="425"/>
      <c r="D2815" s="425"/>
      <c r="E2815" s="426"/>
      <c r="F2815" s="96">
        <f>F2813+F2814</f>
        <v>0</v>
      </c>
    </row>
    <row r="2816" spans="1:6" ht="12.75" customHeight="1" x14ac:dyDescent="0.2">
      <c r="A2816" s="1" t="s">
        <v>5</v>
      </c>
      <c r="B2816" s="418" t="s">
        <v>267</v>
      </c>
      <c r="C2816" s="419" t="s">
        <v>263</v>
      </c>
      <c r="D2816" s="419" t="s">
        <v>264</v>
      </c>
      <c r="E2816" s="420" t="s">
        <v>265</v>
      </c>
      <c r="F2816" s="57" t="s">
        <v>266</v>
      </c>
    </row>
    <row r="2817" spans="1:6" ht="12.75" customHeight="1" x14ac:dyDescent="0.2">
      <c r="A2817" s="3" t="str">
        <f>'A VII.'!$A$149</f>
        <v>2.7</v>
      </c>
      <c r="B2817" s="71" t="str">
        <f>'A VII.'!B149</f>
        <v>BETONEIRA, CAPACIDADE NOMINAL DE 400L, MOTOR ELÉTRICO TRIFÁSICO DE  2CV - CHP</v>
      </c>
      <c r="C2817" s="114">
        <v>2.7699999999999999E-2</v>
      </c>
      <c r="D2817" s="759" t="str">
        <f>'A VII.'!C149</f>
        <v>CHP</v>
      </c>
      <c r="E2817" s="85">
        <f>'A VII.'!D149</f>
        <v>0</v>
      </c>
      <c r="F2817" s="59">
        <f t="shared" ref="F2817:F2826" si="170">ROUND(C2817*E2817,2)</f>
        <v>0</v>
      </c>
    </row>
    <row r="2818" spans="1:6" ht="12.75" customHeight="1" x14ac:dyDescent="0.2">
      <c r="A2818" s="3"/>
      <c r="C2818" s="114"/>
      <c r="D2818" s="759"/>
      <c r="E2818" s="85"/>
      <c r="F2818" s="59">
        <f t="shared" si="170"/>
        <v>0</v>
      </c>
    </row>
    <row r="2819" spans="1:6" ht="12.75" customHeight="1" x14ac:dyDescent="0.2">
      <c r="A2819" s="3"/>
      <c r="C2819" s="114"/>
      <c r="D2819" s="759"/>
      <c r="E2819" s="85"/>
      <c r="F2819" s="59">
        <f t="shared" si="170"/>
        <v>0</v>
      </c>
    </row>
    <row r="2820" spans="1:6" ht="12.75" customHeight="1" x14ac:dyDescent="0.2">
      <c r="A2820" s="3"/>
      <c r="C2820" s="114"/>
      <c r="D2820" s="759"/>
      <c r="E2820" s="85"/>
      <c r="F2820" s="59">
        <f t="shared" si="170"/>
        <v>0</v>
      </c>
    </row>
    <row r="2821" spans="1:6" ht="12.75" customHeight="1" x14ac:dyDescent="0.2">
      <c r="A2821" s="3"/>
      <c r="C2821" s="114"/>
      <c r="D2821" s="759"/>
      <c r="E2821" s="85"/>
      <c r="F2821" s="59">
        <f t="shared" si="170"/>
        <v>0</v>
      </c>
    </row>
    <row r="2822" spans="1:6" ht="12.75" customHeight="1" x14ac:dyDescent="0.2">
      <c r="A2822" s="3"/>
      <c r="C2822" s="114"/>
      <c r="D2822" s="759"/>
      <c r="E2822" s="85"/>
      <c r="F2822" s="59">
        <f t="shared" si="170"/>
        <v>0</v>
      </c>
    </row>
    <row r="2823" spans="1:6" ht="12.75" customHeight="1" x14ac:dyDescent="0.2">
      <c r="A2823" s="3"/>
      <c r="C2823" s="114"/>
      <c r="D2823" s="759"/>
      <c r="E2823" s="85"/>
      <c r="F2823" s="59">
        <f t="shared" si="170"/>
        <v>0</v>
      </c>
    </row>
    <row r="2824" spans="1:6" ht="12.75" customHeight="1" x14ac:dyDescent="0.2">
      <c r="A2824" s="3"/>
      <c r="C2824" s="114"/>
      <c r="D2824" s="759"/>
      <c r="E2824" s="85"/>
      <c r="F2824" s="59">
        <f t="shared" si="170"/>
        <v>0</v>
      </c>
    </row>
    <row r="2825" spans="1:6" ht="12.75" customHeight="1" x14ac:dyDescent="0.2">
      <c r="A2825" s="3"/>
      <c r="C2825" s="114"/>
      <c r="D2825" s="759"/>
      <c r="E2825" s="85"/>
      <c r="F2825" s="59">
        <f t="shared" si="170"/>
        <v>0</v>
      </c>
    </row>
    <row r="2826" spans="1:6" ht="12.75" customHeight="1" x14ac:dyDescent="0.2">
      <c r="A2826" s="3"/>
      <c r="C2826" s="114"/>
      <c r="D2826" s="759"/>
      <c r="E2826" s="85"/>
      <c r="F2826" s="59">
        <f t="shared" si="170"/>
        <v>0</v>
      </c>
    </row>
    <row r="2827" spans="1:6" ht="12.75" customHeight="1" x14ac:dyDescent="0.2">
      <c r="A2827" s="3"/>
      <c r="B2827" s="86" t="s">
        <v>258</v>
      </c>
      <c r="C2827" s="87"/>
      <c r="D2827" s="88"/>
      <c r="E2827" s="89"/>
      <c r="F2827" s="90">
        <f>SUM(F2817:F2826)</f>
        <v>0</v>
      </c>
    </row>
    <row r="2828" spans="1:6" ht="12.75" customHeight="1" x14ac:dyDescent="0.2">
      <c r="A2828" s="3"/>
      <c r="B2828" s="91" t="s">
        <v>70</v>
      </c>
      <c r="C2828" s="15">
        <f>$D$8</f>
        <v>0</v>
      </c>
      <c r="D2828" s="92"/>
      <c r="E2828" s="93"/>
      <c r="F2828" s="94">
        <f>ROUND(C2828*F2827,2)</f>
        <v>0</v>
      </c>
    </row>
    <row r="2829" spans="1:6" ht="12.75" customHeight="1" x14ac:dyDescent="0.2">
      <c r="A2829" s="95"/>
      <c r="B2829" s="424" t="s">
        <v>260</v>
      </c>
      <c r="C2829" s="425"/>
      <c r="D2829" s="425"/>
      <c r="E2829" s="426"/>
      <c r="F2829" s="96">
        <f>F2827+F2828</f>
        <v>0</v>
      </c>
    </row>
    <row r="2830" spans="1:6" ht="12.75" customHeight="1" x14ac:dyDescent="0.2">
      <c r="A2830" s="97" t="s">
        <v>54</v>
      </c>
      <c r="B2830" s="427" t="s">
        <v>268</v>
      </c>
      <c r="C2830" s="428" t="s">
        <v>263</v>
      </c>
      <c r="D2830" s="429" t="s">
        <v>264</v>
      </c>
      <c r="E2830" s="430" t="s">
        <v>265</v>
      </c>
      <c r="F2830" s="57" t="s">
        <v>266</v>
      </c>
    </row>
    <row r="2831" spans="1:6" ht="12.75" customHeight="1" x14ac:dyDescent="0.2">
      <c r="A2831" s="3" t="str">
        <f>'A VII.'!$A$192</f>
        <v>3.12</v>
      </c>
      <c r="B2831" s="74" t="str">
        <f>'A VII.'!B192</f>
        <v>PEDREIRO COM ENCARGOS COMPLEMENTARES</v>
      </c>
      <c r="C2831" s="114">
        <f>0.486+0.012</f>
        <v>0.498</v>
      </c>
      <c r="D2831" s="759" t="str">
        <f>'A VII.'!C192</f>
        <v>H</v>
      </c>
      <c r="E2831" s="85">
        <f>'A VII.'!D192</f>
        <v>0</v>
      </c>
      <c r="F2831" s="59">
        <f t="shared" ref="F2831:F2837" si="171">ROUND(C2831*E2831,2)</f>
        <v>0</v>
      </c>
    </row>
    <row r="2832" spans="1:6" ht="12.75" customHeight="1" x14ac:dyDescent="0.2">
      <c r="A2832" s="3" t="str">
        <f>'A VII.'!$A$196</f>
        <v>3.16</v>
      </c>
      <c r="B2832" s="74" t="str">
        <f>'A VII.'!B196</f>
        <v>SERVENTE COM ENCARGOS COMPLEMENTARES</v>
      </c>
      <c r="C2832" s="114">
        <f>0.665+0.0019+0.0871+0.0871+0.0549</f>
        <v>0.89599999999999991</v>
      </c>
      <c r="D2832" s="759" t="str">
        <f>'A VII.'!C196</f>
        <v>H</v>
      </c>
      <c r="E2832" s="85">
        <f>'A VII.'!D196</f>
        <v>0</v>
      </c>
      <c r="F2832" s="59">
        <f t="shared" si="171"/>
        <v>0</v>
      </c>
    </row>
    <row r="2833" spans="1:6" ht="12.75" customHeight="1" x14ac:dyDescent="0.2">
      <c r="A2833" s="3"/>
      <c r="C2833" s="114"/>
      <c r="D2833" s="759"/>
      <c r="E2833" s="85"/>
      <c r="F2833" s="59">
        <f t="shared" si="171"/>
        <v>0</v>
      </c>
    </row>
    <row r="2834" spans="1:6" ht="12.75" customHeight="1" x14ac:dyDescent="0.2">
      <c r="A2834" s="3"/>
      <c r="C2834" s="114"/>
      <c r="D2834" s="759"/>
      <c r="E2834" s="85"/>
      <c r="F2834" s="59">
        <f t="shared" si="171"/>
        <v>0</v>
      </c>
    </row>
    <row r="2835" spans="1:6" ht="12.75" customHeight="1" x14ac:dyDescent="0.2">
      <c r="A2835" s="3"/>
      <c r="C2835" s="114"/>
      <c r="D2835" s="759"/>
      <c r="E2835" s="85"/>
      <c r="F2835" s="59">
        <f t="shared" si="171"/>
        <v>0</v>
      </c>
    </row>
    <row r="2836" spans="1:6" ht="12.75" customHeight="1" x14ac:dyDescent="0.2">
      <c r="A2836" s="3"/>
      <c r="C2836" s="114"/>
      <c r="D2836" s="759"/>
      <c r="E2836" s="85"/>
      <c r="F2836" s="59">
        <f t="shared" si="171"/>
        <v>0</v>
      </c>
    </row>
    <row r="2837" spans="1:6" ht="12.75" customHeight="1" x14ac:dyDescent="0.2">
      <c r="A2837" s="3"/>
      <c r="C2837" s="114"/>
      <c r="D2837" s="759"/>
      <c r="E2837" s="85"/>
      <c r="F2837" s="59">
        <f t="shared" si="171"/>
        <v>0</v>
      </c>
    </row>
    <row r="2838" spans="1:6" ht="12.75" customHeight="1" x14ac:dyDescent="0.2">
      <c r="A2838" s="3"/>
      <c r="B2838" s="86" t="s">
        <v>258</v>
      </c>
      <c r="C2838" s="87"/>
      <c r="D2838" s="88"/>
      <c r="E2838" s="89"/>
      <c r="F2838" s="90">
        <f>SUM(F2831:F2837)</f>
        <v>0</v>
      </c>
    </row>
    <row r="2839" spans="1:6" ht="12.75" customHeight="1" x14ac:dyDescent="0.2">
      <c r="A2839" s="3"/>
      <c r="B2839" s="91" t="s">
        <v>261</v>
      </c>
      <c r="C2839" s="15">
        <f>'A IX.'!$C$45</f>
        <v>0</v>
      </c>
      <c r="D2839" s="92"/>
      <c r="E2839" s="93"/>
      <c r="F2839" s="94">
        <f>ROUND(F2838*C2839,2)</f>
        <v>0</v>
      </c>
    </row>
    <row r="2840" spans="1:6" ht="12.75" customHeight="1" x14ac:dyDescent="0.2">
      <c r="A2840" s="3"/>
      <c r="B2840" s="91" t="s">
        <v>70</v>
      </c>
      <c r="C2840" s="15">
        <f>$D$8</f>
        <v>0</v>
      </c>
      <c r="D2840" s="92"/>
      <c r="E2840" s="93"/>
      <c r="F2840" s="94">
        <f>ROUND(SUM(F2838:F2839)*C2840,2)</f>
        <v>0</v>
      </c>
    </row>
    <row r="2841" spans="1:6" ht="12.75" customHeight="1" thickBot="1" x14ac:dyDescent="0.25">
      <c r="A2841" s="98"/>
      <c r="B2841" s="99" t="s">
        <v>262</v>
      </c>
      <c r="C2841" s="100"/>
      <c r="D2841" s="100"/>
      <c r="E2841" s="101"/>
      <c r="F2841" s="102">
        <f>SUM(F2838:F2840)</f>
        <v>0</v>
      </c>
    </row>
    <row r="2842" spans="1:6" ht="12.75" customHeight="1" thickBot="1" x14ac:dyDescent="0.25">
      <c r="A2842" s="81"/>
      <c r="B2842" s="82"/>
      <c r="C2842" s="83"/>
      <c r="D2842" s="83"/>
      <c r="E2842" s="84"/>
      <c r="F2842" s="103"/>
    </row>
    <row r="2843" spans="1:6" ht="30" customHeight="1" x14ac:dyDescent="0.2">
      <c r="A2843" s="5" t="str">
        <f>'A IV.A'!$A$92</f>
        <v>3.8.1</v>
      </c>
      <c r="B2843" s="416" t="str">
        <f>'A IV.A'!B92</f>
        <v xml:space="preserve">CHAPISCO COM ARGAMASSA DE CIMENTO E AREIA TRAÇO 1:3, E=5 MM </v>
      </c>
      <c r="C2843" s="526" t="s">
        <v>269</v>
      </c>
      <c r="D2843" s="527"/>
      <c r="E2843" s="417" t="str">
        <f>'A IV.A'!$C$92</f>
        <v>M2</v>
      </c>
      <c r="F2843" s="58">
        <f>ROUND(F2863+F2877+F2889,2)</f>
        <v>0</v>
      </c>
    </row>
    <row r="2844" spans="1:6" ht="12.75" customHeight="1" x14ac:dyDescent="0.2">
      <c r="A2844" s="1" t="s">
        <v>17</v>
      </c>
      <c r="B2844" s="418" t="s">
        <v>162</v>
      </c>
      <c r="C2844" s="419" t="s">
        <v>263</v>
      </c>
      <c r="D2844" s="419" t="s">
        <v>264</v>
      </c>
      <c r="E2844" s="420" t="s">
        <v>265</v>
      </c>
      <c r="F2844" s="57" t="s">
        <v>266</v>
      </c>
    </row>
    <row r="2845" spans="1:6" ht="12.75" customHeight="1" x14ac:dyDescent="0.2">
      <c r="A2845" s="6" t="str">
        <f>'A VII.'!$A$19</f>
        <v>1.10</v>
      </c>
      <c r="B2845" s="421" t="str">
        <f>VLOOKUP(A2845,'A VII.'!$A$10:$D$199,2,FALSE)</f>
        <v>AREIA MÉDIA LAVADA</v>
      </c>
      <c r="C2845" s="114">
        <v>4.4520000000000002E-3</v>
      </c>
      <c r="D2845" s="757" t="str">
        <f>VLOOKUP(A2845,'A VII.'!$A$10:$D$199,3,FALSE)</f>
        <v>M3</v>
      </c>
      <c r="E2845" s="85">
        <f>'A VII.'!D19</f>
        <v>0</v>
      </c>
      <c r="F2845" s="59">
        <f>ROUND(C2845*E2845,2)</f>
        <v>0</v>
      </c>
    </row>
    <row r="2846" spans="1:6" ht="12.75" customHeight="1" x14ac:dyDescent="0.2">
      <c r="A2846" s="6" t="str">
        <f>'A VII.'!$A$38</f>
        <v>1.29</v>
      </c>
      <c r="B2846" s="421" t="str">
        <f>VLOOKUP(A2846,'A VII.'!$A$10:$D$199,2,FALSE)</f>
        <v>CIMENTO PORTLAND CP II-E-32</v>
      </c>
      <c r="C2846" s="114">
        <v>1.7041499999999998</v>
      </c>
      <c r="D2846" s="757" t="str">
        <f>VLOOKUP(A2846,'A VII.'!$A$10:$D$199,3,FALSE)</f>
        <v>KG</v>
      </c>
      <c r="E2846" s="85">
        <f>'A VII.'!D38</f>
        <v>0</v>
      </c>
      <c r="F2846" s="59">
        <f t="shared" ref="F2846:F2860" si="172">ROUND(C2846*E2846,2)</f>
        <v>0</v>
      </c>
    </row>
    <row r="2847" spans="1:6" ht="12.75" customHeight="1" x14ac:dyDescent="0.2">
      <c r="A2847" s="6"/>
      <c r="B2847" s="421"/>
      <c r="C2847" s="114"/>
      <c r="D2847" s="757"/>
      <c r="E2847" s="85"/>
      <c r="F2847" s="59">
        <f t="shared" si="172"/>
        <v>0</v>
      </c>
    </row>
    <row r="2848" spans="1:6" ht="12.75" customHeight="1" x14ac:dyDescent="0.2">
      <c r="A2848" s="6"/>
      <c r="B2848" s="421"/>
      <c r="C2848" s="114"/>
      <c r="D2848" s="757"/>
      <c r="E2848" s="85"/>
      <c r="F2848" s="59">
        <f t="shared" si="172"/>
        <v>0</v>
      </c>
    </row>
    <row r="2849" spans="1:6" ht="12.75" customHeight="1" x14ac:dyDescent="0.2">
      <c r="A2849" s="6"/>
      <c r="B2849" s="421"/>
      <c r="C2849" s="114"/>
      <c r="D2849" s="757"/>
      <c r="E2849" s="85"/>
      <c r="F2849" s="59">
        <f t="shared" si="172"/>
        <v>0</v>
      </c>
    </row>
    <row r="2850" spans="1:6" ht="12.75" customHeight="1" x14ac:dyDescent="0.2">
      <c r="A2850" s="6"/>
      <c r="B2850" s="421"/>
      <c r="C2850" s="114"/>
      <c r="D2850" s="757"/>
      <c r="E2850" s="85"/>
      <c r="F2850" s="59">
        <f t="shared" si="172"/>
        <v>0</v>
      </c>
    </row>
    <row r="2851" spans="1:6" ht="12.75" customHeight="1" x14ac:dyDescent="0.2">
      <c r="A2851" s="6"/>
      <c r="B2851" s="421"/>
      <c r="C2851" s="114"/>
      <c r="D2851" s="757"/>
      <c r="E2851" s="85"/>
      <c r="F2851" s="59">
        <f t="shared" si="172"/>
        <v>0</v>
      </c>
    </row>
    <row r="2852" spans="1:6" ht="12.75" customHeight="1" x14ac:dyDescent="0.2">
      <c r="A2852" s="6"/>
      <c r="B2852" s="421"/>
      <c r="C2852" s="114"/>
      <c r="D2852" s="757"/>
      <c r="E2852" s="85"/>
      <c r="F2852" s="59">
        <f t="shared" si="172"/>
        <v>0</v>
      </c>
    </row>
    <row r="2853" spans="1:6" ht="12.75" customHeight="1" x14ac:dyDescent="0.2">
      <c r="A2853" s="6"/>
      <c r="B2853" s="421"/>
      <c r="C2853" s="114"/>
      <c r="D2853" s="757"/>
      <c r="E2853" s="85"/>
      <c r="F2853" s="59">
        <f t="shared" si="172"/>
        <v>0</v>
      </c>
    </row>
    <row r="2854" spans="1:6" ht="12.75" customHeight="1" x14ac:dyDescent="0.2">
      <c r="A2854" s="6"/>
      <c r="B2854" s="421"/>
      <c r="C2854" s="114"/>
      <c r="D2854" s="757"/>
      <c r="E2854" s="85"/>
      <c r="F2854" s="59">
        <f t="shared" si="172"/>
        <v>0</v>
      </c>
    </row>
    <row r="2855" spans="1:6" ht="12.75" customHeight="1" x14ac:dyDescent="0.2">
      <c r="A2855" s="6"/>
      <c r="B2855" s="421"/>
      <c r="C2855" s="114"/>
      <c r="D2855" s="757"/>
      <c r="E2855" s="85"/>
      <c r="F2855" s="59">
        <f t="shared" si="172"/>
        <v>0</v>
      </c>
    </row>
    <row r="2856" spans="1:6" ht="12.75" customHeight="1" x14ac:dyDescent="0.2">
      <c r="A2856" s="6"/>
      <c r="B2856" s="421"/>
      <c r="C2856" s="114"/>
      <c r="D2856" s="758"/>
      <c r="E2856" s="85"/>
      <c r="F2856" s="59">
        <f t="shared" si="172"/>
        <v>0</v>
      </c>
    </row>
    <row r="2857" spans="1:6" ht="12.75" customHeight="1" x14ac:dyDescent="0.2">
      <c r="A2857" s="6"/>
      <c r="B2857" s="421"/>
      <c r="C2857" s="114"/>
      <c r="D2857" s="758"/>
      <c r="E2857" s="85"/>
      <c r="F2857" s="59">
        <f t="shared" si="172"/>
        <v>0</v>
      </c>
    </row>
    <row r="2858" spans="1:6" ht="12.75" customHeight="1" x14ac:dyDescent="0.2">
      <c r="A2858" s="6"/>
      <c r="B2858" s="421"/>
      <c r="C2858" s="114"/>
      <c r="D2858" s="758"/>
      <c r="E2858" s="85"/>
      <c r="F2858" s="59">
        <f t="shared" si="172"/>
        <v>0</v>
      </c>
    </row>
    <row r="2859" spans="1:6" ht="12.75" customHeight="1" x14ac:dyDescent="0.2">
      <c r="A2859" s="3"/>
      <c r="C2859" s="114"/>
      <c r="D2859" s="759"/>
      <c r="E2859" s="85"/>
      <c r="F2859" s="59">
        <f t="shared" si="172"/>
        <v>0</v>
      </c>
    </row>
    <row r="2860" spans="1:6" ht="12.75" customHeight="1" x14ac:dyDescent="0.2">
      <c r="A2860" s="3"/>
      <c r="C2860" s="114"/>
      <c r="D2860" s="759"/>
      <c r="E2860" s="85"/>
      <c r="F2860" s="59">
        <f t="shared" si="172"/>
        <v>0</v>
      </c>
    </row>
    <row r="2861" spans="1:6" ht="12.75" customHeight="1" x14ac:dyDescent="0.2">
      <c r="A2861" s="3"/>
      <c r="B2861" s="86" t="s">
        <v>258</v>
      </c>
      <c r="C2861" s="87"/>
      <c r="D2861" s="88"/>
      <c r="E2861" s="89"/>
      <c r="F2861" s="90">
        <f>SUM(F2845:F2860)</f>
        <v>0</v>
      </c>
    </row>
    <row r="2862" spans="1:6" ht="12.75" customHeight="1" x14ac:dyDescent="0.2">
      <c r="A2862" s="3"/>
      <c r="B2862" s="91" t="s">
        <v>70</v>
      </c>
      <c r="C2862" s="15">
        <f>$D$8</f>
        <v>0</v>
      </c>
      <c r="D2862" s="92"/>
      <c r="E2862" s="93"/>
      <c r="F2862" s="94">
        <f>ROUND(F2861*C2862,2)</f>
        <v>0</v>
      </c>
    </row>
    <row r="2863" spans="1:6" ht="12.75" customHeight="1" x14ac:dyDescent="0.2">
      <c r="A2863" s="95"/>
      <c r="B2863" s="424" t="s">
        <v>259</v>
      </c>
      <c r="C2863" s="425"/>
      <c r="D2863" s="425"/>
      <c r="E2863" s="426"/>
      <c r="F2863" s="96">
        <f>F2861+F2862</f>
        <v>0</v>
      </c>
    </row>
    <row r="2864" spans="1:6" ht="12.75" customHeight="1" x14ac:dyDescent="0.2">
      <c r="A2864" s="1" t="s">
        <v>5</v>
      </c>
      <c r="B2864" s="418" t="s">
        <v>267</v>
      </c>
      <c r="C2864" s="419" t="s">
        <v>263</v>
      </c>
      <c r="D2864" s="419" t="s">
        <v>264</v>
      </c>
      <c r="E2864" s="420" t="s">
        <v>265</v>
      </c>
      <c r="F2864" s="57" t="s">
        <v>266</v>
      </c>
    </row>
    <row r="2865" spans="1:6" ht="12.75" customHeight="1" x14ac:dyDescent="0.2">
      <c r="A2865" s="3" t="str">
        <f>'A VII.'!$A$149</f>
        <v>2.7</v>
      </c>
      <c r="B2865" s="71" t="str">
        <f>VLOOKUP(A2865,'A VII.'!$A$10:$D$199,2,FALSE)</f>
        <v>BETONEIRA, CAPACIDADE NOMINAL DE 400L, MOTOR ELÉTRICO TRIFÁSICO DE  2CV - CHP</v>
      </c>
      <c r="C2865" s="114">
        <v>4.1999999999999997E-3</v>
      </c>
      <c r="D2865" s="759" t="str">
        <f>VLOOKUP(A2865,'A VII.'!$A$10:$D$199,3,FALSE)</f>
        <v>CHP</v>
      </c>
      <c r="E2865" s="85">
        <f>'A VII.'!$D$149</f>
        <v>0</v>
      </c>
      <c r="F2865" s="59">
        <f t="shared" ref="F2865:F2874" si="173">ROUND(C2865*E2865,2)</f>
        <v>0</v>
      </c>
    </row>
    <row r="2866" spans="1:6" ht="12.75" customHeight="1" x14ac:dyDescent="0.2">
      <c r="A2866" s="3" t="str">
        <f>'A VII.'!$A$148</f>
        <v>2.6</v>
      </c>
      <c r="B2866" s="74" t="str">
        <f>VLOOKUP(A2866,'A VII.'!$A$10:$D$199,2,FALSE)</f>
        <v>BETONEIRA, CAPACIDADE NOMINAL DE 400L, MOTOR ELÉTRICO TRIFÁSICO DE  2CV - CHI</v>
      </c>
      <c r="C2866" s="114">
        <v>1.3775999999999998E-2</v>
      </c>
      <c r="D2866" s="759" t="str">
        <f>VLOOKUP(A2866,'A VII.'!$A$10:$D$199,3,FALSE)</f>
        <v>CHI</v>
      </c>
      <c r="E2866" s="85">
        <f>'A VII.'!$D$148</f>
        <v>0</v>
      </c>
      <c r="F2866" s="59">
        <f t="shared" si="173"/>
        <v>0</v>
      </c>
    </row>
    <row r="2867" spans="1:6" ht="12.75" customHeight="1" x14ac:dyDescent="0.2">
      <c r="A2867" s="3"/>
      <c r="C2867" s="114"/>
      <c r="D2867" s="759"/>
      <c r="E2867" s="85"/>
      <c r="F2867" s="59">
        <f t="shared" si="173"/>
        <v>0</v>
      </c>
    </row>
    <row r="2868" spans="1:6" ht="12.75" customHeight="1" x14ac:dyDescent="0.2">
      <c r="A2868" s="3"/>
      <c r="C2868" s="114"/>
      <c r="D2868" s="759"/>
      <c r="E2868" s="85"/>
      <c r="F2868" s="59">
        <f t="shared" si="173"/>
        <v>0</v>
      </c>
    </row>
    <row r="2869" spans="1:6" ht="12.75" customHeight="1" x14ac:dyDescent="0.2">
      <c r="A2869" s="3"/>
      <c r="C2869" s="114"/>
      <c r="D2869" s="759"/>
      <c r="E2869" s="85"/>
      <c r="F2869" s="59">
        <f t="shared" si="173"/>
        <v>0</v>
      </c>
    </row>
    <row r="2870" spans="1:6" ht="12.75" customHeight="1" x14ac:dyDescent="0.2">
      <c r="A2870" s="3"/>
      <c r="C2870" s="114"/>
      <c r="D2870" s="759"/>
      <c r="E2870" s="85"/>
      <c r="F2870" s="59">
        <f t="shared" si="173"/>
        <v>0</v>
      </c>
    </row>
    <row r="2871" spans="1:6" ht="12.75" customHeight="1" x14ac:dyDescent="0.2">
      <c r="A2871" s="3"/>
      <c r="C2871" s="114"/>
      <c r="D2871" s="759"/>
      <c r="E2871" s="85"/>
      <c r="F2871" s="59">
        <f t="shared" si="173"/>
        <v>0</v>
      </c>
    </row>
    <row r="2872" spans="1:6" ht="12.75" customHeight="1" x14ac:dyDescent="0.2">
      <c r="A2872" s="3"/>
      <c r="C2872" s="114"/>
      <c r="D2872" s="759"/>
      <c r="E2872" s="85"/>
      <c r="F2872" s="59">
        <f t="shared" si="173"/>
        <v>0</v>
      </c>
    </row>
    <row r="2873" spans="1:6" ht="12.75" customHeight="1" x14ac:dyDescent="0.2">
      <c r="A2873" s="3"/>
      <c r="C2873" s="114"/>
      <c r="D2873" s="759"/>
      <c r="E2873" s="85"/>
      <c r="F2873" s="59">
        <f t="shared" si="173"/>
        <v>0</v>
      </c>
    </row>
    <row r="2874" spans="1:6" ht="12.75" customHeight="1" x14ac:dyDescent="0.2">
      <c r="A2874" s="3"/>
      <c r="C2874" s="114"/>
      <c r="D2874" s="759"/>
      <c r="E2874" s="85"/>
      <c r="F2874" s="59">
        <f t="shared" si="173"/>
        <v>0</v>
      </c>
    </row>
    <row r="2875" spans="1:6" ht="12.75" customHeight="1" x14ac:dyDescent="0.2">
      <c r="A2875" s="3"/>
      <c r="B2875" s="86" t="s">
        <v>258</v>
      </c>
      <c r="C2875" s="87"/>
      <c r="D2875" s="88"/>
      <c r="E2875" s="89"/>
      <c r="F2875" s="90">
        <f>SUM(F2865:F2874)</f>
        <v>0</v>
      </c>
    </row>
    <row r="2876" spans="1:6" ht="12.75" customHeight="1" x14ac:dyDescent="0.2">
      <c r="A2876" s="3"/>
      <c r="B2876" s="91" t="s">
        <v>70</v>
      </c>
      <c r="C2876" s="15">
        <f>$D$8</f>
        <v>0</v>
      </c>
      <c r="D2876" s="92"/>
      <c r="E2876" s="93"/>
      <c r="F2876" s="94">
        <f>ROUND(C2876*F2875,2)</f>
        <v>0</v>
      </c>
    </row>
    <row r="2877" spans="1:6" ht="12.75" customHeight="1" x14ac:dyDescent="0.2">
      <c r="A2877" s="95"/>
      <c r="B2877" s="424" t="s">
        <v>260</v>
      </c>
      <c r="C2877" s="425"/>
      <c r="D2877" s="425"/>
      <c r="E2877" s="426"/>
      <c r="F2877" s="96">
        <f>F2875+F2876</f>
        <v>0</v>
      </c>
    </row>
    <row r="2878" spans="1:6" ht="12.75" customHeight="1" x14ac:dyDescent="0.2">
      <c r="A2878" s="97" t="s">
        <v>54</v>
      </c>
      <c r="B2878" s="427" t="s">
        <v>268</v>
      </c>
      <c r="C2878" s="428" t="s">
        <v>263</v>
      </c>
      <c r="D2878" s="429" t="s">
        <v>264</v>
      </c>
      <c r="E2878" s="430" t="s">
        <v>265</v>
      </c>
      <c r="F2878" s="57" t="s">
        <v>266</v>
      </c>
    </row>
    <row r="2879" spans="1:6" ht="12.75" customHeight="1" x14ac:dyDescent="0.2">
      <c r="A2879" s="3" t="str">
        <f>'A VII.'!$A$196</f>
        <v>3.16</v>
      </c>
      <c r="B2879" s="74" t="s">
        <v>189</v>
      </c>
      <c r="C2879" s="114">
        <f>0.091+0.017976</f>
        <v>0.10897599999999999</v>
      </c>
      <c r="D2879" s="759" t="str">
        <f>VLOOKUP(A2879,'A VII.'!$A$10:$D$199,3,FALSE)</f>
        <v>H</v>
      </c>
      <c r="E2879" s="85">
        <f>'A VII.'!D196</f>
        <v>0</v>
      </c>
      <c r="F2879" s="59">
        <f t="shared" ref="F2879:F2885" si="174">ROUND(C2879*E2879,2)</f>
        <v>0</v>
      </c>
    </row>
    <row r="2880" spans="1:6" ht="12.75" customHeight="1" x14ac:dyDescent="0.2">
      <c r="A2880" s="3" t="str">
        <f>'A VII.'!$A$192</f>
        <v>3.12</v>
      </c>
      <c r="B2880" s="74" t="s">
        <v>185</v>
      </c>
      <c r="C2880" s="114">
        <v>0.183</v>
      </c>
      <c r="D2880" s="759" t="str">
        <f>VLOOKUP(A2880,'A VII.'!$A$10:$D$199,3,FALSE)</f>
        <v>H</v>
      </c>
      <c r="E2880" s="85">
        <f>'A VII.'!D192</f>
        <v>0</v>
      </c>
      <c r="F2880" s="59">
        <f t="shared" si="174"/>
        <v>0</v>
      </c>
    </row>
    <row r="2881" spans="1:6" ht="12.75" customHeight="1" x14ac:dyDescent="0.2">
      <c r="A2881" s="3"/>
      <c r="C2881" s="114"/>
      <c r="D2881" s="759"/>
      <c r="E2881" s="85"/>
      <c r="F2881" s="59">
        <f t="shared" si="174"/>
        <v>0</v>
      </c>
    </row>
    <row r="2882" spans="1:6" ht="12.75" customHeight="1" x14ac:dyDescent="0.2">
      <c r="A2882" s="3"/>
      <c r="C2882" s="114"/>
      <c r="D2882" s="759"/>
      <c r="E2882" s="85"/>
      <c r="F2882" s="59">
        <f t="shared" si="174"/>
        <v>0</v>
      </c>
    </row>
    <row r="2883" spans="1:6" ht="12.75" customHeight="1" x14ac:dyDescent="0.2">
      <c r="A2883" s="3"/>
      <c r="C2883" s="114"/>
      <c r="D2883" s="759"/>
      <c r="E2883" s="85"/>
      <c r="F2883" s="59">
        <f t="shared" si="174"/>
        <v>0</v>
      </c>
    </row>
    <row r="2884" spans="1:6" ht="12.75" customHeight="1" x14ac:dyDescent="0.2">
      <c r="A2884" s="3"/>
      <c r="C2884" s="114"/>
      <c r="D2884" s="759"/>
      <c r="E2884" s="85"/>
      <c r="F2884" s="59">
        <f t="shared" si="174"/>
        <v>0</v>
      </c>
    </row>
    <row r="2885" spans="1:6" ht="12.75" customHeight="1" x14ac:dyDescent="0.2">
      <c r="A2885" s="3"/>
      <c r="C2885" s="114"/>
      <c r="D2885" s="759"/>
      <c r="E2885" s="85"/>
      <c r="F2885" s="59">
        <f t="shared" si="174"/>
        <v>0</v>
      </c>
    </row>
    <row r="2886" spans="1:6" ht="12.75" customHeight="1" x14ac:dyDescent="0.2">
      <c r="A2886" s="3"/>
      <c r="B2886" s="86" t="s">
        <v>258</v>
      </c>
      <c r="C2886" s="87"/>
      <c r="D2886" s="88"/>
      <c r="E2886" s="89"/>
      <c r="F2886" s="90">
        <f>SUM(F2879:F2885)</f>
        <v>0</v>
      </c>
    </row>
    <row r="2887" spans="1:6" ht="12.75" customHeight="1" x14ac:dyDescent="0.2">
      <c r="A2887" s="3"/>
      <c r="B2887" s="91" t="s">
        <v>261</v>
      </c>
      <c r="C2887" s="15">
        <f>'A IX.'!$C$45</f>
        <v>0</v>
      </c>
      <c r="D2887" s="92"/>
      <c r="E2887" s="93"/>
      <c r="F2887" s="94">
        <f>ROUND(F2886*C2887,2)</f>
        <v>0</v>
      </c>
    </row>
    <row r="2888" spans="1:6" ht="12.75" customHeight="1" x14ac:dyDescent="0.2">
      <c r="A2888" s="3"/>
      <c r="B2888" s="91" t="s">
        <v>70</v>
      </c>
      <c r="C2888" s="15">
        <f>$D$8</f>
        <v>0</v>
      </c>
      <c r="D2888" s="92"/>
      <c r="E2888" s="93"/>
      <c r="F2888" s="94">
        <f>ROUND(SUM(F2886:F2887)*C2888,2)</f>
        <v>0</v>
      </c>
    </row>
    <row r="2889" spans="1:6" ht="12.75" customHeight="1" thickBot="1" x14ac:dyDescent="0.25">
      <c r="A2889" s="98"/>
      <c r="B2889" s="99" t="s">
        <v>262</v>
      </c>
      <c r="C2889" s="100"/>
      <c r="D2889" s="100"/>
      <c r="E2889" s="101"/>
      <c r="F2889" s="102">
        <f>SUM(F2886:F2888)</f>
        <v>0</v>
      </c>
    </row>
    <row r="2890" spans="1:6" ht="12.75" customHeight="1" thickBot="1" x14ac:dyDescent="0.25">
      <c r="A2890" s="81"/>
      <c r="B2890" s="82"/>
      <c r="C2890" s="83"/>
      <c r="D2890" s="83"/>
      <c r="E2890" s="84"/>
      <c r="F2890" s="103"/>
    </row>
    <row r="2891" spans="1:6" ht="30" customHeight="1" x14ac:dyDescent="0.2">
      <c r="A2891" s="5" t="str">
        <f>'A IV.A'!A93</f>
        <v>3.8.2</v>
      </c>
      <c r="B2891" s="416" t="str">
        <f>'A IV.A'!B93</f>
        <v xml:space="preserve">REBOCO/MASSA ÚNICA, PAREDE INTERNA/EXTERNA COM ARGAMASSA DE CIMENTO, CAL E AREIA 1:2:8, E=20 MM </v>
      </c>
      <c r="C2891" s="526" t="s">
        <v>269</v>
      </c>
      <c r="D2891" s="527"/>
      <c r="E2891" s="417" t="str">
        <f>'A IV.A'!$C$93</f>
        <v>M2</v>
      </c>
      <c r="F2891" s="58">
        <f>ROUND(F2911+F2925+F2937,2)</f>
        <v>0</v>
      </c>
    </row>
    <row r="2892" spans="1:6" ht="12.75" customHeight="1" x14ac:dyDescent="0.2">
      <c r="A2892" s="1" t="s">
        <v>17</v>
      </c>
      <c r="B2892" s="418" t="s">
        <v>162</v>
      </c>
      <c r="C2892" s="419" t="s">
        <v>263</v>
      </c>
      <c r="D2892" s="419" t="s">
        <v>264</v>
      </c>
      <c r="E2892" s="420" t="s">
        <v>265</v>
      </c>
      <c r="F2892" s="57" t="s">
        <v>266</v>
      </c>
    </row>
    <row r="2893" spans="1:6" ht="12.75" customHeight="1" x14ac:dyDescent="0.2">
      <c r="A2893" s="6" t="str">
        <f>'A VII.'!$A$19</f>
        <v>1.10</v>
      </c>
      <c r="B2893" s="421" t="str">
        <f>VLOOKUP(A2893,'A VII.'!$A$10:$D$199,2,FALSE)</f>
        <v>AREIA MÉDIA LAVADA</v>
      </c>
      <c r="C2893" s="114">
        <f>(0.040506/0.025)*0.02</f>
        <v>3.2404799999999997E-2</v>
      </c>
      <c r="D2893" s="757" t="str">
        <f>VLOOKUP(A2893,'A VII.'!$A$10:$D$199,3,FALSE)</f>
        <v>M3</v>
      </c>
      <c r="E2893" s="85">
        <f>'A VII.'!D19</f>
        <v>0</v>
      </c>
      <c r="F2893" s="59">
        <f>ROUND(C2893*E2893,2)</f>
        <v>0</v>
      </c>
    </row>
    <row r="2894" spans="1:6" ht="12.75" customHeight="1" x14ac:dyDescent="0.2">
      <c r="A2894" s="6" t="str">
        <f>'A VII.'!$A$29</f>
        <v>1.20</v>
      </c>
      <c r="B2894" s="421" t="str">
        <f>VLOOKUP(A2894,'A VII.'!$A$10:$D$199,2,FALSE)</f>
        <v>CAL HIDRATADA CH III - NBR 7175</v>
      </c>
      <c r="C2894" s="114">
        <f>(6.08218/0.025)*0.02</f>
        <v>4.8657439999999994</v>
      </c>
      <c r="D2894" s="757" t="str">
        <f>VLOOKUP(A2894,'A VII.'!$A$10:$D$199,3,FALSE)</f>
        <v>KG</v>
      </c>
      <c r="E2894" s="85">
        <f>'A VII.'!D29</f>
        <v>0</v>
      </c>
      <c r="F2894" s="59">
        <f t="shared" ref="F2894:F2908" si="175">ROUND(C2894*E2894,2)</f>
        <v>0</v>
      </c>
    </row>
    <row r="2895" spans="1:6" ht="12.75" customHeight="1" x14ac:dyDescent="0.2">
      <c r="A2895" s="6" t="str">
        <f>'A VII.'!$A$38</f>
        <v>1.29</v>
      </c>
      <c r="B2895" s="421" t="str">
        <f>VLOOKUP(A2895,'A VII.'!$A$10:$D$199,2,FALSE)</f>
        <v>CIMENTO PORTLAND CP II-E-32</v>
      </c>
      <c r="C2895" s="114">
        <f>(5.8287/0.025)*0.02</f>
        <v>4.66296</v>
      </c>
      <c r="D2895" s="757" t="str">
        <f>VLOOKUP(A2895,'A VII.'!$A$10:$D$199,3,FALSE)</f>
        <v>KG</v>
      </c>
      <c r="E2895" s="85">
        <f>'A VII.'!D38</f>
        <v>0</v>
      </c>
      <c r="F2895" s="59">
        <f t="shared" si="175"/>
        <v>0</v>
      </c>
    </row>
    <row r="2896" spans="1:6" ht="12.75" customHeight="1" x14ac:dyDescent="0.2">
      <c r="A2896" s="6"/>
      <c r="B2896" s="421"/>
      <c r="C2896" s="114"/>
      <c r="D2896" s="757"/>
      <c r="E2896" s="85"/>
      <c r="F2896" s="59">
        <f t="shared" si="175"/>
        <v>0</v>
      </c>
    </row>
    <row r="2897" spans="1:6" ht="12.75" customHeight="1" x14ac:dyDescent="0.2">
      <c r="A2897" s="6"/>
      <c r="B2897" s="421"/>
      <c r="C2897" s="114"/>
      <c r="D2897" s="757"/>
      <c r="E2897" s="85"/>
      <c r="F2897" s="59">
        <f t="shared" si="175"/>
        <v>0</v>
      </c>
    </row>
    <row r="2898" spans="1:6" ht="12.75" customHeight="1" x14ac:dyDescent="0.2">
      <c r="A2898" s="6"/>
      <c r="B2898" s="421"/>
      <c r="C2898" s="114"/>
      <c r="D2898" s="757"/>
      <c r="E2898" s="85"/>
      <c r="F2898" s="59">
        <f t="shared" si="175"/>
        <v>0</v>
      </c>
    </row>
    <row r="2899" spans="1:6" ht="12.75" customHeight="1" x14ac:dyDescent="0.2">
      <c r="A2899" s="6"/>
      <c r="B2899" s="421"/>
      <c r="C2899" s="114"/>
      <c r="D2899" s="757"/>
      <c r="E2899" s="85"/>
      <c r="F2899" s="59">
        <f t="shared" si="175"/>
        <v>0</v>
      </c>
    </row>
    <row r="2900" spans="1:6" ht="12.75" customHeight="1" x14ac:dyDescent="0.2">
      <c r="A2900" s="6"/>
      <c r="B2900" s="421"/>
      <c r="C2900" s="114"/>
      <c r="D2900" s="757"/>
      <c r="E2900" s="85"/>
      <c r="F2900" s="59">
        <f t="shared" si="175"/>
        <v>0</v>
      </c>
    </row>
    <row r="2901" spans="1:6" ht="12.75" customHeight="1" x14ac:dyDescent="0.2">
      <c r="A2901" s="6"/>
      <c r="B2901" s="421"/>
      <c r="C2901" s="114"/>
      <c r="D2901" s="757"/>
      <c r="E2901" s="85"/>
      <c r="F2901" s="59">
        <f t="shared" si="175"/>
        <v>0</v>
      </c>
    </row>
    <row r="2902" spans="1:6" ht="12.75" customHeight="1" x14ac:dyDescent="0.2">
      <c r="A2902" s="6"/>
      <c r="B2902" s="421"/>
      <c r="C2902" s="114"/>
      <c r="D2902" s="757"/>
      <c r="E2902" s="85"/>
      <c r="F2902" s="59">
        <f t="shared" si="175"/>
        <v>0</v>
      </c>
    </row>
    <row r="2903" spans="1:6" ht="12.75" customHeight="1" x14ac:dyDescent="0.2">
      <c r="A2903" s="6"/>
      <c r="B2903" s="421"/>
      <c r="C2903" s="114"/>
      <c r="D2903" s="757"/>
      <c r="E2903" s="85"/>
      <c r="F2903" s="59">
        <f t="shared" si="175"/>
        <v>0</v>
      </c>
    </row>
    <row r="2904" spans="1:6" ht="12.75" customHeight="1" x14ac:dyDescent="0.2">
      <c r="A2904" s="6"/>
      <c r="B2904" s="421"/>
      <c r="C2904" s="114"/>
      <c r="D2904" s="758"/>
      <c r="E2904" s="85"/>
      <c r="F2904" s="59">
        <f t="shared" si="175"/>
        <v>0</v>
      </c>
    </row>
    <row r="2905" spans="1:6" ht="12.75" customHeight="1" x14ac:dyDescent="0.2">
      <c r="A2905" s="6"/>
      <c r="B2905" s="421"/>
      <c r="C2905" s="114"/>
      <c r="D2905" s="758"/>
      <c r="E2905" s="85"/>
      <c r="F2905" s="59">
        <f t="shared" si="175"/>
        <v>0</v>
      </c>
    </row>
    <row r="2906" spans="1:6" ht="12.75" customHeight="1" x14ac:dyDescent="0.2">
      <c r="A2906" s="6"/>
      <c r="B2906" s="421"/>
      <c r="C2906" s="114"/>
      <c r="D2906" s="758"/>
      <c r="E2906" s="85"/>
      <c r="F2906" s="59">
        <f t="shared" si="175"/>
        <v>0</v>
      </c>
    </row>
    <row r="2907" spans="1:6" ht="12.75" customHeight="1" x14ac:dyDescent="0.2">
      <c r="A2907" s="3"/>
      <c r="C2907" s="114"/>
      <c r="D2907" s="759"/>
      <c r="E2907" s="85"/>
      <c r="F2907" s="59">
        <f t="shared" si="175"/>
        <v>0</v>
      </c>
    </row>
    <row r="2908" spans="1:6" ht="12.75" customHeight="1" x14ac:dyDescent="0.2">
      <c r="A2908" s="3"/>
      <c r="C2908" s="114"/>
      <c r="D2908" s="759"/>
      <c r="E2908" s="85"/>
      <c r="F2908" s="59">
        <f t="shared" si="175"/>
        <v>0</v>
      </c>
    </row>
    <row r="2909" spans="1:6" ht="12.75" customHeight="1" x14ac:dyDescent="0.2">
      <c r="A2909" s="3"/>
      <c r="B2909" s="86" t="s">
        <v>258</v>
      </c>
      <c r="C2909" s="87"/>
      <c r="D2909" s="88"/>
      <c r="E2909" s="89"/>
      <c r="F2909" s="90">
        <f>SUM(F2893:F2908)</f>
        <v>0</v>
      </c>
    </row>
    <row r="2910" spans="1:6" ht="12.75" customHeight="1" x14ac:dyDescent="0.2">
      <c r="A2910" s="3"/>
      <c r="B2910" s="91" t="s">
        <v>70</v>
      </c>
      <c r="C2910" s="15">
        <f>$D$8</f>
        <v>0</v>
      </c>
      <c r="D2910" s="92"/>
      <c r="E2910" s="93"/>
      <c r="F2910" s="94">
        <f>ROUND(F2909*C2910,2)</f>
        <v>0</v>
      </c>
    </row>
    <row r="2911" spans="1:6" ht="12.75" customHeight="1" x14ac:dyDescent="0.2">
      <c r="A2911" s="95"/>
      <c r="B2911" s="424" t="s">
        <v>259</v>
      </c>
      <c r="C2911" s="425"/>
      <c r="D2911" s="425"/>
      <c r="E2911" s="426"/>
      <c r="F2911" s="96">
        <f>F2909+F2910</f>
        <v>0</v>
      </c>
    </row>
    <row r="2912" spans="1:6" ht="12.75" customHeight="1" x14ac:dyDescent="0.2">
      <c r="A2912" s="1" t="s">
        <v>5</v>
      </c>
      <c r="B2912" s="418" t="s">
        <v>267</v>
      </c>
      <c r="C2912" s="419" t="s">
        <v>263</v>
      </c>
      <c r="D2912" s="419" t="s">
        <v>264</v>
      </c>
      <c r="E2912" s="420" t="s">
        <v>265</v>
      </c>
      <c r="F2912" s="57" t="s">
        <v>266</v>
      </c>
    </row>
    <row r="2913" spans="1:6" ht="12.75" customHeight="1" x14ac:dyDescent="0.2">
      <c r="A2913" s="3" t="str">
        <f>'A VII.'!$A$149</f>
        <v>2.7</v>
      </c>
      <c r="B2913" s="71" t="str">
        <f>VLOOKUP(A2913,'A VII.'!$A$10:$D$199,2,FALSE)</f>
        <v>BETONEIRA, CAPACIDADE NOMINAL DE 400L, MOTOR ELÉTRICO TRIFÁSICO DE  2CV - CHP</v>
      </c>
      <c r="C2913" s="114">
        <f>(0.034854/0.025)*0.02</f>
        <v>2.78832E-2</v>
      </c>
      <c r="D2913" s="759" t="str">
        <f>VLOOKUP(A2913,'A VII.'!$A$10:$D$199,3,FALSE)</f>
        <v>CHP</v>
      </c>
      <c r="E2913" s="85">
        <f>'A VII.'!$D$149</f>
        <v>0</v>
      </c>
      <c r="F2913" s="59">
        <f t="shared" ref="F2913:F2922" si="176">ROUND(C2913*E2913,2)</f>
        <v>0</v>
      </c>
    </row>
    <row r="2914" spans="1:6" ht="12.75" customHeight="1" x14ac:dyDescent="0.2">
      <c r="A2914" s="3" t="str">
        <f>'A VII.'!$A$148</f>
        <v>2.6</v>
      </c>
      <c r="B2914" s="74" t="str">
        <f>VLOOKUP(A2914,'A VII.'!$A$10:$D$199,2,FALSE)</f>
        <v>BETONEIRA, CAPACIDADE NOMINAL DE 400L, MOTOR ELÉTRICO TRIFÁSICO DE  2CV - CHI</v>
      </c>
      <c r="C2914" s="114">
        <f>(0.114296/0.025)*0.02</f>
        <v>9.1436799999999999E-2</v>
      </c>
      <c r="D2914" s="759" t="str">
        <f>VLOOKUP(A2914,'A VII.'!$A$10:$D$199,3,FALSE)</f>
        <v>CHI</v>
      </c>
      <c r="E2914" s="85">
        <f>'A VII.'!$D$148</f>
        <v>0</v>
      </c>
      <c r="F2914" s="59">
        <f t="shared" si="176"/>
        <v>0</v>
      </c>
    </row>
    <row r="2915" spans="1:6" ht="12.75" customHeight="1" x14ac:dyDescent="0.2">
      <c r="A2915" s="3"/>
      <c r="C2915" s="114"/>
      <c r="D2915" s="759"/>
      <c r="E2915" s="85"/>
      <c r="F2915" s="59">
        <f t="shared" si="176"/>
        <v>0</v>
      </c>
    </row>
    <row r="2916" spans="1:6" ht="12.75" customHeight="1" x14ac:dyDescent="0.2">
      <c r="A2916" s="3"/>
      <c r="C2916" s="114"/>
      <c r="D2916" s="759"/>
      <c r="E2916" s="85"/>
      <c r="F2916" s="59">
        <f t="shared" si="176"/>
        <v>0</v>
      </c>
    </row>
    <row r="2917" spans="1:6" ht="12.75" customHeight="1" x14ac:dyDescent="0.2">
      <c r="A2917" s="3"/>
      <c r="C2917" s="114"/>
      <c r="D2917" s="759"/>
      <c r="E2917" s="85"/>
      <c r="F2917" s="59">
        <f t="shared" si="176"/>
        <v>0</v>
      </c>
    </row>
    <row r="2918" spans="1:6" ht="12.75" customHeight="1" x14ac:dyDescent="0.2">
      <c r="A2918" s="3"/>
      <c r="C2918" s="114"/>
      <c r="D2918" s="759"/>
      <c r="E2918" s="85"/>
      <c r="F2918" s="59">
        <f t="shared" si="176"/>
        <v>0</v>
      </c>
    </row>
    <row r="2919" spans="1:6" ht="12.75" customHeight="1" x14ac:dyDescent="0.2">
      <c r="A2919" s="3"/>
      <c r="C2919" s="114"/>
      <c r="D2919" s="759"/>
      <c r="E2919" s="85"/>
      <c r="F2919" s="59">
        <f t="shared" si="176"/>
        <v>0</v>
      </c>
    </row>
    <row r="2920" spans="1:6" ht="12.75" customHeight="1" x14ac:dyDescent="0.2">
      <c r="A2920" s="3"/>
      <c r="C2920" s="114"/>
      <c r="D2920" s="759"/>
      <c r="E2920" s="85"/>
      <c r="F2920" s="59">
        <f t="shared" si="176"/>
        <v>0</v>
      </c>
    </row>
    <row r="2921" spans="1:6" ht="12.75" customHeight="1" x14ac:dyDescent="0.2">
      <c r="A2921" s="3"/>
      <c r="C2921" s="114"/>
      <c r="D2921" s="759"/>
      <c r="E2921" s="85"/>
      <c r="F2921" s="59">
        <f t="shared" si="176"/>
        <v>0</v>
      </c>
    </row>
    <row r="2922" spans="1:6" ht="12.75" customHeight="1" x14ac:dyDescent="0.2">
      <c r="A2922" s="3"/>
      <c r="C2922" s="114"/>
      <c r="D2922" s="759"/>
      <c r="E2922" s="85"/>
      <c r="F2922" s="59">
        <f t="shared" si="176"/>
        <v>0</v>
      </c>
    </row>
    <row r="2923" spans="1:6" ht="12.75" customHeight="1" x14ac:dyDescent="0.2">
      <c r="A2923" s="3"/>
      <c r="B2923" s="86" t="s">
        <v>258</v>
      </c>
      <c r="C2923" s="87"/>
      <c r="D2923" s="88"/>
      <c r="E2923" s="89"/>
      <c r="F2923" s="90">
        <f>SUM(F2913:F2922)</f>
        <v>0</v>
      </c>
    </row>
    <row r="2924" spans="1:6" ht="12.75" customHeight="1" x14ac:dyDescent="0.2">
      <c r="A2924" s="3"/>
      <c r="B2924" s="91" t="s">
        <v>70</v>
      </c>
      <c r="C2924" s="15">
        <f>$D$8</f>
        <v>0</v>
      </c>
      <c r="D2924" s="92"/>
      <c r="E2924" s="93"/>
      <c r="F2924" s="94">
        <f>ROUND(C2924*F2923,2)</f>
        <v>0</v>
      </c>
    </row>
    <row r="2925" spans="1:6" ht="12.75" customHeight="1" x14ac:dyDescent="0.2">
      <c r="A2925" s="95"/>
      <c r="B2925" s="424" t="s">
        <v>260</v>
      </c>
      <c r="C2925" s="425"/>
      <c r="D2925" s="425"/>
      <c r="E2925" s="426"/>
      <c r="F2925" s="96">
        <f>F2923+F2924</f>
        <v>0</v>
      </c>
    </row>
    <row r="2926" spans="1:6" ht="12.75" customHeight="1" x14ac:dyDescent="0.2">
      <c r="A2926" s="97" t="s">
        <v>54</v>
      </c>
      <c r="B2926" s="427" t="s">
        <v>268</v>
      </c>
      <c r="C2926" s="428" t="s">
        <v>263</v>
      </c>
      <c r="D2926" s="429" t="s">
        <v>264</v>
      </c>
      <c r="E2926" s="430" t="s">
        <v>265</v>
      </c>
      <c r="F2926" s="57" t="s">
        <v>266</v>
      </c>
    </row>
    <row r="2927" spans="1:6" ht="12.75" customHeight="1" x14ac:dyDescent="0.2">
      <c r="A2927" s="3" t="str">
        <f>'A VII.'!$A$192</f>
        <v>3.12</v>
      </c>
      <c r="B2927" s="74" t="s">
        <v>185</v>
      </c>
      <c r="C2927" s="114">
        <f>(0.78/0.025)*0.02</f>
        <v>0.624</v>
      </c>
      <c r="D2927" s="759" t="str">
        <f>VLOOKUP(A2927,'A VII.'!$A$10:$D$199,3,FALSE)</f>
        <v>H</v>
      </c>
      <c r="E2927" s="85">
        <f>'A VII.'!D192</f>
        <v>0</v>
      </c>
      <c r="F2927" s="59">
        <f t="shared" ref="F2927:F2933" si="177">ROUND(C2927*E2927,2)</f>
        <v>0</v>
      </c>
    </row>
    <row r="2928" spans="1:6" ht="12.75" customHeight="1" x14ac:dyDescent="0.2">
      <c r="A2928" s="3" t="str">
        <f>'A VII.'!$A$196</f>
        <v>3.16</v>
      </c>
      <c r="B2928" s="74" t="s">
        <v>189</v>
      </c>
      <c r="C2928" s="114">
        <f>((0.78+0.14915)/0.025)*0.02</f>
        <v>0.74331999999999998</v>
      </c>
      <c r="D2928" s="759" t="str">
        <f>VLOOKUP(A2928,'A VII.'!$A$10:$D$199,3,FALSE)</f>
        <v>H</v>
      </c>
      <c r="E2928" s="85">
        <f>'A VII.'!D196</f>
        <v>0</v>
      </c>
      <c r="F2928" s="59">
        <f t="shared" si="177"/>
        <v>0</v>
      </c>
    </row>
    <row r="2929" spans="1:6" ht="12.75" customHeight="1" x14ac:dyDescent="0.2">
      <c r="A2929" s="3"/>
      <c r="C2929" s="114"/>
      <c r="D2929" s="759"/>
      <c r="E2929" s="85"/>
      <c r="F2929" s="59">
        <f t="shared" si="177"/>
        <v>0</v>
      </c>
    </row>
    <row r="2930" spans="1:6" ht="12.75" customHeight="1" x14ac:dyDescent="0.2">
      <c r="A2930" s="3"/>
      <c r="C2930" s="114"/>
      <c r="D2930" s="759"/>
      <c r="E2930" s="85"/>
      <c r="F2930" s="59">
        <f t="shared" si="177"/>
        <v>0</v>
      </c>
    </row>
    <row r="2931" spans="1:6" ht="12.75" customHeight="1" x14ac:dyDescent="0.2">
      <c r="A2931" s="3"/>
      <c r="C2931" s="114"/>
      <c r="D2931" s="759"/>
      <c r="E2931" s="85"/>
      <c r="F2931" s="59">
        <f t="shared" si="177"/>
        <v>0</v>
      </c>
    </row>
    <row r="2932" spans="1:6" ht="12.75" customHeight="1" x14ac:dyDescent="0.2">
      <c r="A2932" s="3"/>
      <c r="C2932" s="114"/>
      <c r="D2932" s="759"/>
      <c r="E2932" s="85"/>
      <c r="F2932" s="59">
        <f t="shared" si="177"/>
        <v>0</v>
      </c>
    </row>
    <row r="2933" spans="1:6" ht="12.75" customHeight="1" x14ac:dyDescent="0.2">
      <c r="A2933" s="3"/>
      <c r="C2933" s="114"/>
      <c r="D2933" s="759"/>
      <c r="E2933" s="85"/>
      <c r="F2933" s="59">
        <f t="shared" si="177"/>
        <v>0</v>
      </c>
    </row>
    <row r="2934" spans="1:6" ht="12.75" customHeight="1" x14ac:dyDescent="0.2">
      <c r="A2934" s="3"/>
      <c r="B2934" s="86" t="s">
        <v>258</v>
      </c>
      <c r="C2934" s="87"/>
      <c r="D2934" s="88"/>
      <c r="E2934" s="89"/>
      <c r="F2934" s="90">
        <f>SUM(F2927:F2933)</f>
        <v>0</v>
      </c>
    </row>
    <row r="2935" spans="1:6" ht="12.75" customHeight="1" x14ac:dyDescent="0.2">
      <c r="A2935" s="3"/>
      <c r="B2935" s="91" t="s">
        <v>261</v>
      </c>
      <c r="C2935" s="15">
        <f>'A IX.'!$C$45</f>
        <v>0</v>
      </c>
      <c r="D2935" s="92"/>
      <c r="E2935" s="93"/>
      <c r="F2935" s="94">
        <f>ROUND(F2934*C2935,2)</f>
        <v>0</v>
      </c>
    </row>
    <row r="2936" spans="1:6" ht="12.75" customHeight="1" x14ac:dyDescent="0.2">
      <c r="A2936" s="3"/>
      <c r="B2936" s="91" t="s">
        <v>70</v>
      </c>
      <c r="C2936" s="15">
        <f>$D$8</f>
        <v>0</v>
      </c>
      <c r="D2936" s="92"/>
      <c r="E2936" s="93"/>
      <c r="F2936" s="94">
        <f>ROUND(SUM(F2934:F2935)*C2936,2)</f>
        <v>0</v>
      </c>
    </row>
    <row r="2937" spans="1:6" ht="12.75" customHeight="1" thickBot="1" x14ac:dyDescent="0.25">
      <c r="A2937" s="98"/>
      <c r="B2937" s="99" t="s">
        <v>262</v>
      </c>
      <c r="C2937" s="100"/>
      <c r="D2937" s="100"/>
      <c r="E2937" s="101"/>
      <c r="F2937" s="102">
        <f>SUM(F2934:F2936)</f>
        <v>0</v>
      </c>
    </row>
    <row r="2938" spans="1:6" ht="12.75" customHeight="1" thickBot="1" x14ac:dyDescent="0.25">
      <c r="A2938" s="81"/>
      <c r="B2938" s="82"/>
      <c r="C2938" s="83"/>
      <c r="D2938" s="83"/>
      <c r="E2938" s="84"/>
      <c r="F2938" s="103"/>
    </row>
    <row r="2939" spans="1:6" ht="30" customHeight="1" x14ac:dyDescent="0.2">
      <c r="A2939" s="5" t="str">
        <f>'A IV.A'!$A$94</f>
        <v>3.8.3</v>
      </c>
      <c r="B2939" s="416" t="str">
        <f>'A IV.A'!$B$94</f>
        <v xml:space="preserve">RECUPERAÇÃO E REGULARIZAÇÃO DO REVESTIMENTO EM EMBOÇO/MASSA ÚNICA/REBOCO </v>
      </c>
      <c r="C2939" s="526" t="s">
        <v>269</v>
      </c>
      <c r="D2939" s="527"/>
      <c r="E2939" s="417" t="str">
        <f>'A IV.A'!$C$94</f>
        <v>M2</v>
      </c>
      <c r="F2939" s="58">
        <f>ROUND(F2959+F2973+F2985,2)</f>
        <v>0</v>
      </c>
    </row>
    <row r="2940" spans="1:6" ht="12.75" customHeight="1" x14ac:dyDescent="0.2">
      <c r="A2940" s="1" t="s">
        <v>17</v>
      </c>
      <c r="B2940" s="418" t="s">
        <v>162</v>
      </c>
      <c r="C2940" s="419" t="s">
        <v>263</v>
      </c>
      <c r="D2940" s="419" t="s">
        <v>264</v>
      </c>
      <c r="E2940" s="420" t="s">
        <v>265</v>
      </c>
      <c r="F2940" s="57" t="s">
        <v>266</v>
      </c>
    </row>
    <row r="2941" spans="1:6" ht="12.75" customHeight="1" x14ac:dyDescent="0.2">
      <c r="A2941" s="6" t="str">
        <f>'A VII.'!$A$19</f>
        <v>1.10</v>
      </c>
      <c r="B2941" s="421" t="str">
        <f>VLOOKUP(A2941,'A VII.'!$A$10:$D$199,2,FALSE)</f>
        <v>AREIA MÉDIA LAVADA</v>
      </c>
      <c r="C2941" s="114">
        <f>1.216*0.005</f>
        <v>6.0800000000000003E-3</v>
      </c>
      <c r="D2941" s="757" t="str">
        <f>VLOOKUP(A2941,'A VII.'!$A$10:$D$199,3,FALSE)</f>
        <v>M3</v>
      </c>
      <c r="E2941" s="85">
        <f>'A VII.'!D19</f>
        <v>0</v>
      </c>
      <c r="F2941" s="59">
        <f>ROUND(C2941*E2941,2)</f>
        <v>0</v>
      </c>
    </row>
    <row r="2942" spans="1:6" ht="12.75" customHeight="1" x14ac:dyDescent="0.2">
      <c r="A2942" s="6" t="str">
        <f>'A VII.'!$A$29</f>
        <v>1.20</v>
      </c>
      <c r="B2942" s="421" t="str">
        <f>VLOOKUP(A2942,'A VII.'!$A$10:$D$199,2,FALSE)</f>
        <v>CAL HIDRATADA CH III - NBR 7175</v>
      </c>
      <c r="C2942" s="114">
        <f>162*0.005</f>
        <v>0.81</v>
      </c>
      <c r="D2942" s="757" t="str">
        <f>VLOOKUP(A2942,'A VII.'!$A$10:$D$199,3,FALSE)</f>
        <v>KG</v>
      </c>
      <c r="E2942" s="85">
        <f>'A VII.'!$D$29</f>
        <v>0</v>
      </c>
      <c r="F2942" s="59">
        <f t="shared" ref="F2942:F2956" si="178">ROUND(C2942*E2942,2)</f>
        <v>0</v>
      </c>
    </row>
    <row r="2943" spans="1:6" ht="12.75" customHeight="1" x14ac:dyDescent="0.2">
      <c r="A2943" s="6" t="str">
        <f>'A VII.'!$A$38</f>
        <v>1.29</v>
      </c>
      <c r="B2943" s="421" t="str">
        <f>VLOOKUP(A2943,'A VII.'!$A$10:$D$199,2,FALSE)</f>
        <v>CIMENTO PORTLAND CP II-E-32</v>
      </c>
      <c r="C2943" s="114">
        <f>162*0.005</f>
        <v>0.81</v>
      </c>
      <c r="D2943" s="757" t="str">
        <f>VLOOKUP(A2943,'A VII.'!$A$10:$D$199,3,FALSE)</f>
        <v>KG</v>
      </c>
      <c r="E2943" s="85">
        <f>'A VII.'!$D$38</f>
        <v>0</v>
      </c>
      <c r="F2943" s="59">
        <f t="shared" si="178"/>
        <v>0</v>
      </c>
    </row>
    <row r="2944" spans="1:6" ht="12.75" customHeight="1" x14ac:dyDescent="0.2">
      <c r="A2944" s="6"/>
      <c r="B2944" s="421"/>
      <c r="C2944" s="114"/>
      <c r="D2944" s="757"/>
      <c r="E2944" s="85"/>
      <c r="F2944" s="59">
        <f t="shared" si="178"/>
        <v>0</v>
      </c>
    </row>
    <row r="2945" spans="1:6" ht="12.75" customHeight="1" x14ac:dyDescent="0.2">
      <c r="A2945" s="6"/>
      <c r="B2945" s="421"/>
      <c r="C2945" s="114"/>
      <c r="D2945" s="757"/>
      <c r="E2945" s="85"/>
      <c r="F2945" s="59">
        <f t="shared" si="178"/>
        <v>0</v>
      </c>
    </row>
    <row r="2946" spans="1:6" ht="12.75" customHeight="1" x14ac:dyDescent="0.2">
      <c r="A2946" s="6"/>
      <c r="B2946" s="421"/>
      <c r="C2946" s="114"/>
      <c r="D2946" s="757"/>
      <c r="E2946" s="85"/>
      <c r="F2946" s="59">
        <f t="shared" si="178"/>
        <v>0</v>
      </c>
    </row>
    <row r="2947" spans="1:6" ht="12.75" customHeight="1" x14ac:dyDescent="0.2">
      <c r="A2947" s="6"/>
      <c r="B2947" s="421"/>
      <c r="C2947" s="114"/>
      <c r="D2947" s="757"/>
      <c r="E2947" s="85"/>
      <c r="F2947" s="59">
        <f t="shared" si="178"/>
        <v>0</v>
      </c>
    </row>
    <row r="2948" spans="1:6" ht="12.75" customHeight="1" x14ac:dyDescent="0.2">
      <c r="A2948" s="6"/>
      <c r="B2948" s="421"/>
      <c r="C2948" s="114"/>
      <c r="D2948" s="757"/>
      <c r="E2948" s="85"/>
      <c r="F2948" s="59">
        <f t="shared" si="178"/>
        <v>0</v>
      </c>
    </row>
    <row r="2949" spans="1:6" ht="12.75" customHeight="1" x14ac:dyDescent="0.2">
      <c r="A2949" s="6"/>
      <c r="B2949" s="421"/>
      <c r="C2949" s="114"/>
      <c r="D2949" s="757"/>
      <c r="E2949" s="85"/>
      <c r="F2949" s="59">
        <f t="shared" si="178"/>
        <v>0</v>
      </c>
    </row>
    <row r="2950" spans="1:6" ht="12.75" customHeight="1" x14ac:dyDescent="0.2">
      <c r="A2950" s="6"/>
      <c r="B2950" s="421"/>
      <c r="C2950" s="114"/>
      <c r="D2950" s="757"/>
      <c r="E2950" s="85"/>
      <c r="F2950" s="59">
        <f t="shared" si="178"/>
        <v>0</v>
      </c>
    </row>
    <row r="2951" spans="1:6" ht="12.75" customHeight="1" x14ac:dyDescent="0.2">
      <c r="A2951" s="6"/>
      <c r="B2951" s="421"/>
      <c r="C2951" s="114"/>
      <c r="D2951" s="757"/>
      <c r="E2951" s="85"/>
      <c r="F2951" s="59">
        <f t="shared" si="178"/>
        <v>0</v>
      </c>
    </row>
    <row r="2952" spans="1:6" ht="12.75" customHeight="1" x14ac:dyDescent="0.2">
      <c r="A2952" s="6"/>
      <c r="B2952" s="421"/>
      <c r="C2952" s="114"/>
      <c r="D2952" s="758"/>
      <c r="E2952" s="85"/>
      <c r="F2952" s="59">
        <f t="shared" si="178"/>
        <v>0</v>
      </c>
    </row>
    <row r="2953" spans="1:6" ht="12.75" customHeight="1" x14ac:dyDescent="0.2">
      <c r="A2953" s="6"/>
      <c r="B2953" s="421"/>
      <c r="C2953" s="114"/>
      <c r="D2953" s="758"/>
      <c r="E2953" s="85"/>
      <c r="F2953" s="59">
        <f t="shared" si="178"/>
        <v>0</v>
      </c>
    </row>
    <row r="2954" spans="1:6" ht="12.75" customHeight="1" x14ac:dyDescent="0.2">
      <c r="A2954" s="6"/>
      <c r="B2954" s="421"/>
      <c r="C2954" s="114"/>
      <c r="D2954" s="758"/>
      <c r="E2954" s="85"/>
      <c r="F2954" s="59">
        <f t="shared" si="178"/>
        <v>0</v>
      </c>
    </row>
    <row r="2955" spans="1:6" ht="12.75" customHeight="1" x14ac:dyDescent="0.2">
      <c r="A2955" s="3"/>
      <c r="C2955" s="114"/>
      <c r="D2955" s="759"/>
      <c r="E2955" s="85"/>
      <c r="F2955" s="59">
        <f t="shared" si="178"/>
        <v>0</v>
      </c>
    </row>
    <row r="2956" spans="1:6" ht="12.75" customHeight="1" x14ac:dyDescent="0.2">
      <c r="A2956" s="3"/>
      <c r="C2956" s="114"/>
      <c r="D2956" s="759"/>
      <c r="E2956" s="85"/>
      <c r="F2956" s="59">
        <f t="shared" si="178"/>
        <v>0</v>
      </c>
    </row>
    <row r="2957" spans="1:6" ht="12.75" customHeight="1" x14ac:dyDescent="0.2">
      <c r="A2957" s="3"/>
      <c r="B2957" s="86" t="s">
        <v>258</v>
      </c>
      <c r="C2957" s="87"/>
      <c r="D2957" s="88"/>
      <c r="E2957" s="89"/>
      <c r="F2957" s="90">
        <f>SUM(F2941:F2956)</f>
        <v>0</v>
      </c>
    </row>
    <row r="2958" spans="1:6" ht="12.75" customHeight="1" x14ac:dyDescent="0.2">
      <c r="A2958" s="3"/>
      <c r="B2958" s="91" t="s">
        <v>70</v>
      </c>
      <c r="C2958" s="15">
        <f>$D$8</f>
        <v>0</v>
      </c>
      <c r="D2958" s="92"/>
      <c r="E2958" s="93"/>
      <c r="F2958" s="94">
        <f>ROUND(F2957*C2958,2)</f>
        <v>0</v>
      </c>
    </row>
    <row r="2959" spans="1:6" ht="12.75" customHeight="1" x14ac:dyDescent="0.2">
      <c r="A2959" s="95"/>
      <c r="B2959" s="424" t="s">
        <v>259</v>
      </c>
      <c r="C2959" s="425"/>
      <c r="D2959" s="425"/>
      <c r="E2959" s="426"/>
      <c r="F2959" s="96">
        <f>F2957+F2958</f>
        <v>0</v>
      </c>
    </row>
    <row r="2960" spans="1:6" ht="12.75" customHeight="1" x14ac:dyDescent="0.2">
      <c r="A2960" s="1" t="s">
        <v>5</v>
      </c>
      <c r="B2960" s="418" t="s">
        <v>267</v>
      </c>
      <c r="C2960" s="419" t="s">
        <v>263</v>
      </c>
      <c r="D2960" s="419" t="s">
        <v>264</v>
      </c>
      <c r="E2960" s="420" t="s">
        <v>265</v>
      </c>
      <c r="F2960" s="57" t="s">
        <v>266</v>
      </c>
    </row>
    <row r="2961" spans="1:6" ht="12.75" customHeight="1" x14ac:dyDescent="0.2">
      <c r="A2961" s="3"/>
      <c r="B2961" s="71"/>
      <c r="C2961" s="114"/>
      <c r="D2961" s="759"/>
      <c r="E2961" s="85"/>
      <c r="F2961" s="59">
        <f t="shared" ref="F2961:F2970" si="179">ROUND(C2961*E2961,2)</f>
        <v>0</v>
      </c>
    </row>
    <row r="2962" spans="1:6" ht="12.75" customHeight="1" x14ac:dyDescent="0.2">
      <c r="A2962" s="3"/>
      <c r="C2962" s="114"/>
      <c r="D2962" s="759"/>
      <c r="E2962" s="85"/>
      <c r="F2962" s="59">
        <f t="shared" si="179"/>
        <v>0</v>
      </c>
    </row>
    <row r="2963" spans="1:6" ht="12.75" customHeight="1" x14ac:dyDescent="0.2">
      <c r="A2963" s="3"/>
      <c r="C2963" s="114"/>
      <c r="D2963" s="759"/>
      <c r="E2963" s="85"/>
      <c r="F2963" s="59">
        <f t="shared" si="179"/>
        <v>0</v>
      </c>
    </row>
    <row r="2964" spans="1:6" ht="12.75" customHeight="1" x14ac:dyDescent="0.2">
      <c r="A2964" s="3"/>
      <c r="C2964" s="114"/>
      <c r="D2964" s="759"/>
      <c r="E2964" s="85"/>
      <c r="F2964" s="59">
        <f t="shared" si="179"/>
        <v>0</v>
      </c>
    </row>
    <row r="2965" spans="1:6" ht="12.75" customHeight="1" x14ac:dyDescent="0.2">
      <c r="A2965" s="3"/>
      <c r="C2965" s="114"/>
      <c r="D2965" s="759"/>
      <c r="E2965" s="85"/>
      <c r="F2965" s="59">
        <f t="shared" si="179"/>
        <v>0</v>
      </c>
    </row>
    <row r="2966" spans="1:6" ht="12.75" customHeight="1" x14ac:dyDescent="0.2">
      <c r="A2966" s="3"/>
      <c r="C2966" s="114"/>
      <c r="D2966" s="759"/>
      <c r="E2966" s="85"/>
      <c r="F2966" s="59">
        <f t="shared" si="179"/>
        <v>0</v>
      </c>
    </row>
    <row r="2967" spans="1:6" ht="12.75" customHeight="1" x14ac:dyDescent="0.2">
      <c r="A2967" s="3"/>
      <c r="C2967" s="114"/>
      <c r="D2967" s="759"/>
      <c r="E2967" s="85"/>
      <c r="F2967" s="59">
        <f t="shared" si="179"/>
        <v>0</v>
      </c>
    </row>
    <row r="2968" spans="1:6" ht="12.75" customHeight="1" x14ac:dyDescent="0.2">
      <c r="A2968" s="3"/>
      <c r="C2968" s="114"/>
      <c r="D2968" s="759"/>
      <c r="E2968" s="85"/>
      <c r="F2968" s="59">
        <f t="shared" si="179"/>
        <v>0</v>
      </c>
    </row>
    <row r="2969" spans="1:6" ht="12.75" customHeight="1" x14ac:dyDescent="0.2">
      <c r="A2969" s="3"/>
      <c r="C2969" s="114"/>
      <c r="D2969" s="759"/>
      <c r="E2969" s="85"/>
      <c r="F2969" s="59">
        <f t="shared" si="179"/>
        <v>0</v>
      </c>
    </row>
    <row r="2970" spans="1:6" ht="12.75" customHeight="1" x14ac:dyDescent="0.2">
      <c r="A2970" s="3"/>
      <c r="C2970" s="114"/>
      <c r="D2970" s="759"/>
      <c r="E2970" s="85"/>
      <c r="F2970" s="59">
        <f t="shared" si="179"/>
        <v>0</v>
      </c>
    </row>
    <row r="2971" spans="1:6" ht="12.75" customHeight="1" x14ac:dyDescent="0.2">
      <c r="A2971" s="3"/>
      <c r="B2971" s="86" t="s">
        <v>258</v>
      </c>
      <c r="C2971" s="87"/>
      <c r="D2971" s="88"/>
      <c r="E2971" s="89"/>
      <c r="F2971" s="90">
        <f>SUM(F2961:F2970)</f>
        <v>0</v>
      </c>
    </row>
    <row r="2972" spans="1:6" ht="12.75" customHeight="1" x14ac:dyDescent="0.2">
      <c r="A2972" s="3"/>
      <c r="B2972" s="91" t="s">
        <v>70</v>
      </c>
      <c r="C2972" s="15">
        <f>$D$8</f>
        <v>0</v>
      </c>
      <c r="D2972" s="92"/>
      <c r="E2972" s="93"/>
      <c r="F2972" s="94">
        <f>ROUND(C2972*F2971,2)</f>
        <v>0</v>
      </c>
    </row>
    <row r="2973" spans="1:6" ht="12.75" customHeight="1" x14ac:dyDescent="0.2">
      <c r="A2973" s="95"/>
      <c r="B2973" s="424" t="s">
        <v>260</v>
      </c>
      <c r="C2973" s="425"/>
      <c r="D2973" s="425"/>
      <c r="E2973" s="426"/>
      <c r="F2973" s="96">
        <f>F2971+F2972</f>
        <v>0</v>
      </c>
    </row>
    <row r="2974" spans="1:6" ht="12.75" customHeight="1" x14ac:dyDescent="0.2">
      <c r="A2974" s="97" t="s">
        <v>54</v>
      </c>
      <c r="B2974" s="427" t="s">
        <v>268</v>
      </c>
      <c r="C2974" s="428" t="s">
        <v>263</v>
      </c>
      <c r="D2974" s="429" t="s">
        <v>264</v>
      </c>
      <c r="E2974" s="430" t="s">
        <v>265</v>
      </c>
      <c r="F2974" s="57" t="s">
        <v>266</v>
      </c>
    </row>
    <row r="2975" spans="1:6" ht="12.75" customHeight="1" x14ac:dyDescent="0.2">
      <c r="A2975" s="3" t="str">
        <f>'A VII.'!$A$181</f>
        <v>3.1</v>
      </c>
      <c r="B2975" s="74" t="s">
        <v>174</v>
      </c>
      <c r="C2975" s="114">
        <f>(0.5+17.2246*0.005)*1.2</f>
        <v>0.70334759999999996</v>
      </c>
      <c r="D2975" s="759" t="str">
        <f>VLOOKUP(A2975,'A VII.'!$A$10:$D$199,3,FALSE)</f>
        <v>H</v>
      </c>
      <c r="E2975" s="85">
        <f>'A VII.'!$D$181</f>
        <v>0</v>
      </c>
      <c r="F2975" s="59">
        <f t="shared" ref="F2975:F2981" si="180">ROUND(C2975*E2975,2)</f>
        <v>0</v>
      </c>
    </row>
    <row r="2976" spans="1:6" ht="12.75" customHeight="1" x14ac:dyDescent="0.2">
      <c r="A2976" s="3" t="str">
        <f>'A VII.'!$A$192</f>
        <v>3.12</v>
      </c>
      <c r="B2976" s="74" t="s">
        <v>185</v>
      </c>
      <c r="C2976" s="114">
        <f>1.2*0.5</f>
        <v>0.6</v>
      </c>
      <c r="D2976" s="759" t="str">
        <f>VLOOKUP(A2976,'A VII.'!$A$10:$D$199,3,FALSE)</f>
        <v>H</v>
      </c>
      <c r="E2976" s="85">
        <f>'A VII.'!$D$192</f>
        <v>0</v>
      </c>
      <c r="F2976" s="59">
        <f t="shared" si="180"/>
        <v>0</v>
      </c>
    </row>
    <row r="2977" spans="1:6" ht="12.75" customHeight="1" x14ac:dyDescent="0.2">
      <c r="A2977" s="3"/>
      <c r="C2977" s="114"/>
      <c r="D2977" s="759"/>
      <c r="E2977" s="85"/>
      <c r="F2977" s="59">
        <f t="shared" si="180"/>
        <v>0</v>
      </c>
    </row>
    <row r="2978" spans="1:6" ht="12.75" customHeight="1" x14ac:dyDescent="0.2">
      <c r="A2978" s="3"/>
      <c r="C2978" s="114"/>
      <c r="D2978" s="759"/>
      <c r="E2978" s="85"/>
      <c r="F2978" s="59">
        <f t="shared" si="180"/>
        <v>0</v>
      </c>
    </row>
    <row r="2979" spans="1:6" ht="12.75" customHeight="1" x14ac:dyDescent="0.2">
      <c r="A2979" s="3"/>
      <c r="C2979" s="114"/>
      <c r="D2979" s="759"/>
      <c r="E2979" s="85"/>
      <c r="F2979" s="59">
        <f t="shared" si="180"/>
        <v>0</v>
      </c>
    </row>
    <row r="2980" spans="1:6" ht="12.75" customHeight="1" x14ac:dyDescent="0.2">
      <c r="A2980" s="3"/>
      <c r="C2980" s="114"/>
      <c r="D2980" s="759"/>
      <c r="E2980" s="85"/>
      <c r="F2980" s="59">
        <f t="shared" si="180"/>
        <v>0</v>
      </c>
    </row>
    <row r="2981" spans="1:6" ht="12.75" customHeight="1" x14ac:dyDescent="0.2">
      <c r="A2981" s="3"/>
      <c r="C2981" s="114"/>
      <c r="D2981" s="759"/>
      <c r="E2981" s="85"/>
      <c r="F2981" s="59">
        <f t="shared" si="180"/>
        <v>0</v>
      </c>
    </row>
    <row r="2982" spans="1:6" ht="12.75" customHeight="1" x14ac:dyDescent="0.2">
      <c r="A2982" s="3"/>
      <c r="B2982" s="86" t="s">
        <v>258</v>
      </c>
      <c r="C2982" s="87"/>
      <c r="D2982" s="88"/>
      <c r="E2982" s="89"/>
      <c r="F2982" s="90">
        <f>SUM(F2975:F2981)</f>
        <v>0</v>
      </c>
    </row>
    <row r="2983" spans="1:6" ht="12.75" customHeight="1" x14ac:dyDescent="0.2">
      <c r="A2983" s="3"/>
      <c r="B2983" s="91" t="s">
        <v>261</v>
      </c>
      <c r="C2983" s="15">
        <f>'A IX.'!$C$45</f>
        <v>0</v>
      </c>
      <c r="D2983" s="92"/>
      <c r="E2983" s="93"/>
      <c r="F2983" s="94">
        <f>ROUND(F2982*C2983,2)</f>
        <v>0</v>
      </c>
    </row>
    <row r="2984" spans="1:6" ht="12.75" customHeight="1" x14ac:dyDescent="0.2">
      <c r="A2984" s="3"/>
      <c r="B2984" s="91" t="s">
        <v>70</v>
      </c>
      <c r="C2984" s="15">
        <f>$D$8</f>
        <v>0</v>
      </c>
      <c r="D2984" s="92"/>
      <c r="E2984" s="93"/>
      <c r="F2984" s="94">
        <f>ROUND(SUM(F2982:F2983)*C2984,2)</f>
        <v>0</v>
      </c>
    </row>
    <row r="2985" spans="1:6" ht="12.75" customHeight="1" thickBot="1" x14ac:dyDescent="0.25">
      <c r="A2985" s="98"/>
      <c r="B2985" s="99" t="s">
        <v>262</v>
      </c>
      <c r="C2985" s="100"/>
      <c r="D2985" s="100"/>
      <c r="E2985" s="101"/>
      <c r="F2985" s="102">
        <f>SUM(F2982:F2984)</f>
        <v>0</v>
      </c>
    </row>
    <row r="2986" spans="1:6" ht="12.75" customHeight="1" thickBot="1" x14ac:dyDescent="0.25">
      <c r="A2986" s="81"/>
      <c r="B2986" s="82"/>
      <c r="C2986" s="83"/>
      <c r="D2986" s="83"/>
      <c r="E2986" s="84"/>
      <c r="F2986" s="103"/>
    </row>
    <row r="2987" spans="1:6" ht="30" customHeight="1" x14ac:dyDescent="0.2">
      <c r="A2987" s="5" t="str">
        <f>'A IV.A'!A96</f>
        <v>3.9.1</v>
      </c>
      <c r="B2987" s="416" t="str">
        <f>'A IV.A'!B96</f>
        <v>AZULEJO CERÂMICO ESMALTADO EXTRA, ASSENTADO COM ARGAMASSA COLANTE, JUNTAS A PRUMO, INCLUSO REJUNTAMENTO</v>
      </c>
      <c r="C2987" s="526" t="s">
        <v>269</v>
      </c>
      <c r="D2987" s="527"/>
      <c r="E2987" s="417" t="str">
        <f>'A IV.A'!$C$96</f>
        <v>M2</v>
      </c>
      <c r="F2987" s="58">
        <f>ROUND(F3007+F3021+F3033,2)</f>
        <v>0</v>
      </c>
    </row>
    <row r="2988" spans="1:6" ht="12.75" customHeight="1" x14ac:dyDescent="0.2">
      <c r="A2988" s="1" t="s">
        <v>17</v>
      </c>
      <c r="B2988" s="418" t="s">
        <v>162</v>
      </c>
      <c r="C2988" s="419" t="s">
        <v>263</v>
      </c>
      <c r="D2988" s="419" t="s">
        <v>264</v>
      </c>
      <c r="E2988" s="420" t="s">
        <v>265</v>
      </c>
      <c r="F2988" s="57" t="s">
        <v>266</v>
      </c>
    </row>
    <row r="2989" spans="1:6" ht="12.75" customHeight="1" x14ac:dyDescent="0.2">
      <c r="A2989" s="6" t="str">
        <f>'A VII.'!$A$20</f>
        <v>1.11</v>
      </c>
      <c r="B2989" s="421" t="str">
        <f>VLOOKUP(A2989,'A VII.'!$A$10:$D$199,2,FALSE)</f>
        <v>ARGAMASSA COLANTE TIPO AC III</v>
      </c>
      <c r="C2989" s="114">
        <v>4.8600000000000003</v>
      </c>
      <c r="D2989" s="757" t="str">
        <f>VLOOKUP(A2989,'A VII.'!$A$10:$D$199,3,FALSE)</f>
        <v>KG</v>
      </c>
      <c r="E2989" s="85">
        <f>'A VII.'!$D$20</f>
        <v>0</v>
      </c>
      <c r="F2989" s="59">
        <f>ROUND(C2989*E2989,2)</f>
        <v>0</v>
      </c>
    </row>
    <row r="2990" spans="1:6" ht="12.75" customHeight="1" x14ac:dyDescent="0.2">
      <c r="A2990" s="6" t="str">
        <f>'A VII.'!$A$21</f>
        <v>1.12</v>
      </c>
      <c r="B2990" s="421" t="str">
        <f>VLOOKUP(A2990,'A VII.'!$A$10:$D$199,2,FALSE)</f>
        <v>REVESTIMENTO EM CERAMICA ESMALTADA EXTRA, PEI MAIOR OU IGUAL A 4 FORMATO MAIOR A 2025CM2</v>
      </c>
      <c r="C2990" s="114">
        <v>1.06</v>
      </c>
      <c r="D2990" s="757" t="str">
        <f>VLOOKUP(A2990,'A VII.'!$A$10:$D$199,3,FALSE)</f>
        <v>M2</v>
      </c>
      <c r="E2990" s="85">
        <f>'A VII.'!$D$21</f>
        <v>0</v>
      </c>
      <c r="F2990" s="59">
        <f t="shared" ref="F2990:F3004" si="181">ROUND(C2990*E2990,2)</f>
        <v>0</v>
      </c>
    </row>
    <row r="2991" spans="1:6" ht="12.75" customHeight="1" x14ac:dyDescent="0.2">
      <c r="A2991" s="6" t="str">
        <f>'A VII.'!$A$36</f>
        <v>1.27</v>
      </c>
      <c r="B2991" s="421" t="str">
        <f>VLOOKUP(A2991,'A VII.'!$A$10:$D$199,2,FALSE)</f>
        <v>REJUNTE EPOXI BRANCO</v>
      </c>
      <c r="C2991" s="114">
        <v>0.42</v>
      </c>
      <c r="D2991" s="757" t="str">
        <f>VLOOKUP(A2991,'A VII.'!$A$10:$D$199,3,FALSE)</f>
        <v>KG</v>
      </c>
      <c r="E2991" s="85">
        <f>'A VII.'!$D$36</f>
        <v>0</v>
      </c>
      <c r="F2991" s="59">
        <f t="shared" si="181"/>
        <v>0</v>
      </c>
    </row>
    <row r="2992" spans="1:6" ht="12.75" customHeight="1" x14ac:dyDescent="0.2">
      <c r="A2992" s="6"/>
      <c r="B2992" s="421"/>
      <c r="C2992" s="114"/>
      <c r="D2992" s="757"/>
      <c r="E2992" s="85"/>
      <c r="F2992" s="59">
        <f t="shared" si="181"/>
        <v>0</v>
      </c>
    </row>
    <row r="2993" spans="1:6" ht="12.75" customHeight="1" x14ac:dyDescent="0.2">
      <c r="A2993" s="6"/>
      <c r="B2993" s="421"/>
      <c r="C2993" s="114"/>
      <c r="D2993" s="757"/>
      <c r="E2993" s="85"/>
      <c r="F2993" s="59">
        <f t="shared" si="181"/>
        <v>0</v>
      </c>
    </row>
    <row r="2994" spans="1:6" ht="12.75" customHeight="1" x14ac:dyDescent="0.2">
      <c r="A2994" s="6"/>
      <c r="B2994" s="421"/>
      <c r="C2994" s="114"/>
      <c r="D2994" s="757"/>
      <c r="E2994" s="85"/>
      <c r="F2994" s="59">
        <f t="shared" si="181"/>
        <v>0</v>
      </c>
    </row>
    <row r="2995" spans="1:6" ht="12.75" customHeight="1" x14ac:dyDescent="0.2">
      <c r="A2995" s="6"/>
      <c r="B2995" s="421"/>
      <c r="C2995" s="114"/>
      <c r="D2995" s="757"/>
      <c r="E2995" s="85"/>
      <c r="F2995" s="59">
        <f t="shared" si="181"/>
        <v>0</v>
      </c>
    </row>
    <row r="2996" spans="1:6" ht="12.75" customHeight="1" x14ac:dyDescent="0.2">
      <c r="A2996" s="6"/>
      <c r="B2996" s="421"/>
      <c r="C2996" s="114"/>
      <c r="D2996" s="757"/>
      <c r="E2996" s="85"/>
      <c r="F2996" s="59">
        <f t="shared" si="181"/>
        <v>0</v>
      </c>
    </row>
    <row r="2997" spans="1:6" ht="12.75" customHeight="1" x14ac:dyDescent="0.2">
      <c r="A2997" s="6"/>
      <c r="B2997" s="421"/>
      <c r="C2997" s="114"/>
      <c r="D2997" s="757"/>
      <c r="E2997" s="85"/>
      <c r="F2997" s="59">
        <f t="shared" si="181"/>
        <v>0</v>
      </c>
    </row>
    <row r="2998" spans="1:6" ht="12.75" customHeight="1" x14ac:dyDescent="0.2">
      <c r="A2998" s="6"/>
      <c r="B2998" s="421"/>
      <c r="C2998" s="114"/>
      <c r="D2998" s="757"/>
      <c r="E2998" s="85"/>
      <c r="F2998" s="59">
        <f t="shared" si="181"/>
        <v>0</v>
      </c>
    </row>
    <row r="2999" spans="1:6" ht="12.75" customHeight="1" x14ac:dyDescent="0.2">
      <c r="A2999" s="6"/>
      <c r="B2999" s="421"/>
      <c r="C2999" s="114"/>
      <c r="D2999" s="757"/>
      <c r="E2999" s="85"/>
      <c r="F2999" s="59">
        <f t="shared" si="181"/>
        <v>0</v>
      </c>
    </row>
    <row r="3000" spans="1:6" ht="12.75" customHeight="1" x14ac:dyDescent="0.2">
      <c r="A3000" s="6"/>
      <c r="B3000" s="421"/>
      <c r="C3000" s="114"/>
      <c r="D3000" s="758"/>
      <c r="E3000" s="85"/>
      <c r="F3000" s="59">
        <f t="shared" si="181"/>
        <v>0</v>
      </c>
    </row>
    <row r="3001" spans="1:6" ht="12.75" customHeight="1" x14ac:dyDescent="0.2">
      <c r="A3001" s="6"/>
      <c r="B3001" s="421"/>
      <c r="C3001" s="114"/>
      <c r="D3001" s="758"/>
      <c r="E3001" s="85"/>
      <c r="F3001" s="59">
        <f t="shared" si="181"/>
        <v>0</v>
      </c>
    </row>
    <row r="3002" spans="1:6" ht="12.75" customHeight="1" x14ac:dyDescent="0.2">
      <c r="A3002" s="6"/>
      <c r="B3002" s="421"/>
      <c r="C3002" s="114"/>
      <c r="D3002" s="758"/>
      <c r="E3002" s="85"/>
      <c r="F3002" s="59">
        <f t="shared" si="181"/>
        <v>0</v>
      </c>
    </row>
    <row r="3003" spans="1:6" ht="12.75" customHeight="1" x14ac:dyDescent="0.2">
      <c r="A3003" s="3"/>
      <c r="C3003" s="114"/>
      <c r="D3003" s="759"/>
      <c r="E3003" s="85"/>
      <c r="F3003" s="59">
        <f t="shared" si="181"/>
        <v>0</v>
      </c>
    </row>
    <row r="3004" spans="1:6" ht="12.75" customHeight="1" x14ac:dyDescent="0.2">
      <c r="A3004" s="3"/>
      <c r="C3004" s="114"/>
      <c r="D3004" s="759"/>
      <c r="E3004" s="85"/>
      <c r="F3004" s="59">
        <f t="shared" si="181"/>
        <v>0</v>
      </c>
    </row>
    <row r="3005" spans="1:6" ht="12.75" customHeight="1" x14ac:dyDescent="0.2">
      <c r="A3005" s="3"/>
      <c r="B3005" s="86" t="s">
        <v>258</v>
      </c>
      <c r="C3005" s="87"/>
      <c r="D3005" s="88"/>
      <c r="E3005" s="89"/>
      <c r="F3005" s="90">
        <f>SUM(F2989:F3004)</f>
        <v>0</v>
      </c>
    </row>
    <row r="3006" spans="1:6" ht="12.75" customHeight="1" x14ac:dyDescent="0.2">
      <c r="A3006" s="3"/>
      <c r="B3006" s="91" t="s">
        <v>70</v>
      </c>
      <c r="C3006" s="15">
        <f>$D$8</f>
        <v>0</v>
      </c>
      <c r="D3006" s="92"/>
      <c r="E3006" s="93"/>
      <c r="F3006" s="94">
        <f>ROUND(F3005*C3006,2)</f>
        <v>0</v>
      </c>
    </row>
    <row r="3007" spans="1:6" ht="12.75" customHeight="1" x14ac:dyDescent="0.2">
      <c r="A3007" s="95"/>
      <c r="B3007" s="424" t="s">
        <v>259</v>
      </c>
      <c r="C3007" s="425"/>
      <c r="D3007" s="425"/>
      <c r="E3007" s="426"/>
      <c r="F3007" s="96">
        <f>F3005+F3006</f>
        <v>0</v>
      </c>
    </row>
    <row r="3008" spans="1:6" ht="12.75" customHeight="1" x14ac:dyDescent="0.2">
      <c r="A3008" s="1" t="s">
        <v>5</v>
      </c>
      <c r="B3008" s="418" t="s">
        <v>267</v>
      </c>
      <c r="C3008" s="419" t="s">
        <v>263</v>
      </c>
      <c r="D3008" s="419" t="s">
        <v>264</v>
      </c>
      <c r="E3008" s="420" t="s">
        <v>265</v>
      </c>
      <c r="F3008" s="57" t="s">
        <v>266</v>
      </c>
    </row>
    <row r="3009" spans="1:6" ht="12.75" customHeight="1" x14ac:dyDescent="0.2">
      <c r="A3009" s="3"/>
      <c r="B3009" s="71"/>
      <c r="C3009" s="114"/>
      <c r="D3009" s="759"/>
      <c r="E3009" s="85"/>
      <c r="F3009" s="59">
        <f t="shared" ref="F3009:F3018" si="182">ROUND(C3009*E3009,2)</f>
        <v>0</v>
      </c>
    </row>
    <row r="3010" spans="1:6" ht="12.75" customHeight="1" x14ac:dyDescent="0.2">
      <c r="A3010" s="3"/>
      <c r="C3010" s="114"/>
      <c r="D3010" s="759"/>
      <c r="E3010" s="85"/>
      <c r="F3010" s="59">
        <f t="shared" si="182"/>
        <v>0</v>
      </c>
    </row>
    <row r="3011" spans="1:6" ht="12.75" customHeight="1" x14ac:dyDescent="0.2">
      <c r="A3011" s="3"/>
      <c r="C3011" s="114"/>
      <c r="D3011" s="759"/>
      <c r="E3011" s="85"/>
      <c r="F3011" s="59">
        <f t="shared" si="182"/>
        <v>0</v>
      </c>
    </row>
    <row r="3012" spans="1:6" ht="12.75" customHeight="1" x14ac:dyDescent="0.2">
      <c r="A3012" s="3"/>
      <c r="C3012" s="114"/>
      <c r="D3012" s="759"/>
      <c r="E3012" s="85"/>
      <c r="F3012" s="59">
        <f t="shared" si="182"/>
        <v>0</v>
      </c>
    </row>
    <row r="3013" spans="1:6" ht="12.75" customHeight="1" x14ac:dyDescent="0.2">
      <c r="A3013" s="3"/>
      <c r="C3013" s="114"/>
      <c r="D3013" s="759"/>
      <c r="E3013" s="85"/>
      <c r="F3013" s="59">
        <f t="shared" si="182"/>
        <v>0</v>
      </c>
    </row>
    <row r="3014" spans="1:6" ht="12.75" customHeight="1" x14ac:dyDescent="0.2">
      <c r="A3014" s="3"/>
      <c r="C3014" s="114"/>
      <c r="D3014" s="759"/>
      <c r="E3014" s="85"/>
      <c r="F3014" s="59">
        <f t="shared" si="182"/>
        <v>0</v>
      </c>
    </row>
    <row r="3015" spans="1:6" ht="12.75" customHeight="1" x14ac:dyDescent="0.2">
      <c r="A3015" s="3"/>
      <c r="C3015" s="114"/>
      <c r="D3015" s="759"/>
      <c r="E3015" s="85"/>
      <c r="F3015" s="59">
        <f t="shared" si="182"/>
        <v>0</v>
      </c>
    </row>
    <row r="3016" spans="1:6" ht="12.75" customHeight="1" x14ac:dyDescent="0.2">
      <c r="A3016" s="3"/>
      <c r="C3016" s="114"/>
      <c r="D3016" s="759"/>
      <c r="E3016" s="85"/>
      <c r="F3016" s="59">
        <f t="shared" si="182"/>
        <v>0</v>
      </c>
    </row>
    <row r="3017" spans="1:6" ht="12.75" customHeight="1" x14ac:dyDescent="0.2">
      <c r="A3017" s="3"/>
      <c r="C3017" s="114"/>
      <c r="D3017" s="759"/>
      <c r="E3017" s="85"/>
      <c r="F3017" s="59">
        <f t="shared" si="182"/>
        <v>0</v>
      </c>
    </row>
    <row r="3018" spans="1:6" ht="12.75" customHeight="1" x14ac:dyDescent="0.2">
      <c r="A3018" s="3"/>
      <c r="C3018" s="114"/>
      <c r="D3018" s="759"/>
      <c r="E3018" s="85"/>
      <c r="F3018" s="59">
        <f t="shared" si="182"/>
        <v>0</v>
      </c>
    </row>
    <row r="3019" spans="1:6" ht="12.75" customHeight="1" x14ac:dyDescent="0.2">
      <c r="A3019" s="3"/>
      <c r="B3019" s="86" t="s">
        <v>258</v>
      </c>
      <c r="C3019" s="87"/>
      <c r="D3019" s="88"/>
      <c r="E3019" s="89"/>
      <c r="F3019" s="90">
        <f>SUM(F3009:F3018)</f>
        <v>0</v>
      </c>
    </row>
    <row r="3020" spans="1:6" ht="12.75" customHeight="1" x14ac:dyDescent="0.2">
      <c r="A3020" s="3"/>
      <c r="B3020" s="91" t="s">
        <v>70</v>
      </c>
      <c r="C3020" s="15">
        <f>$D$8</f>
        <v>0</v>
      </c>
      <c r="D3020" s="92"/>
      <c r="E3020" s="93"/>
      <c r="F3020" s="94">
        <f>ROUND(C3020*F3019,2)</f>
        <v>0</v>
      </c>
    </row>
    <row r="3021" spans="1:6" ht="12.75" customHeight="1" x14ac:dyDescent="0.2">
      <c r="A3021" s="95"/>
      <c r="B3021" s="424" t="s">
        <v>260</v>
      </c>
      <c r="C3021" s="425"/>
      <c r="D3021" s="425"/>
      <c r="E3021" s="426"/>
      <c r="F3021" s="96">
        <f>F3019+F3020</f>
        <v>0</v>
      </c>
    </row>
    <row r="3022" spans="1:6" ht="12.75" customHeight="1" x14ac:dyDescent="0.2">
      <c r="A3022" s="97" t="s">
        <v>54</v>
      </c>
      <c r="B3022" s="427" t="s">
        <v>268</v>
      </c>
      <c r="C3022" s="428" t="s">
        <v>263</v>
      </c>
      <c r="D3022" s="429" t="s">
        <v>264</v>
      </c>
      <c r="E3022" s="430" t="s">
        <v>265</v>
      </c>
      <c r="F3022" s="57" t="s">
        <v>266</v>
      </c>
    </row>
    <row r="3023" spans="1:6" ht="12.75" customHeight="1" x14ac:dyDescent="0.2">
      <c r="A3023" s="3" t="str">
        <f>'A VII.'!$A$181</f>
        <v>3.1</v>
      </c>
      <c r="B3023" s="74" t="s">
        <v>174</v>
      </c>
      <c r="C3023" s="114">
        <v>0.37</v>
      </c>
      <c r="D3023" s="759" t="str">
        <f>VLOOKUP(A3023,'A VII.'!$A$10:$D$199,3,FALSE)</f>
        <v>H</v>
      </c>
      <c r="E3023" s="85">
        <f>'A VII.'!$D$181</f>
        <v>0</v>
      </c>
      <c r="F3023" s="59">
        <f t="shared" ref="F3023:F3029" si="183">ROUND(C3023*E3023,2)</f>
        <v>0</v>
      </c>
    </row>
    <row r="3024" spans="1:6" ht="12.75" customHeight="1" x14ac:dyDescent="0.2">
      <c r="A3024" s="3" t="str">
        <f>'A VII.'!$A$185</f>
        <v>3.5</v>
      </c>
      <c r="B3024" s="74" t="s">
        <v>178</v>
      </c>
      <c r="C3024" s="114">
        <v>0.7</v>
      </c>
      <c r="D3024" s="759" t="str">
        <f>VLOOKUP(A3024,'A VII.'!$A$10:$D$199,3,FALSE)</f>
        <v>H</v>
      </c>
      <c r="E3024" s="85">
        <f>'A VII.'!$D$185</f>
        <v>0</v>
      </c>
      <c r="F3024" s="59">
        <f t="shared" si="183"/>
        <v>0</v>
      </c>
    </row>
    <row r="3025" spans="1:6" ht="12.75" customHeight="1" x14ac:dyDescent="0.2">
      <c r="A3025" s="3"/>
      <c r="C3025" s="114"/>
      <c r="D3025" s="759"/>
      <c r="E3025" s="85"/>
      <c r="F3025" s="59">
        <f t="shared" si="183"/>
        <v>0</v>
      </c>
    </row>
    <row r="3026" spans="1:6" ht="12.75" customHeight="1" x14ac:dyDescent="0.2">
      <c r="A3026" s="3"/>
      <c r="C3026" s="114"/>
      <c r="D3026" s="759"/>
      <c r="E3026" s="85"/>
      <c r="F3026" s="59">
        <f t="shared" si="183"/>
        <v>0</v>
      </c>
    </row>
    <row r="3027" spans="1:6" ht="12.75" customHeight="1" x14ac:dyDescent="0.2">
      <c r="A3027" s="3"/>
      <c r="C3027" s="114"/>
      <c r="D3027" s="759"/>
      <c r="E3027" s="85"/>
      <c r="F3027" s="59">
        <f t="shared" si="183"/>
        <v>0</v>
      </c>
    </row>
    <row r="3028" spans="1:6" ht="12.75" customHeight="1" x14ac:dyDescent="0.2">
      <c r="A3028" s="3"/>
      <c r="C3028" s="114"/>
      <c r="D3028" s="759"/>
      <c r="E3028" s="85"/>
      <c r="F3028" s="59">
        <f t="shared" si="183"/>
        <v>0</v>
      </c>
    </row>
    <row r="3029" spans="1:6" ht="12.75" customHeight="1" x14ac:dyDescent="0.2">
      <c r="A3029" s="3"/>
      <c r="C3029" s="114"/>
      <c r="D3029" s="759"/>
      <c r="E3029" s="85"/>
      <c r="F3029" s="59">
        <f t="shared" si="183"/>
        <v>0</v>
      </c>
    </row>
    <row r="3030" spans="1:6" ht="12.75" customHeight="1" x14ac:dyDescent="0.2">
      <c r="A3030" s="3"/>
      <c r="B3030" s="86" t="s">
        <v>258</v>
      </c>
      <c r="C3030" s="87"/>
      <c r="D3030" s="88"/>
      <c r="E3030" s="89"/>
      <c r="F3030" s="90">
        <f>SUM(F3023:F3029)</f>
        <v>0</v>
      </c>
    </row>
    <row r="3031" spans="1:6" ht="12.75" customHeight="1" x14ac:dyDescent="0.2">
      <c r="A3031" s="3"/>
      <c r="B3031" s="91" t="s">
        <v>261</v>
      </c>
      <c r="C3031" s="15">
        <f>'A IX.'!$C$45</f>
        <v>0</v>
      </c>
      <c r="D3031" s="92"/>
      <c r="E3031" s="93"/>
      <c r="F3031" s="94">
        <f>ROUND(F3030*C3031,2)</f>
        <v>0</v>
      </c>
    </row>
    <row r="3032" spans="1:6" ht="12.75" customHeight="1" x14ac:dyDescent="0.2">
      <c r="A3032" s="3"/>
      <c r="B3032" s="91" t="s">
        <v>70</v>
      </c>
      <c r="C3032" s="15">
        <f>$D$8</f>
        <v>0</v>
      </c>
      <c r="D3032" s="92"/>
      <c r="E3032" s="93"/>
      <c r="F3032" s="94">
        <f>ROUND(SUM(F3030:F3031)*C3032,2)</f>
        <v>0</v>
      </c>
    </row>
    <row r="3033" spans="1:6" ht="12.75" customHeight="1" thickBot="1" x14ac:dyDescent="0.25">
      <c r="A3033" s="98"/>
      <c r="B3033" s="99" t="s">
        <v>262</v>
      </c>
      <c r="C3033" s="100"/>
      <c r="D3033" s="100"/>
      <c r="E3033" s="101"/>
      <c r="F3033" s="102">
        <f>SUM(F3030:F3032)</f>
        <v>0</v>
      </c>
    </row>
    <row r="3034" spans="1:6" ht="12.75" customHeight="1" thickBot="1" x14ac:dyDescent="0.25">
      <c r="A3034" s="81"/>
      <c r="B3034" s="82"/>
      <c r="C3034" s="83"/>
      <c r="D3034" s="83"/>
      <c r="E3034" s="84"/>
      <c r="F3034" s="103"/>
    </row>
    <row r="3035" spans="1:6" ht="30" customHeight="1" x14ac:dyDescent="0.2">
      <c r="A3035" s="5" t="str">
        <f>'A IV.A'!$A$97</f>
        <v>3.9.2</v>
      </c>
      <c r="B3035" s="416" t="str">
        <f>'A IV.A'!$B$97</f>
        <v xml:space="preserve">CONTRAPISO EM ARGAMASSA, ADERIDO, TRAÇO 1:4, E=3 CM, COM ADITIVO ADESIVO </v>
      </c>
      <c r="C3035" s="526" t="s">
        <v>269</v>
      </c>
      <c r="D3035" s="527"/>
      <c r="E3035" s="417" t="str">
        <f>'A IV.A'!C97</f>
        <v>M2</v>
      </c>
      <c r="F3035" s="58">
        <f>ROUND(F3055+F3069+F3081,2)</f>
        <v>0</v>
      </c>
    </row>
    <row r="3036" spans="1:6" ht="12.75" customHeight="1" x14ac:dyDescent="0.2">
      <c r="A3036" s="1" t="s">
        <v>17</v>
      </c>
      <c r="B3036" s="418" t="s">
        <v>162</v>
      </c>
      <c r="C3036" s="419" t="s">
        <v>263</v>
      </c>
      <c r="D3036" s="419" t="s">
        <v>264</v>
      </c>
      <c r="E3036" s="420" t="s">
        <v>265</v>
      </c>
      <c r="F3036" s="57" t="s">
        <v>266</v>
      </c>
    </row>
    <row r="3037" spans="1:6" ht="12.75" customHeight="1" x14ac:dyDescent="0.2">
      <c r="A3037" s="6" t="str">
        <f>'A VII.'!$A$19</f>
        <v>1.10</v>
      </c>
      <c r="B3037" s="421" t="str">
        <f>VLOOKUP(A3037,'A VII.'!$A$10:$D$199,2,FALSE)</f>
        <v>AREIA MÉDIA LAVADA</v>
      </c>
      <c r="C3037" s="114">
        <f>0.0431*1.54</f>
        <v>6.6374000000000002E-2</v>
      </c>
      <c r="D3037" s="757" t="str">
        <f>VLOOKUP(A3037,'A VII.'!$A$10:$D$199,3,FALSE)</f>
        <v>M3</v>
      </c>
      <c r="E3037" s="85">
        <f>'A VII.'!D19</f>
        <v>0</v>
      </c>
      <c r="F3037" s="59">
        <f>ROUND(C3037*E3037,2)</f>
        <v>0</v>
      </c>
    </row>
    <row r="3038" spans="1:6" ht="12.75" customHeight="1" x14ac:dyDescent="0.2">
      <c r="A3038" s="6" t="str">
        <f>'A VII.'!$A$38</f>
        <v>1.29</v>
      </c>
      <c r="B3038" s="421" t="str">
        <f>VLOOKUP(A3038,'A VII.'!$A$10:$D$199,2,FALSE)</f>
        <v>CIMENTO PORTLAND CP II-E-32</v>
      </c>
      <c r="C3038" s="114">
        <f>0.5+(0.0431*442.22)</f>
        <v>19.559682000000002</v>
      </c>
      <c r="D3038" s="757" t="str">
        <f>VLOOKUP(A3038,'A VII.'!$A$10:$D$199,3,FALSE)</f>
        <v>KG</v>
      </c>
      <c r="E3038" s="85">
        <f>'A VII.'!D38</f>
        <v>0</v>
      </c>
      <c r="F3038" s="59">
        <f t="shared" ref="F3038:F3052" si="184">ROUND(C3038*E3038,2)</f>
        <v>0</v>
      </c>
    </row>
    <row r="3039" spans="1:6" ht="12.75" customHeight="1" x14ac:dyDescent="0.2">
      <c r="A3039" s="6" t="str">
        <f>'A VII.'!$A$13</f>
        <v>1.4</v>
      </c>
      <c r="B3039" s="421" t="str">
        <f>VLOOKUP(A3039,'A VII.'!$A$10:$D$199,2,FALSE)</f>
        <v>ADITIVO ADESIVO LIQUIDO PARA ARGAMASSAS DE REVESTIMENTOS CIMENTICIOS</v>
      </c>
      <c r="C3039" s="114">
        <v>0.435</v>
      </c>
      <c r="D3039" s="757" t="str">
        <f>VLOOKUP(A3039,'A VII.'!$A$10:$D$199,3,FALSE)</f>
        <v>L</v>
      </c>
      <c r="E3039" s="85">
        <f>'A VII.'!$D$13</f>
        <v>0</v>
      </c>
      <c r="F3039" s="59">
        <f t="shared" si="184"/>
        <v>0</v>
      </c>
    </row>
    <row r="3040" spans="1:6" ht="12.75" customHeight="1" x14ac:dyDescent="0.2">
      <c r="A3040" s="6"/>
      <c r="B3040" s="437"/>
      <c r="C3040" s="114"/>
      <c r="D3040" s="757"/>
      <c r="E3040" s="85"/>
      <c r="F3040" s="59">
        <f t="shared" si="184"/>
        <v>0</v>
      </c>
    </row>
    <row r="3041" spans="1:6" ht="12.75" customHeight="1" x14ac:dyDescent="0.2">
      <c r="A3041" s="6"/>
      <c r="B3041" s="437"/>
      <c r="C3041" s="114"/>
      <c r="D3041" s="757"/>
      <c r="E3041" s="85"/>
      <c r="F3041" s="59">
        <f t="shared" si="184"/>
        <v>0</v>
      </c>
    </row>
    <row r="3042" spans="1:6" ht="12.75" customHeight="1" x14ac:dyDescent="0.2">
      <c r="A3042" s="6"/>
      <c r="B3042" s="421"/>
      <c r="C3042" s="114"/>
      <c r="D3042" s="757"/>
      <c r="E3042" s="85"/>
      <c r="F3042" s="59">
        <f t="shared" si="184"/>
        <v>0</v>
      </c>
    </row>
    <row r="3043" spans="1:6" ht="12.75" customHeight="1" x14ac:dyDescent="0.2">
      <c r="A3043" s="6"/>
      <c r="B3043" s="421"/>
      <c r="C3043" s="114"/>
      <c r="D3043" s="757"/>
      <c r="E3043" s="85"/>
      <c r="F3043" s="59">
        <f t="shared" si="184"/>
        <v>0</v>
      </c>
    </row>
    <row r="3044" spans="1:6" ht="12.75" customHeight="1" x14ac:dyDescent="0.2">
      <c r="A3044" s="6"/>
      <c r="B3044" s="421"/>
      <c r="C3044" s="114"/>
      <c r="D3044" s="757"/>
      <c r="E3044" s="85"/>
      <c r="F3044" s="59">
        <f t="shared" si="184"/>
        <v>0</v>
      </c>
    </row>
    <row r="3045" spans="1:6" ht="12.75" customHeight="1" x14ac:dyDescent="0.2">
      <c r="A3045" s="6"/>
      <c r="B3045" s="421"/>
      <c r="C3045" s="114"/>
      <c r="D3045" s="757"/>
      <c r="E3045" s="85"/>
      <c r="F3045" s="59">
        <f t="shared" si="184"/>
        <v>0</v>
      </c>
    </row>
    <row r="3046" spans="1:6" ht="12.75" customHeight="1" x14ac:dyDescent="0.2">
      <c r="A3046" s="6"/>
      <c r="B3046" s="421"/>
      <c r="C3046" s="114"/>
      <c r="D3046" s="757"/>
      <c r="E3046" s="85"/>
      <c r="F3046" s="59">
        <f t="shared" si="184"/>
        <v>0</v>
      </c>
    </row>
    <row r="3047" spans="1:6" ht="12.75" customHeight="1" x14ac:dyDescent="0.2">
      <c r="A3047" s="6"/>
      <c r="B3047" s="421"/>
      <c r="C3047" s="114"/>
      <c r="D3047" s="757"/>
      <c r="E3047" s="85"/>
      <c r="F3047" s="59">
        <f t="shared" si="184"/>
        <v>0</v>
      </c>
    </row>
    <row r="3048" spans="1:6" ht="12.75" customHeight="1" x14ac:dyDescent="0.2">
      <c r="A3048" s="6"/>
      <c r="B3048" s="421"/>
      <c r="C3048" s="114"/>
      <c r="D3048" s="758"/>
      <c r="E3048" s="85"/>
      <c r="F3048" s="59">
        <f t="shared" si="184"/>
        <v>0</v>
      </c>
    </row>
    <row r="3049" spans="1:6" ht="12.75" customHeight="1" x14ac:dyDescent="0.2">
      <c r="A3049" s="6"/>
      <c r="B3049" s="421"/>
      <c r="C3049" s="114"/>
      <c r="D3049" s="758"/>
      <c r="E3049" s="85"/>
      <c r="F3049" s="59">
        <f t="shared" si="184"/>
        <v>0</v>
      </c>
    </row>
    <row r="3050" spans="1:6" ht="12.75" customHeight="1" x14ac:dyDescent="0.2">
      <c r="A3050" s="6"/>
      <c r="B3050" s="421"/>
      <c r="C3050" s="114"/>
      <c r="D3050" s="758"/>
      <c r="E3050" s="85"/>
      <c r="F3050" s="59">
        <f t="shared" si="184"/>
        <v>0</v>
      </c>
    </row>
    <row r="3051" spans="1:6" ht="12.75" customHeight="1" x14ac:dyDescent="0.2">
      <c r="A3051" s="3"/>
      <c r="C3051" s="114"/>
      <c r="D3051" s="759"/>
      <c r="E3051" s="85"/>
      <c r="F3051" s="59">
        <f t="shared" si="184"/>
        <v>0</v>
      </c>
    </row>
    <row r="3052" spans="1:6" ht="12.75" customHeight="1" x14ac:dyDescent="0.2">
      <c r="A3052" s="3"/>
      <c r="C3052" s="114"/>
      <c r="D3052" s="759"/>
      <c r="E3052" s="85"/>
      <c r="F3052" s="59">
        <f t="shared" si="184"/>
        <v>0</v>
      </c>
    </row>
    <row r="3053" spans="1:6" ht="12.75" customHeight="1" x14ac:dyDescent="0.2">
      <c r="A3053" s="3"/>
      <c r="B3053" s="86" t="s">
        <v>258</v>
      </c>
      <c r="C3053" s="87"/>
      <c r="D3053" s="88"/>
      <c r="E3053" s="89"/>
      <c r="F3053" s="90">
        <f>SUM(F3037:F3052)</f>
        <v>0</v>
      </c>
    </row>
    <row r="3054" spans="1:6" ht="12.75" customHeight="1" x14ac:dyDescent="0.2">
      <c r="A3054" s="3"/>
      <c r="B3054" s="91" t="s">
        <v>70</v>
      </c>
      <c r="C3054" s="15">
        <f>$D$8</f>
        <v>0</v>
      </c>
      <c r="D3054" s="92"/>
      <c r="E3054" s="93"/>
      <c r="F3054" s="94">
        <f>ROUND(F3053*C3054,2)</f>
        <v>0</v>
      </c>
    </row>
    <row r="3055" spans="1:6" ht="12.75" customHeight="1" x14ac:dyDescent="0.2">
      <c r="A3055" s="95"/>
      <c r="B3055" s="424" t="s">
        <v>259</v>
      </c>
      <c r="C3055" s="425"/>
      <c r="D3055" s="425"/>
      <c r="E3055" s="426"/>
      <c r="F3055" s="96">
        <f>F3053+F3054</f>
        <v>0</v>
      </c>
    </row>
    <row r="3056" spans="1:6" ht="12.75" customHeight="1" x14ac:dyDescent="0.2">
      <c r="A3056" s="1" t="s">
        <v>5</v>
      </c>
      <c r="B3056" s="418" t="s">
        <v>267</v>
      </c>
      <c r="C3056" s="419" t="s">
        <v>263</v>
      </c>
      <c r="D3056" s="419" t="s">
        <v>264</v>
      </c>
      <c r="E3056" s="420" t="s">
        <v>265</v>
      </c>
      <c r="F3056" s="57" t="s">
        <v>266</v>
      </c>
    </row>
    <row r="3057" spans="1:6" ht="12.75" customHeight="1" x14ac:dyDescent="0.2">
      <c r="A3057" s="3" t="str">
        <f>'A VII.'!$A$149</f>
        <v>2.7</v>
      </c>
      <c r="B3057" s="71" t="str">
        <f>VLOOKUP(A3057,'A VII.'!$A$10:$D$199,2,FALSE)</f>
        <v>BETONEIRA, CAPACIDADE NOMINAL DE 400L, MOTOR ELÉTRICO TRIFÁSICO DE  2CV - CHP</v>
      </c>
      <c r="C3057" s="114">
        <f>0.0431*1.17</f>
        <v>5.0427E-2</v>
      </c>
      <c r="D3057" s="759" t="str">
        <f>VLOOKUP(A3057,'A VII.'!$A$10:$D$199,3,FALSE)</f>
        <v>CHP</v>
      </c>
      <c r="E3057" s="85">
        <f>'A VII.'!$D$149</f>
        <v>0</v>
      </c>
      <c r="F3057" s="59">
        <f t="shared" ref="F3057:F3066" si="185">ROUND(C3057*E3057,2)</f>
        <v>0</v>
      </c>
    </row>
    <row r="3058" spans="1:6" ht="12.75" customHeight="1" x14ac:dyDescent="0.2">
      <c r="A3058" s="3" t="str">
        <f>'A VII.'!$A$148</f>
        <v>2.6</v>
      </c>
      <c r="B3058" s="74" t="str">
        <f>VLOOKUP(A3058,'A VII.'!$A$10:$D$199,2,FALSE)</f>
        <v>BETONEIRA, CAPACIDADE NOMINAL DE 400L, MOTOR ELÉTRICO TRIFÁSICO DE  2CV - CHI</v>
      </c>
      <c r="C3058" s="114">
        <f>0.0431*3.85</f>
        <v>0.165935</v>
      </c>
      <c r="D3058" s="759" t="str">
        <f>VLOOKUP(A3058,'A VII.'!$A$10:$D$199,3,FALSE)</f>
        <v>CHI</v>
      </c>
      <c r="E3058" s="85">
        <f>'A VII.'!$D$148</f>
        <v>0</v>
      </c>
      <c r="F3058" s="59">
        <f t="shared" si="185"/>
        <v>0</v>
      </c>
    </row>
    <row r="3059" spans="1:6" ht="12.75" customHeight="1" x14ac:dyDescent="0.2">
      <c r="A3059" s="3"/>
      <c r="C3059" s="114"/>
      <c r="D3059" s="759"/>
      <c r="E3059" s="85"/>
      <c r="F3059" s="59">
        <f t="shared" si="185"/>
        <v>0</v>
      </c>
    </row>
    <row r="3060" spans="1:6" ht="12.75" customHeight="1" x14ac:dyDescent="0.2">
      <c r="A3060" s="3"/>
      <c r="C3060" s="114"/>
      <c r="D3060" s="759"/>
      <c r="E3060" s="85"/>
      <c r="F3060" s="59">
        <f t="shared" si="185"/>
        <v>0</v>
      </c>
    </row>
    <row r="3061" spans="1:6" ht="12.75" customHeight="1" x14ac:dyDescent="0.2">
      <c r="A3061" s="3"/>
      <c r="C3061" s="114"/>
      <c r="D3061" s="759"/>
      <c r="E3061" s="85"/>
      <c r="F3061" s="59">
        <f t="shared" si="185"/>
        <v>0</v>
      </c>
    </row>
    <row r="3062" spans="1:6" ht="12.75" customHeight="1" x14ac:dyDescent="0.2">
      <c r="A3062" s="3"/>
      <c r="C3062" s="114"/>
      <c r="D3062" s="759"/>
      <c r="E3062" s="85"/>
      <c r="F3062" s="59">
        <f t="shared" si="185"/>
        <v>0</v>
      </c>
    </row>
    <row r="3063" spans="1:6" ht="12.75" customHeight="1" x14ac:dyDescent="0.2">
      <c r="A3063" s="3"/>
      <c r="C3063" s="114"/>
      <c r="D3063" s="759"/>
      <c r="E3063" s="85"/>
      <c r="F3063" s="59">
        <f t="shared" si="185"/>
        <v>0</v>
      </c>
    </row>
    <row r="3064" spans="1:6" ht="12.75" customHeight="1" x14ac:dyDescent="0.2">
      <c r="A3064" s="3"/>
      <c r="C3064" s="114"/>
      <c r="D3064" s="759"/>
      <c r="E3064" s="85"/>
      <c r="F3064" s="59">
        <f t="shared" si="185"/>
        <v>0</v>
      </c>
    </row>
    <row r="3065" spans="1:6" ht="12.75" customHeight="1" x14ac:dyDescent="0.2">
      <c r="A3065" s="3"/>
      <c r="C3065" s="114"/>
      <c r="D3065" s="759"/>
      <c r="E3065" s="85"/>
      <c r="F3065" s="59">
        <f t="shared" si="185"/>
        <v>0</v>
      </c>
    </row>
    <row r="3066" spans="1:6" ht="12.75" customHeight="1" x14ac:dyDescent="0.2">
      <c r="A3066" s="3"/>
      <c r="C3066" s="114"/>
      <c r="D3066" s="759"/>
      <c r="E3066" s="85"/>
      <c r="F3066" s="59">
        <f t="shared" si="185"/>
        <v>0</v>
      </c>
    </row>
    <row r="3067" spans="1:6" ht="12.75" customHeight="1" x14ac:dyDescent="0.2">
      <c r="A3067" s="3"/>
      <c r="B3067" s="86" t="s">
        <v>258</v>
      </c>
      <c r="C3067" s="87"/>
      <c r="D3067" s="88"/>
      <c r="E3067" s="89"/>
      <c r="F3067" s="90">
        <f>SUM(F3057:F3066)</f>
        <v>0</v>
      </c>
    </row>
    <row r="3068" spans="1:6" ht="12.75" customHeight="1" x14ac:dyDescent="0.2">
      <c r="A3068" s="3"/>
      <c r="B3068" s="91" t="s">
        <v>70</v>
      </c>
      <c r="C3068" s="15">
        <f>$D$8</f>
        <v>0</v>
      </c>
      <c r="D3068" s="92"/>
      <c r="E3068" s="93"/>
      <c r="F3068" s="94">
        <f>ROUND(C3068*F3067,2)</f>
        <v>0</v>
      </c>
    </row>
    <row r="3069" spans="1:6" ht="12.75" customHeight="1" x14ac:dyDescent="0.2">
      <c r="A3069" s="95"/>
      <c r="B3069" s="424" t="s">
        <v>260</v>
      </c>
      <c r="C3069" s="425"/>
      <c r="D3069" s="425"/>
      <c r="E3069" s="426"/>
      <c r="F3069" s="96">
        <f>F3067+F3068</f>
        <v>0</v>
      </c>
    </row>
    <row r="3070" spans="1:6" ht="12.75" customHeight="1" x14ac:dyDescent="0.2">
      <c r="A3070" s="97" t="s">
        <v>54</v>
      </c>
      <c r="B3070" s="427" t="s">
        <v>268</v>
      </c>
      <c r="C3070" s="428" t="s">
        <v>263</v>
      </c>
      <c r="D3070" s="429" t="s">
        <v>264</v>
      </c>
      <c r="E3070" s="430" t="s">
        <v>265</v>
      </c>
      <c r="F3070" s="57" t="s">
        <v>266</v>
      </c>
    </row>
    <row r="3071" spans="1:6" ht="12.75" customHeight="1" x14ac:dyDescent="0.2">
      <c r="A3071" s="3" t="str">
        <f>'A VII.'!$A$192</f>
        <v>3.12</v>
      </c>
      <c r="B3071" s="74" t="s">
        <v>185</v>
      </c>
      <c r="C3071" s="114">
        <v>0.33</v>
      </c>
      <c r="D3071" s="759" t="str">
        <f>VLOOKUP(A3071,'A VII.'!$A$10:$D$199,3,FALSE)</f>
        <v>H</v>
      </c>
      <c r="E3071" s="85">
        <f>'A VII.'!D192</f>
        <v>0</v>
      </c>
      <c r="F3071" s="59">
        <f t="shared" ref="F3071:F3077" si="186">ROUND(C3071*E3071,2)</f>
        <v>0</v>
      </c>
    </row>
    <row r="3072" spans="1:6" ht="12.75" customHeight="1" x14ac:dyDescent="0.2">
      <c r="A3072" s="3" t="str">
        <f>'A VII.'!$A$196</f>
        <v>3.16</v>
      </c>
      <c r="B3072" s="74" t="s">
        <v>189</v>
      </c>
      <c r="C3072" s="114">
        <f>0.165+(0.0431*5.02)</f>
        <v>0.38136199999999998</v>
      </c>
      <c r="D3072" s="759" t="str">
        <f>VLOOKUP(A3072,'A VII.'!$A$10:$D$199,3,FALSE)</f>
        <v>H</v>
      </c>
      <c r="E3072" s="85">
        <f>'A VII.'!D196</f>
        <v>0</v>
      </c>
      <c r="F3072" s="59">
        <f t="shared" si="186"/>
        <v>0</v>
      </c>
    </row>
    <row r="3073" spans="1:6" ht="12.75" customHeight="1" x14ac:dyDescent="0.2">
      <c r="A3073" s="3"/>
      <c r="C3073" s="114"/>
      <c r="D3073" s="759"/>
      <c r="E3073" s="85"/>
      <c r="F3073" s="59">
        <f t="shared" si="186"/>
        <v>0</v>
      </c>
    </row>
    <row r="3074" spans="1:6" ht="12.75" customHeight="1" x14ac:dyDescent="0.2">
      <c r="A3074" s="3"/>
      <c r="C3074" s="114"/>
      <c r="D3074" s="759"/>
      <c r="E3074" s="85"/>
      <c r="F3074" s="59">
        <f t="shared" si="186"/>
        <v>0</v>
      </c>
    </row>
    <row r="3075" spans="1:6" ht="12.75" customHeight="1" x14ac:dyDescent="0.2">
      <c r="A3075" s="3"/>
      <c r="C3075" s="114"/>
      <c r="D3075" s="759"/>
      <c r="E3075" s="85"/>
      <c r="F3075" s="59">
        <f t="shared" si="186"/>
        <v>0</v>
      </c>
    </row>
    <row r="3076" spans="1:6" ht="12.75" customHeight="1" x14ac:dyDescent="0.2">
      <c r="A3076" s="3"/>
      <c r="C3076" s="114"/>
      <c r="D3076" s="759"/>
      <c r="E3076" s="85"/>
      <c r="F3076" s="59">
        <f t="shared" si="186"/>
        <v>0</v>
      </c>
    </row>
    <row r="3077" spans="1:6" ht="12.75" customHeight="1" x14ac:dyDescent="0.2">
      <c r="A3077" s="3"/>
      <c r="C3077" s="114"/>
      <c r="D3077" s="759"/>
      <c r="E3077" s="85"/>
      <c r="F3077" s="59">
        <f t="shared" si="186"/>
        <v>0</v>
      </c>
    </row>
    <row r="3078" spans="1:6" ht="12.75" customHeight="1" x14ac:dyDescent="0.2">
      <c r="A3078" s="3"/>
      <c r="B3078" s="86" t="s">
        <v>258</v>
      </c>
      <c r="C3078" s="87"/>
      <c r="D3078" s="88"/>
      <c r="E3078" s="89"/>
      <c r="F3078" s="90">
        <f>SUM(F3071:F3077)</f>
        <v>0</v>
      </c>
    </row>
    <row r="3079" spans="1:6" ht="12.75" customHeight="1" x14ac:dyDescent="0.2">
      <c r="A3079" s="3"/>
      <c r="B3079" s="91" t="s">
        <v>261</v>
      </c>
      <c r="C3079" s="15">
        <f>'A IX.'!$C$45</f>
        <v>0</v>
      </c>
      <c r="D3079" s="92"/>
      <c r="E3079" s="93"/>
      <c r="F3079" s="94">
        <f>ROUND(F3078*C3079,2)</f>
        <v>0</v>
      </c>
    </row>
    <row r="3080" spans="1:6" ht="12.75" customHeight="1" x14ac:dyDescent="0.2">
      <c r="A3080" s="3"/>
      <c r="B3080" s="91" t="s">
        <v>70</v>
      </c>
      <c r="C3080" s="15">
        <f>$D$8</f>
        <v>0</v>
      </c>
      <c r="D3080" s="92"/>
      <c r="E3080" s="93"/>
      <c r="F3080" s="94">
        <f>ROUND(SUM(F3078:F3079)*C3080,2)</f>
        <v>0</v>
      </c>
    </row>
    <row r="3081" spans="1:6" ht="12.75" customHeight="1" thickBot="1" x14ac:dyDescent="0.25">
      <c r="A3081" s="98"/>
      <c r="B3081" s="99" t="s">
        <v>262</v>
      </c>
      <c r="C3081" s="100"/>
      <c r="D3081" s="100"/>
      <c r="E3081" s="101"/>
      <c r="F3081" s="102">
        <f>SUM(F3078:F3080)</f>
        <v>0</v>
      </c>
    </row>
    <row r="3082" spans="1:6" ht="12.75" customHeight="1" thickBot="1" x14ac:dyDescent="0.25">
      <c r="A3082" s="81"/>
      <c r="B3082" s="82"/>
      <c r="C3082" s="83"/>
      <c r="D3082" s="83"/>
      <c r="E3082" s="84"/>
      <c r="F3082" s="103"/>
    </row>
    <row r="3083" spans="1:6" ht="30" customHeight="1" x14ac:dyDescent="0.2">
      <c r="A3083" s="5" t="str">
        <f>'A IV.A'!A98</f>
        <v>3.9.3</v>
      </c>
      <c r="B3083" s="416" t="str">
        <f>'A IV.A'!B98</f>
        <v xml:space="preserve">PISO COM CERÂMICA ESMALTADA PEI-5 </v>
      </c>
      <c r="C3083" s="526" t="s">
        <v>269</v>
      </c>
      <c r="D3083" s="527"/>
      <c r="E3083" s="417" t="str">
        <f>'A IV.A'!$C$98</f>
        <v>M2</v>
      </c>
      <c r="F3083" s="58">
        <f>ROUND(F3103+F3117+F3129,2)</f>
        <v>0</v>
      </c>
    </row>
    <row r="3084" spans="1:6" ht="12.75" customHeight="1" x14ac:dyDescent="0.2">
      <c r="A3084" s="1" t="s">
        <v>17</v>
      </c>
      <c r="B3084" s="418" t="s">
        <v>162</v>
      </c>
      <c r="C3084" s="419" t="s">
        <v>263</v>
      </c>
      <c r="D3084" s="419" t="s">
        <v>264</v>
      </c>
      <c r="E3084" s="420" t="s">
        <v>265</v>
      </c>
      <c r="F3084" s="57" t="s">
        <v>266</v>
      </c>
    </row>
    <row r="3085" spans="1:6" ht="12.75" customHeight="1" x14ac:dyDescent="0.2">
      <c r="A3085" s="6" t="str">
        <f>'A VII.'!$A$20</f>
        <v>1.11</v>
      </c>
      <c r="B3085" s="421" t="str">
        <f>VLOOKUP(A3085,'A VII.'!$A$10:$D$199,2,FALSE)</f>
        <v>ARGAMASSA COLANTE TIPO AC III</v>
      </c>
      <c r="C3085" s="114">
        <v>4.8600000000000003</v>
      </c>
      <c r="D3085" s="757" t="str">
        <f>VLOOKUP(A3085,'A VII.'!$A$10:$D$199,3,FALSE)</f>
        <v>KG</v>
      </c>
      <c r="E3085" s="85">
        <f>'A VII.'!$D$20</f>
        <v>0</v>
      </c>
      <c r="F3085" s="59">
        <f>ROUND(C3085*E3085,2)</f>
        <v>0</v>
      </c>
    </row>
    <row r="3086" spans="1:6" ht="12.75" customHeight="1" x14ac:dyDescent="0.2">
      <c r="A3086" s="6" t="str">
        <f>'A VII.'!$A$33</f>
        <v>1.24</v>
      </c>
      <c r="B3086" s="421" t="str">
        <f>VLOOKUP(A3086,'A VII.'!$A$10:$D$199,2,FALSE)</f>
        <v>CERÂMICA ESMALTADA EXTRA OU 1ª QUALIDADE PARA PISO, PEI-5</v>
      </c>
      <c r="C3086" s="114">
        <v>1.06</v>
      </c>
      <c r="D3086" s="757" t="str">
        <f>VLOOKUP(A3086,'A VII.'!$A$10:$D$199,3,FALSE)</f>
        <v>M2</v>
      </c>
      <c r="E3086" s="85">
        <f>'A VII.'!$D$33</f>
        <v>0</v>
      </c>
      <c r="F3086" s="59">
        <f t="shared" ref="F3086:F3100" si="187">ROUND(C3086*E3086,2)</f>
        <v>0</v>
      </c>
    </row>
    <row r="3087" spans="1:6" ht="12.75" customHeight="1" x14ac:dyDescent="0.2">
      <c r="A3087" s="6" t="str">
        <f>'A VII.'!$A$36</f>
        <v>1.27</v>
      </c>
      <c r="B3087" s="421" t="str">
        <f>VLOOKUP(A3087,'A VII.'!$A$10:$D$199,2,FALSE)</f>
        <v>REJUNTE EPOXI BRANCO</v>
      </c>
      <c r="C3087" s="114">
        <v>0.31219999999999998</v>
      </c>
      <c r="D3087" s="757" t="str">
        <f>VLOOKUP(A3087,'A VII.'!$A$10:$D$199,3,FALSE)</f>
        <v>KG</v>
      </c>
      <c r="E3087" s="85">
        <f>'A VII.'!$D$36</f>
        <v>0</v>
      </c>
      <c r="F3087" s="59">
        <f t="shared" si="187"/>
        <v>0</v>
      </c>
    </row>
    <row r="3088" spans="1:6" ht="12.75" customHeight="1" x14ac:dyDescent="0.2">
      <c r="A3088" s="6"/>
      <c r="B3088" s="421"/>
      <c r="C3088" s="114"/>
      <c r="D3088" s="757"/>
      <c r="E3088" s="85"/>
      <c r="F3088" s="59">
        <f t="shared" si="187"/>
        <v>0</v>
      </c>
    </row>
    <row r="3089" spans="1:6" ht="12.75" customHeight="1" x14ac:dyDescent="0.2">
      <c r="A3089" s="6"/>
      <c r="B3089" s="421"/>
      <c r="C3089" s="114"/>
      <c r="D3089" s="757"/>
      <c r="E3089" s="85"/>
      <c r="F3089" s="59">
        <f t="shared" si="187"/>
        <v>0</v>
      </c>
    </row>
    <row r="3090" spans="1:6" ht="12.75" customHeight="1" x14ac:dyDescent="0.2">
      <c r="A3090" s="6"/>
      <c r="B3090" s="421"/>
      <c r="C3090" s="114"/>
      <c r="D3090" s="757"/>
      <c r="E3090" s="85"/>
      <c r="F3090" s="59">
        <f t="shared" si="187"/>
        <v>0</v>
      </c>
    </row>
    <row r="3091" spans="1:6" ht="12.75" customHeight="1" x14ac:dyDescent="0.2">
      <c r="A3091" s="6"/>
      <c r="B3091" s="421"/>
      <c r="C3091" s="114"/>
      <c r="D3091" s="757"/>
      <c r="E3091" s="85"/>
      <c r="F3091" s="59">
        <f t="shared" si="187"/>
        <v>0</v>
      </c>
    </row>
    <row r="3092" spans="1:6" ht="12.75" customHeight="1" x14ac:dyDescent="0.2">
      <c r="A3092" s="6"/>
      <c r="B3092" s="421"/>
      <c r="C3092" s="114"/>
      <c r="D3092" s="757"/>
      <c r="E3092" s="85"/>
      <c r="F3092" s="59">
        <f t="shared" si="187"/>
        <v>0</v>
      </c>
    </row>
    <row r="3093" spans="1:6" ht="12.75" customHeight="1" x14ac:dyDescent="0.2">
      <c r="A3093" s="6"/>
      <c r="B3093" s="421"/>
      <c r="C3093" s="114"/>
      <c r="D3093" s="757"/>
      <c r="E3093" s="85"/>
      <c r="F3093" s="59">
        <f t="shared" si="187"/>
        <v>0</v>
      </c>
    </row>
    <row r="3094" spans="1:6" ht="12.75" customHeight="1" x14ac:dyDescent="0.2">
      <c r="A3094" s="6"/>
      <c r="B3094" s="421"/>
      <c r="C3094" s="114"/>
      <c r="D3094" s="757"/>
      <c r="E3094" s="85"/>
      <c r="F3094" s="59">
        <f t="shared" si="187"/>
        <v>0</v>
      </c>
    </row>
    <row r="3095" spans="1:6" ht="12.75" customHeight="1" x14ac:dyDescent="0.2">
      <c r="A3095" s="6"/>
      <c r="B3095" s="421"/>
      <c r="C3095" s="114"/>
      <c r="D3095" s="757"/>
      <c r="E3095" s="85"/>
      <c r="F3095" s="59">
        <f t="shared" si="187"/>
        <v>0</v>
      </c>
    </row>
    <row r="3096" spans="1:6" ht="12.75" customHeight="1" x14ac:dyDescent="0.2">
      <c r="A3096" s="6"/>
      <c r="B3096" s="421"/>
      <c r="C3096" s="114"/>
      <c r="D3096" s="758"/>
      <c r="E3096" s="85"/>
      <c r="F3096" s="59">
        <f t="shared" si="187"/>
        <v>0</v>
      </c>
    </row>
    <row r="3097" spans="1:6" ht="12.75" customHeight="1" x14ac:dyDescent="0.2">
      <c r="A3097" s="6"/>
      <c r="B3097" s="421"/>
      <c r="C3097" s="114"/>
      <c r="D3097" s="758"/>
      <c r="E3097" s="85"/>
      <c r="F3097" s="59">
        <f t="shared" si="187"/>
        <v>0</v>
      </c>
    </row>
    <row r="3098" spans="1:6" ht="12.75" customHeight="1" x14ac:dyDescent="0.2">
      <c r="A3098" s="6"/>
      <c r="B3098" s="421"/>
      <c r="C3098" s="114"/>
      <c r="D3098" s="758"/>
      <c r="E3098" s="85"/>
      <c r="F3098" s="59">
        <f t="shared" si="187"/>
        <v>0</v>
      </c>
    </row>
    <row r="3099" spans="1:6" ht="12.75" customHeight="1" x14ac:dyDescent="0.2">
      <c r="A3099" s="3"/>
      <c r="C3099" s="114"/>
      <c r="D3099" s="759"/>
      <c r="E3099" s="85"/>
      <c r="F3099" s="59">
        <f t="shared" si="187"/>
        <v>0</v>
      </c>
    </row>
    <row r="3100" spans="1:6" ht="12.75" customHeight="1" x14ac:dyDescent="0.2">
      <c r="A3100" s="3"/>
      <c r="C3100" s="114"/>
      <c r="D3100" s="759"/>
      <c r="E3100" s="85"/>
      <c r="F3100" s="59">
        <f t="shared" si="187"/>
        <v>0</v>
      </c>
    </row>
    <row r="3101" spans="1:6" ht="12.75" customHeight="1" x14ac:dyDescent="0.2">
      <c r="A3101" s="3"/>
      <c r="B3101" s="86" t="s">
        <v>258</v>
      </c>
      <c r="C3101" s="87"/>
      <c r="D3101" s="88"/>
      <c r="E3101" s="89"/>
      <c r="F3101" s="90">
        <f>SUM(F3085:F3100)</f>
        <v>0</v>
      </c>
    </row>
    <row r="3102" spans="1:6" ht="12.75" customHeight="1" x14ac:dyDescent="0.2">
      <c r="A3102" s="3"/>
      <c r="B3102" s="91" t="s">
        <v>70</v>
      </c>
      <c r="C3102" s="15">
        <f>$D$8</f>
        <v>0</v>
      </c>
      <c r="D3102" s="92"/>
      <c r="E3102" s="93"/>
      <c r="F3102" s="94">
        <f>ROUND(F3101*C3102,2)</f>
        <v>0</v>
      </c>
    </row>
    <row r="3103" spans="1:6" ht="12.75" customHeight="1" x14ac:dyDescent="0.2">
      <c r="A3103" s="95"/>
      <c r="B3103" s="424" t="s">
        <v>259</v>
      </c>
      <c r="C3103" s="425"/>
      <c r="D3103" s="425"/>
      <c r="E3103" s="426"/>
      <c r="F3103" s="96">
        <f>F3101+F3102</f>
        <v>0</v>
      </c>
    </row>
    <row r="3104" spans="1:6" ht="12.75" customHeight="1" x14ac:dyDescent="0.2">
      <c r="A3104" s="1" t="s">
        <v>5</v>
      </c>
      <c r="B3104" s="418" t="s">
        <v>267</v>
      </c>
      <c r="C3104" s="419" t="s">
        <v>263</v>
      </c>
      <c r="D3104" s="419" t="s">
        <v>264</v>
      </c>
      <c r="E3104" s="420" t="s">
        <v>265</v>
      </c>
      <c r="F3104" s="57" t="s">
        <v>266</v>
      </c>
    </row>
    <row r="3105" spans="1:6" ht="12.75" customHeight="1" x14ac:dyDescent="0.2">
      <c r="A3105" s="3"/>
      <c r="B3105" s="71"/>
      <c r="C3105" s="114"/>
      <c r="D3105" s="759"/>
      <c r="E3105" s="85"/>
      <c r="F3105" s="59">
        <f t="shared" ref="F3105:F3114" si="188">ROUND(C3105*E3105,2)</f>
        <v>0</v>
      </c>
    </row>
    <row r="3106" spans="1:6" ht="12.75" customHeight="1" x14ac:dyDescent="0.2">
      <c r="A3106" s="3"/>
      <c r="C3106" s="114"/>
      <c r="D3106" s="759"/>
      <c r="E3106" s="85"/>
      <c r="F3106" s="59">
        <f t="shared" si="188"/>
        <v>0</v>
      </c>
    </row>
    <row r="3107" spans="1:6" ht="12.75" customHeight="1" x14ac:dyDescent="0.2">
      <c r="A3107" s="3"/>
      <c r="C3107" s="114"/>
      <c r="D3107" s="759"/>
      <c r="E3107" s="85"/>
      <c r="F3107" s="59">
        <f t="shared" si="188"/>
        <v>0</v>
      </c>
    </row>
    <row r="3108" spans="1:6" ht="12.75" customHeight="1" x14ac:dyDescent="0.2">
      <c r="A3108" s="3"/>
      <c r="C3108" s="114"/>
      <c r="D3108" s="759"/>
      <c r="E3108" s="85"/>
      <c r="F3108" s="59">
        <f t="shared" si="188"/>
        <v>0</v>
      </c>
    </row>
    <row r="3109" spans="1:6" ht="12.75" customHeight="1" x14ac:dyDescent="0.2">
      <c r="A3109" s="3"/>
      <c r="C3109" s="114"/>
      <c r="D3109" s="759"/>
      <c r="E3109" s="85"/>
      <c r="F3109" s="59">
        <f t="shared" si="188"/>
        <v>0</v>
      </c>
    </row>
    <row r="3110" spans="1:6" ht="12.75" customHeight="1" x14ac:dyDescent="0.2">
      <c r="A3110" s="3"/>
      <c r="C3110" s="114"/>
      <c r="D3110" s="759"/>
      <c r="E3110" s="85"/>
      <c r="F3110" s="59">
        <f t="shared" si="188"/>
        <v>0</v>
      </c>
    </row>
    <row r="3111" spans="1:6" ht="12.75" customHeight="1" x14ac:dyDescent="0.2">
      <c r="A3111" s="3"/>
      <c r="C3111" s="114"/>
      <c r="D3111" s="759"/>
      <c r="E3111" s="85"/>
      <c r="F3111" s="59">
        <f t="shared" si="188"/>
        <v>0</v>
      </c>
    </row>
    <row r="3112" spans="1:6" ht="12.75" customHeight="1" x14ac:dyDescent="0.2">
      <c r="A3112" s="3"/>
      <c r="C3112" s="114"/>
      <c r="D3112" s="759"/>
      <c r="E3112" s="85"/>
      <c r="F3112" s="59">
        <f t="shared" si="188"/>
        <v>0</v>
      </c>
    </row>
    <row r="3113" spans="1:6" ht="12.75" customHeight="1" x14ac:dyDescent="0.2">
      <c r="A3113" s="3"/>
      <c r="C3113" s="114"/>
      <c r="D3113" s="759"/>
      <c r="E3113" s="85"/>
      <c r="F3113" s="59">
        <f t="shared" si="188"/>
        <v>0</v>
      </c>
    </row>
    <row r="3114" spans="1:6" ht="12.75" customHeight="1" x14ac:dyDescent="0.2">
      <c r="A3114" s="3"/>
      <c r="C3114" s="114"/>
      <c r="D3114" s="759"/>
      <c r="E3114" s="85"/>
      <c r="F3114" s="59">
        <f t="shared" si="188"/>
        <v>0</v>
      </c>
    </row>
    <row r="3115" spans="1:6" ht="12.75" customHeight="1" x14ac:dyDescent="0.2">
      <c r="A3115" s="3"/>
      <c r="B3115" s="86" t="s">
        <v>258</v>
      </c>
      <c r="C3115" s="87"/>
      <c r="D3115" s="88"/>
      <c r="E3115" s="89"/>
      <c r="F3115" s="90">
        <f>SUM(F3105:F3114)</f>
        <v>0</v>
      </c>
    </row>
    <row r="3116" spans="1:6" ht="12.75" customHeight="1" x14ac:dyDescent="0.2">
      <c r="A3116" s="3"/>
      <c r="B3116" s="91" t="s">
        <v>70</v>
      </c>
      <c r="C3116" s="15">
        <f>$D$8</f>
        <v>0</v>
      </c>
      <c r="D3116" s="92"/>
      <c r="E3116" s="93"/>
      <c r="F3116" s="94">
        <f>ROUND(C3116*F3115,2)</f>
        <v>0</v>
      </c>
    </row>
    <row r="3117" spans="1:6" ht="12.75" customHeight="1" x14ac:dyDescent="0.2">
      <c r="A3117" s="95"/>
      <c r="B3117" s="424" t="s">
        <v>260</v>
      </c>
      <c r="C3117" s="425"/>
      <c r="D3117" s="425"/>
      <c r="E3117" s="426"/>
      <c r="F3117" s="96">
        <f>F3115+F3116</f>
        <v>0</v>
      </c>
    </row>
    <row r="3118" spans="1:6" ht="12.75" customHeight="1" x14ac:dyDescent="0.2">
      <c r="A3118" s="97" t="s">
        <v>54</v>
      </c>
      <c r="B3118" s="427" t="s">
        <v>268</v>
      </c>
      <c r="C3118" s="428" t="s">
        <v>263</v>
      </c>
      <c r="D3118" s="429" t="s">
        <v>264</v>
      </c>
      <c r="E3118" s="430" t="s">
        <v>265</v>
      </c>
      <c r="F3118" s="57" t="s">
        <v>266</v>
      </c>
    </row>
    <row r="3119" spans="1:6" ht="12.75" customHeight="1" x14ac:dyDescent="0.2">
      <c r="A3119" s="3" t="str">
        <f>'A VII.'!$A$196</f>
        <v>3.16</v>
      </c>
      <c r="B3119" s="74" t="s">
        <v>189</v>
      </c>
      <c r="C3119" s="114">
        <v>0.2</v>
      </c>
      <c r="D3119" s="759" t="str">
        <f>VLOOKUP(A3119,'A VII.'!$A$10:$D$199,3,FALSE)</f>
        <v>H</v>
      </c>
      <c r="E3119" s="85">
        <f>'A VII.'!$D$196</f>
        <v>0</v>
      </c>
      <c r="F3119" s="59">
        <f t="shared" ref="F3119:F3125" si="189">ROUND(C3119*E3119,2)</f>
        <v>0</v>
      </c>
    </row>
    <row r="3120" spans="1:6" ht="12.75" customHeight="1" x14ac:dyDescent="0.2">
      <c r="A3120" s="3" t="str">
        <f>'A VII.'!$A$185</f>
        <v>3.5</v>
      </c>
      <c r="B3120" s="74" t="s">
        <v>178</v>
      </c>
      <c r="C3120" s="114">
        <v>0.3</v>
      </c>
      <c r="D3120" s="759" t="str">
        <f>VLOOKUP(A3120,'A VII.'!$A$10:$D$199,3,FALSE)</f>
        <v>H</v>
      </c>
      <c r="E3120" s="85">
        <f>'A VII.'!$D$185</f>
        <v>0</v>
      </c>
      <c r="F3120" s="59">
        <f t="shared" si="189"/>
        <v>0</v>
      </c>
    </row>
    <row r="3121" spans="1:6" ht="12.75" customHeight="1" x14ac:dyDescent="0.2">
      <c r="A3121" s="3"/>
      <c r="C3121" s="114"/>
      <c r="D3121" s="759"/>
      <c r="E3121" s="85"/>
      <c r="F3121" s="59">
        <f t="shared" si="189"/>
        <v>0</v>
      </c>
    </row>
    <row r="3122" spans="1:6" ht="12.75" customHeight="1" x14ac:dyDescent="0.2">
      <c r="A3122" s="3"/>
      <c r="C3122" s="114"/>
      <c r="D3122" s="759"/>
      <c r="E3122" s="85"/>
      <c r="F3122" s="59">
        <f t="shared" si="189"/>
        <v>0</v>
      </c>
    </row>
    <row r="3123" spans="1:6" ht="12.75" customHeight="1" x14ac:dyDescent="0.2">
      <c r="A3123" s="3"/>
      <c r="C3123" s="114"/>
      <c r="D3123" s="759"/>
      <c r="E3123" s="85"/>
      <c r="F3123" s="59">
        <f t="shared" si="189"/>
        <v>0</v>
      </c>
    </row>
    <row r="3124" spans="1:6" ht="12.75" customHeight="1" x14ac:dyDescent="0.2">
      <c r="A3124" s="3"/>
      <c r="C3124" s="114"/>
      <c r="D3124" s="759"/>
      <c r="E3124" s="85"/>
      <c r="F3124" s="59">
        <f t="shared" si="189"/>
        <v>0</v>
      </c>
    </row>
    <row r="3125" spans="1:6" ht="12.75" customHeight="1" x14ac:dyDescent="0.2">
      <c r="A3125" s="3"/>
      <c r="C3125" s="114"/>
      <c r="D3125" s="759"/>
      <c r="E3125" s="85"/>
      <c r="F3125" s="59">
        <f t="shared" si="189"/>
        <v>0</v>
      </c>
    </row>
    <row r="3126" spans="1:6" ht="12.75" customHeight="1" x14ac:dyDescent="0.2">
      <c r="A3126" s="3"/>
      <c r="B3126" s="86" t="s">
        <v>258</v>
      </c>
      <c r="C3126" s="87"/>
      <c r="D3126" s="88"/>
      <c r="E3126" s="89"/>
      <c r="F3126" s="90">
        <f>SUM(F3119:F3125)</f>
        <v>0</v>
      </c>
    </row>
    <row r="3127" spans="1:6" ht="12.75" customHeight="1" x14ac:dyDescent="0.2">
      <c r="A3127" s="3"/>
      <c r="B3127" s="91" t="s">
        <v>261</v>
      </c>
      <c r="C3127" s="15">
        <f>'A IX.'!$C$45</f>
        <v>0</v>
      </c>
      <c r="D3127" s="92"/>
      <c r="E3127" s="93"/>
      <c r="F3127" s="94">
        <f>ROUND(F3126*C3127,2)</f>
        <v>0</v>
      </c>
    </row>
    <row r="3128" spans="1:6" ht="12.75" customHeight="1" x14ac:dyDescent="0.2">
      <c r="A3128" s="3"/>
      <c r="B3128" s="91" t="s">
        <v>70</v>
      </c>
      <c r="C3128" s="15">
        <f>$D$8</f>
        <v>0</v>
      </c>
      <c r="D3128" s="92"/>
      <c r="E3128" s="93"/>
      <c r="F3128" s="94">
        <f>ROUND(SUM(F3126:F3127)*C3128,2)</f>
        <v>0</v>
      </c>
    </row>
    <row r="3129" spans="1:6" ht="12.75" customHeight="1" thickBot="1" x14ac:dyDescent="0.25">
      <c r="A3129" s="98"/>
      <c r="B3129" s="99" t="s">
        <v>262</v>
      </c>
      <c r="C3129" s="100"/>
      <c r="D3129" s="100"/>
      <c r="E3129" s="101"/>
      <c r="F3129" s="102">
        <f>SUM(F3126:F3128)</f>
        <v>0</v>
      </c>
    </row>
    <row r="3130" spans="1:6" ht="12.75" customHeight="1" thickBot="1" x14ac:dyDescent="0.25">
      <c r="A3130" s="81"/>
      <c r="B3130" s="82"/>
      <c r="C3130" s="83"/>
      <c r="D3130" s="83"/>
      <c r="E3130" s="84"/>
      <c r="F3130" s="103"/>
    </row>
    <row r="3131" spans="1:6" ht="30" customHeight="1" x14ac:dyDescent="0.2">
      <c r="A3131" s="5" t="str">
        <f>'A IV.A'!A99</f>
        <v>3.9.4</v>
      </c>
      <c r="B3131" s="416" t="str">
        <f>'A IV.A'!B99</f>
        <v xml:space="preserve">CAMADA DE REGULARIZAÇÃO EM ARGAMASSA DESEMPENADA E=3CM, IMPERMEABILIZANTE E ADITIVO ADESIVO </v>
      </c>
      <c r="C3131" s="526" t="s">
        <v>269</v>
      </c>
      <c r="D3131" s="527"/>
      <c r="E3131" s="417" t="str">
        <f>'A IV.A'!$C$99</f>
        <v>M2</v>
      </c>
      <c r="F3131" s="58">
        <f>ROUND(F3151+F3165+F3177,2)</f>
        <v>0</v>
      </c>
    </row>
    <row r="3132" spans="1:6" ht="12.75" customHeight="1" x14ac:dyDescent="0.2">
      <c r="A3132" s="1" t="s">
        <v>17</v>
      </c>
      <c r="B3132" s="418" t="s">
        <v>162</v>
      </c>
      <c r="C3132" s="419" t="s">
        <v>263</v>
      </c>
      <c r="D3132" s="419" t="s">
        <v>264</v>
      </c>
      <c r="E3132" s="420" t="s">
        <v>265</v>
      </c>
      <c r="F3132" s="57" t="s">
        <v>266</v>
      </c>
    </row>
    <row r="3133" spans="1:6" ht="12.75" customHeight="1" x14ac:dyDescent="0.2">
      <c r="A3133" s="6" t="str">
        <f>'A VII.'!$A$13</f>
        <v>1.4</v>
      </c>
      <c r="B3133" s="421" t="str">
        <f>VLOOKUP(A3133,'A VII.'!$A$10:$D$199,2,FALSE)</f>
        <v>ADITIVO ADESIVO LIQUIDO PARA ARGAMASSAS DE REVESTIMENTOS CIMENTICIOS</v>
      </c>
      <c r="C3133" s="114">
        <v>0.6</v>
      </c>
      <c r="D3133" s="757" t="str">
        <f>VLOOKUP(A3133,'A VII.'!$A$10:$D$199,3,FALSE)</f>
        <v>L</v>
      </c>
      <c r="E3133" s="85">
        <f>'A VII.'!D13</f>
        <v>0</v>
      </c>
      <c r="F3133" s="59">
        <f>ROUND(C3133*E3133,2)</f>
        <v>0</v>
      </c>
    </row>
    <row r="3134" spans="1:6" ht="12.75" customHeight="1" x14ac:dyDescent="0.2">
      <c r="A3134" s="6" t="str">
        <f>'A VII.'!$A$12</f>
        <v>1.3</v>
      </c>
      <c r="B3134" s="421" t="str">
        <f>VLOOKUP(A3134,'A VII.'!$A$10:$D$199,2,FALSE)</f>
        <v>ADITIVO HIDROFUGO IMPERMEABILIZANTE DE PEGA NORMAL PARA CONCRETO E ARGAMASSA</v>
      </c>
      <c r="C3134" s="114">
        <v>0.6</v>
      </c>
      <c r="D3134" s="757" t="str">
        <f>VLOOKUP(A3134,'A VII.'!$A$10:$D$199,3,FALSE)</f>
        <v>KG</v>
      </c>
      <c r="E3134" s="85">
        <f>'A VII.'!D12</f>
        <v>0</v>
      </c>
      <c r="F3134" s="59">
        <f t="shared" ref="F3134:F3148" si="190">ROUND(C3134*E3134,2)</f>
        <v>0</v>
      </c>
    </row>
    <row r="3135" spans="1:6" ht="12.75" customHeight="1" x14ac:dyDescent="0.2">
      <c r="A3135" s="6" t="str">
        <f>'A VII.'!$A$19</f>
        <v>1.10</v>
      </c>
      <c r="B3135" s="421" t="str">
        <f>VLOOKUP(A3135,'A VII.'!$A$10:$D$199,2,FALSE)</f>
        <v>AREIA MÉDIA LAVADA</v>
      </c>
      <c r="C3135" s="114">
        <v>3.6600000000000001E-2</v>
      </c>
      <c r="D3135" s="757" t="str">
        <f>VLOOKUP(A3135,'A VII.'!$A$10:$D$199,3,FALSE)</f>
        <v>M3</v>
      </c>
      <c r="E3135" s="85">
        <f>'A VII.'!D19</f>
        <v>0</v>
      </c>
      <c r="F3135" s="59">
        <f t="shared" si="190"/>
        <v>0</v>
      </c>
    </row>
    <row r="3136" spans="1:6" ht="12.75" customHeight="1" x14ac:dyDescent="0.2">
      <c r="A3136" s="6" t="str">
        <f>'A VII.'!$A$38</f>
        <v>1.29</v>
      </c>
      <c r="B3136" s="421" t="str">
        <f>VLOOKUP(A3136,'A VII.'!$A$10:$D$199,2,FALSE)</f>
        <v>CIMENTO PORTLAND CP II-E-32</v>
      </c>
      <c r="C3136" s="114">
        <v>8.76</v>
      </c>
      <c r="D3136" s="757" t="str">
        <f>VLOOKUP(A3136,'A VII.'!$A$10:$D$199,3,FALSE)</f>
        <v>KG</v>
      </c>
      <c r="E3136" s="85">
        <f>'A VII.'!D38</f>
        <v>0</v>
      </c>
      <c r="F3136" s="59">
        <f t="shared" si="190"/>
        <v>0</v>
      </c>
    </row>
    <row r="3137" spans="1:6" ht="12.75" customHeight="1" x14ac:dyDescent="0.2">
      <c r="A3137" s="6"/>
      <c r="B3137" s="421"/>
      <c r="C3137" s="114"/>
      <c r="D3137" s="757"/>
      <c r="E3137" s="85"/>
      <c r="F3137" s="59">
        <f t="shared" si="190"/>
        <v>0</v>
      </c>
    </row>
    <row r="3138" spans="1:6" ht="12.75" customHeight="1" x14ac:dyDescent="0.2">
      <c r="A3138" s="6"/>
      <c r="B3138" s="421"/>
      <c r="C3138" s="114"/>
      <c r="D3138" s="757"/>
      <c r="E3138" s="85"/>
      <c r="F3138" s="59">
        <f t="shared" si="190"/>
        <v>0</v>
      </c>
    </row>
    <row r="3139" spans="1:6" ht="12.75" customHeight="1" x14ac:dyDescent="0.2">
      <c r="A3139" s="6"/>
      <c r="B3139" s="421"/>
      <c r="C3139" s="114"/>
      <c r="D3139" s="757"/>
      <c r="E3139" s="85"/>
      <c r="F3139" s="59">
        <f t="shared" si="190"/>
        <v>0</v>
      </c>
    </row>
    <row r="3140" spans="1:6" ht="12.75" customHeight="1" x14ac:dyDescent="0.2">
      <c r="A3140" s="6"/>
      <c r="B3140" s="421"/>
      <c r="C3140" s="114"/>
      <c r="D3140" s="757"/>
      <c r="E3140" s="85"/>
      <c r="F3140" s="59">
        <f t="shared" si="190"/>
        <v>0</v>
      </c>
    </row>
    <row r="3141" spans="1:6" ht="12.75" customHeight="1" x14ac:dyDescent="0.2">
      <c r="A3141" s="6"/>
      <c r="B3141" s="421"/>
      <c r="C3141" s="114"/>
      <c r="D3141" s="757"/>
      <c r="E3141" s="85"/>
      <c r="F3141" s="59">
        <f t="shared" si="190"/>
        <v>0</v>
      </c>
    </row>
    <row r="3142" spans="1:6" ht="12.75" customHeight="1" x14ac:dyDescent="0.2">
      <c r="A3142" s="6"/>
      <c r="B3142" s="421"/>
      <c r="C3142" s="114"/>
      <c r="D3142" s="757"/>
      <c r="E3142" s="85"/>
      <c r="F3142" s="59">
        <f t="shared" si="190"/>
        <v>0</v>
      </c>
    </row>
    <row r="3143" spans="1:6" ht="12.75" customHeight="1" x14ac:dyDescent="0.2">
      <c r="A3143" s="6"/>
      <c r="B3143" s="421"/>
      <c r="C3143" s="114"/>
      <c r="D3143" s="757"/>
      <c r="E3143" s="85"/>
      <c r="F3143" s="59">
        <f t="shared" si="190"/>
        <v>0</v>
      </c>
    </row>
    <row r="3144" spans="1:6" ht="12.75" customHeight="1" x14ac:dyDescent="0.2">
      <c r="A3144" s="6"/>
      <c r="B3144" s="421"/>
      <c r="C3144" s="114"/>
      <c r="D3144" s="758"/>
      <c r="E3144" s="85"/>
      <c r="F3144" s="59">
        <f t="shared" si="190"/>
        <v>0</v>
      </c>
    </row>
    <row r="3145" spans="1:6" ht="12.75" customHeight="1" x14ac:dyDescent="0.2">
      <c r="A3145" s="6"/>
      <c r="B3145" s="421"/>
      <c r="C3145" s="114"/>
      <c r="D3145" s="758"/>
      <c r="E3145" s="85"/>
      <c r="F3145" s="59">
        <f t="shared" si="190"/>
        <v>0</v>
      </c>
    </row>
    <row r="3146" spans="1:6" ht="12.75" customHeight="1" x14ac:dyDescent="0.2">
      <c r="A3146" s="6"/>
      <c r="B3146" s="421"/>
      <c r="C3146" s="114"/>
      <c r="D3146" s="758"/>
      <c r="E3146" s="85"/>
      <c r="F3146" s="59">
        <f t="shared" si="190"/>
        <v>0</v>
      </c>
    </row>
    <row r="3147" spans="1:6" ht="12.75" customHeight="1" x14ac:dyDescent="0.2">
      <c r="A3147" s="3"/>
      <c r="C3147" s="114"/>
      <c r="D3147" s="759"/>
      <c r="E3147" s="85"/>
      <c r="F3147" s="59">
        <f t="shared" si="190"/>
        <v>0</v>
      </c>
    </row>
    <row r="3148" spans="1:6" ht="12.75" customHeight="1" x14ac:dyDescent="0.2">
      <c r="A3148" s="3"/>
      <c r="C3148" s="114"/>
      <c r="D3148" s="759"/>
      <c r="E3148" s="85"/>
      <c r="F3148" s="59">
        <f t="shared" si="190"/>
        <v>0</v>
      </c>
    </row>
    <row r="3149" spans="1:6" ht="12.75" customHeight="1" x14ac:dyDescent="0.2">
      <c r="A3149" s="3"/>
      <c r="B3149" s="86" t="s">
        <v>258</v>
      </c>
      <c r="C3149" s="87"/>
      <c r="D3149" s="88"/>
      <c r="E3149" s="89"/>
      <c r="F3149" s="90">
        <f>SUM(F3133:F3148)</f>
        <v>0</v>
      </c>
    </row>
    <row r="3150" spans="1:6" ht="12.75" customHeight="1" x14ac:dyDescent="0.2">
      <c r="A3150" s="3"/>
      <c r="B3150" s="91" t="s">
        <v>70</v>
      </c>
      <c r="C3150" s="15">
        <f>$D$8</f>
        <v>0</v>
      </c>
      <c r="D3150" s="92"/>
      <c r="E3150" s="93"/>
      <c r="F3150" s="94">
        <f>ROUND(F3149*C3150,2)</f>
        <v>0</v>
      </c>
    </row>
    <row r="3151" spans="1:6" ht="12.75" customHeight="1" x14ac:dyDescent="0.2">
      <c r="A3151" s="95"/>
      <c r="B3151" s="424" t="s">
        <v>259</v>
      </c>
      <c r="C3151" s="425"/>
      <c r="D3151" s="425"/>
      <c r="E3151" s="426"/>
      <c r="F3151" s="96">
        <f>F3149+F3150</f>
        <v>0</v>
      </c>
    </row>
    <row r="3152" spans="1:6" ht="12.75" customHeight="1" x14ac:dyDescent="0.2">
      <c r="A3152" s="1" t="s">
        <v>5</v>
      </c>
      <c r="B3152" s="418" t="s">
        <v>267</v>
      </c>
      <c r="C3152" s="419" t="s">
        <v>263</v>
      </c>
      <c r="D3152" s="419" t="s">
        <v>264</v>
      </c>
      <c r="E3152" s="420" t="s">
        <v>265</v>
      </c>
      <c r="F3152" s="57" t="s">
        <v>266</v>
      </c>
    </row>
    <row r="3153" spans="1:6" ht="12.75" customHeight="1" x14ac:dyDescent="0.2">
      <c r="A3153" s="3"/>
      <c r="B3153" s="71"/>
      <c r="C3153" s="114"/>
      <c r="D3153" s="759"/>
      <c r="E3153" s="85"/>
      <c r="F3153" s="59">
        <f t="shared" ref="F3153:F3162" si="191">ROUND(C3153*E3153,2)</f>
        <v>0</v>
      </c>
    </row>
    <row r="3154" spans="1:6" ht="12.75" customHeight="1" x14ac:dyDescent="0.2">
      <c r="A3154" s="3"/>
      <c r="C3154" s="114"/>
      <c r="D3154" s="759"/>
      <c r="E3154" s="85"/>
      <c r="F3154" s="59">
        <f t="shared" si="191"/>
        <v>0</v>
      </c>
    </row>
    <row r="3155" spans="1:6" ht="12.75" customHeight="1" x14ac:dyDescent="0.2">
      <c r="A3155" s="3"/>
      <c r="C3155" s="114"/>
      <c r="D3155" s="759"/>
      <c r="E3155" s="85"/>
      <c r="F3155" s="59">
        <f t="shared" si="191"/>
        <v>0</v>
      </c>
    </row>
    <row r="3156" spans="1:6" ht="12.75" customHeight="1" x14ac:dyDescent="0.2">
      <c r="A3156" s="3"/>
      <c r="C3156" s="114"/>
      <c r="D3156" s="759"/>
      <c r="E3156" s="85"/>
      <c r="F3156" s="59">
        <f t="shared" si="191"/>
        <v>0</v>
      </c>
    </row>
    <row r="3157" spans="1:6" ht="12.75" customHeight="1" x14ac:dyDescent="0.2">
      <c r="A3157" s="3"/>
      <c r="C3157" s="114"/>
      <c r="D3157" s="759"/>
      <c r="E3157" s="85"/>
      <c r="F3157" s="59">
        <f t="shared" si="191"/>
        <v>0</v>
      </c>
    </row>
    <row r="3158" spans="1:6" ht="12.75" customHeight="1" x14ac:dyDescent="0.2">
      <c r="A3158" s="3"/>
      <c r="C3158" s="114"/>
      <c r="D3158" s="759"/>
      <c r="E3158" s="85"/>
      <c r="F3158" s="59">
        <f t="shared" si="191"/>
        <v>0</v>
      </c>
    </row>
    <row r="3159" spans="1:6" ht="12.75" customHeight="1" x14ac:dyDescent="0.2">
      <c r="A3159" s="3"/>
      <c r="C3159" s="114"/>
      <c r="D3159" s="759"/>
      <c r="E3159" s="85"/>
      <c r="F3159" s="59">
        <f t="shared" si="191"/>
        <v>0</v>
      </c>
    </row>
    <row r="3160" spans="1:6" ht="12.75" customHeight="1" x14ac:dyDescent="0.2">
      <c r="A3160" s="3"/>
      <c r="C3160" s="114"/>
      <c r="D3160" s="759"/>
      <c r="E3160" s="85"/>
      <c r="F3160" s="59">
        <f t="shared" si="191"/>
        <v>0</v>
      </c>
    </row>
    <row r="3161" spans="1:6" ht="12.75" customHeight="1" x14ac:dyDescent="0.2">
      <c r="A3161" s="3"/>
      <c r="C3161" s="114"/>
      <c r="D3161" s="759"/>
      <c r="E3161" s="85"/>
      <c r="F3161" s="59">
        <f t="shared" si="191"/>
        <v>0</v>
      </c>
    </row>
    <row r="3162" spans="1:6" ht="12.75" customHeight="1" x14ac:dyDescent="0.2">
      <c r="A3162" s="3"/>
      <c r="C3162" s="114"/>
      <c r="D3162" s="759"/>
      <c r="E3162" s="85"/>
      <c r="F3162" s="59">
        <f t="shared" si="191"/>
        <v>0</v>
      </c>
    </row>
    <row r="3163" spans="1:6" ht="12.75" customHeight="1" x14ac:dyDescent="0.2">
      <c r="A3163" s="3"/>
      <c r="B3163" s="86" t="s">
        <v>258</v>
      </c>
      <c r="C3163" s="87"/>
      <c r="D3163" s="88"/>
      <c r="E3163" s="89"/>
      <c r="F3163" s="90">
        <f>SUM(F3153:F3162)</f>
        <v>0</v>
      </c>
    </row>
    <row r="3164" spans="1:6" ht="12.75" customHeight="1" x14ac:dyDescent="0.2">
      <c r="A3164" s="3"/>
      <c r="B3164" s="91" t="s">
        <v>70</v>
      </c>
      <c r="C3164" s="15">
        <f>$D$8</f>
        <v>0</v>
      </c>
      <c r="D3164" s="92"/>
      <c r="E3164" s="93"/>
      <c r="F3164" s="94">
        <f>ROUND(C3164*F3163,2)</f>
        <v>0</v>
      </c>
    </row>
    <row r="3165" spans="1:6" ht="12.75" customHeight="1" x14ac:dyDescent="0.2">
      <c r="A3165" s="95"/>
      <c r="B3165" s="424" t="s">
        <v>260</v>
      </c>
      <c r="C3165" s="425"/>
      <c r="D3165" s="425"/>
      <c r="E3165" s="426"/>
      <c r="F3165" s="96">
        <f>F3163+F3164</f>
        <v>0</v>
      </c>
    </row>
    <row r="3166" spans="1:6" ht="12.75" customHeight="1" x14ac:dyDescent="0.2">
      <c r="A3166" s="97" t="s">
        <v>54</v>
      </c>
      <c r="B3166" s="427" t="s">
        <v>268</v>
      </c>
      <c r="C3166" s="428" t="s">
        <v>263</v>
      </c>
      <c r="D3166" s="429" t="s">
        <v>264</v>
      </c>
      <c r="E3166" s="430" t="s">
        <v>265</v>
      </c>
      <c r="F3166" s="57" t="s">
        <v>266</v>
      </c>
    </row>
    <row r="3167" spans="1:6" ht="12.75" customHeight="1" x14ac:dyDescent="0.2">
      <c r="A3167" s="3" t="str">
        <f>'A VII.'!$A$196</f>
        <v>3.16</v>
      </c>
      <c r="B3167" s="74" t="s">
        <v>189</v>
      </c>
      <c r="C3167" s="114">
        <v>0.55000000000000004</v>
      </c>
      <c r="D3167" s="759" t="str">
        <f>VLOOKUP(A3167,'A VII.'!$A$10:$D$199,3,FALSE)</f>
        <v>H</v>
      </c>
      <c r="E3167" s="85">
        <f>'A VII.'!D196</f>
        <v>0</v>
      </c>
      <c r="F3167" s="59">
        <f t="shared" ref="F3167:F3173" si="192">ROUND(C3167*E3167,2)</f>
        <v>0</v>
      </c>
    </row>
    <row r="3168" spans="1:6" ht="12.75" customHeight="1" x14ac:dyDescent="0.2">
      <c r="A3168" s="3" t="str">
        <f>'A VII.'!$A$192</f>
        <v>3.12</v>
      </c>
      <c r="B3168" s="74" t="s">
        <v>185</v>
      </c>
      <c r="C3168" s="114">
        <v>0.25</v>
      </c>
      <c r="D3168" s="759" t="str">
        <f>VLOOKUP(A3168,'A VII.'!$A$10:$D$199,3,FALSE)</f>
        <v>H</v>
      </c>
      <c r="E3168" s="85">
        <f>'A VII.'!D192</f>
        <v>0</v>
      </c>
      <c r="F3168" s="59">
        <f t="shared" si="192"/>
        <v>0</v>
      </c>
    </row>
    <row r="3169" spans="1:6" ht="12.75" customHeight="1" x14ac:dyDescent="0.2">
      <c r="A3169" s="3"/>
      <c r="C3169" s="114"/>
      <c r="D3169" s="759"/>
      <c r="E3169" s="85"/>
      <c r="F3169" s="59">
        <f t="shared" si="192"/>
        <v>0</v>
      </c>
    </row>
    <row r="3170" spans="1:6" ht="12.75" customHeight="1" x14ac:dyDescent="0.2">
      <c r="A3170" s="3"/>
      <c r="C3170" s="114"/>
      <c r="D3170" s="759"/>
      <c r="E3170" s="85"/>
      <c r="F3170" s="59">
        <f t="shared" si="192"/>
        <v>0</v>
      </c>
    </row>
    <row r="3171" spans="1:6" ht="12.75" customHeight="1" x14ac:dyDescent="0.2">
      <c r="A3171" s="3"/>
      <c r="C3171" s="114"/>
      <c r="D3171" s="759"/>
      <c r="E3171" s="85"/>
      <c r="F3171" s="59">
        <f t="shared" si="192"/>
        <v>0</v>
      </c>
    </row>
    <row r="3172" spans="1:6" ht="12.75" customHeight="1" x14ac:dyDescent="0.2">
      <c r="A3172" s="3"/>
      <c r="C3172" s="114"/>
      <c r="D3172" s="759"/>
      <c r="E3172" s="85"/>
      <c r="F3172" s="59">
        <f t="shared" si="192"/>
        <v>0</v>
      </c>
    </row>
    <row r="3173" spans="1:6" ht="12.75" customHeight="1" x14ac:dyDescent="0.2">
      <c r="A3173" s="3"/>
      <c r="C3173" s="114"/>
      <c r="D3173" s="759"/>
      <c r="E3173" s="85"/>
      <c r="F3173" s="59">
        <f t="shared" si="192"/>
        <v>0</v>
      </c>
    </row>
    <row r="3174" spans="1:6" ht="12.75" customHeight="1" x14ac:dyDescent="0.2">
      <c r="A3174" s="3"/>
      <c r="B3174" s="86" t="s">
        <v>258</v>
      </c>
      <c r="C3174" s="87"/>
      <c r="D3174" s="88"/>
      <c r="E3174" s="89"/>
      <c r="F3174" s="90">
        <f>SUM(F3167:F3173)</f>
        <v>0</v>
      </c>
    </row>
    <row r="3175" spans="1:6" ht="12.75" customHeight="1" x14ac:dyDescent="0.2">
      <c r="A3175" s="3"/>
      <c r="B3175" s="91" t="s">
        <v>261</v>
      </c>
      <c r="C3175" s="15">
        <f>'A IX.'!$C$45</f>
        <v>0</v>
      </c>
      <c r="D3175" s="92"/>
      <c r="E3175" s="93"/>
      <c r="F3175" s="94">
        <f>ROUND(F3174*C3175,2)</f>
        <v>0</v>
      </c>
    </row>
    <row r="3176" spans="1:6" ht="12.75" customHeight="1" x14ac:dyDescent="0.2">
      <c r="A3176" s="3"/>
      <c r="B3176" s="91" t="s">
        <v>70</v>
      </c>
      <c r="C3176" s="15">
        <f>$D$8</f>
        <v>0</v>
      </c>
      <c r="D3176" s="92"/>
      <c r="E3176" s="93"/>
      <c r="F3176" s="94">
        <f>ROUND(SUM(F3174:F3175)*C3176,2)</f>
        <v>0</v>
      </c>
    </row>
    <row r="3177" spans="1:6" ht="12.75" customHeight="1" thickBot="1" x14ac:dyDescent="0.25">
      <c r="A3177" s="98"/>
      <c r="B3177" s="99" t="s">
        <v>262</v>
      </c>
      <c r="C3177" s="100"/>
      <c r="D3177" s="100"/>
      <c r="E3177" s="101"/>
      <c r="F3177" s="102">
        <f>SUM(F3174:F3176)</f>
        <v>0</v>
      </c>
    </row>
    <row r="3178" spans="1:6" ht="12.75" customHeight="1" thickBot="1" x14ac:dyDescent="0.25">
      <c r="A3178" s="81"/>
      <c r="B3178" s="82"/>
      <c r="C3178" s="83"/>
      <c r="D3178" s="83"/>
      <c r="E3178" s="84"/>
      <c r="F3178" s="103"/>
    </row>
    <row r="3179" spans="1:6" ht="30" customHeight="1" x14ac:dyDescent="0.2">
      <c r="A3179" s="5" t="str">
        <f>'A IV.A'!$A$101</f>
        <v>3.10.1</v>
      </c>
      <c r="B3179" s="416" t="str">
        <f>'A IV.A'!$B$101</f>
        <v xml:space="preserve">LAJE PRE-MOLDADA P/FORRO, E=8CM, C/LAJOTAS E CAP.C/CONC FCK=20MPA, 3CM, INTER-EIXO 38CM, C/ESCORAMENTO E FERRAGEM NEGATIVA </v>
      </c>
      <c r="C3179" s="526" t="s">
        <v>269</v>
      </c>
      <c r="D3179" s="527"/>
      <c r="E3179" s="417" t="str">
        <f>'A IV.A'!$C$101</f>
        <v>M2</v>
      </c>
      <c r="F3179" s="58">
        <f>ROUND(F3199+F3213+F3225,2)</f>
        <v>0</v>
      </c>
    </row>
    <row r="3180" spans="1:6" ht="12.75" customHeight="1" x14ac:dyDescent="0.2">
      <c r="A3180" s="1" t="s">
        <v>17</v>
      </c>
      <c r="B3180" s="418" t="s">
        <v>162</v>
      </c>
      <c r="C3180" s="419" t="s">
        <v>263</v>
      </c>
      <c r="D3180" s="419" t="s">
        <v>264</v>
      </c>
      <c r="E3180" s="420" t="s">
        <v>265</v>
      </c>
      <c r="F3180" s="57" t="s">
        <v>266</v>
      </c>
    </row>
    <row r="3181" spans="1:6" ht="12.75" customHeight="1" x14ac:dyDescent="0.2">
      <c r="A3181" s="6" t="str">
        <f>'A VII.'!$A$19</f>
        <v>1.10</v>
      </c>
      <c r="B3181" s="421" t="str">
        <f>VLOOKUP(A3181,'A VII.'!$A$10:$D$199,2,FALSE)</f>
        <v>AREIA MÉDIA LAVADA</v>
      </c>
      <c r="C3181" s="114">
        <v>2.5805999999999999E-2</v>
      </c>
      <c r="D3181" s="757" t="str">
        <f>VLOOKUP(A3181,'A VII.'!$A$10:$D$199,3,FALSE)</f>
        <v>M3</v>
      </c>
      <c r="E3181" s="85">
        <f>'A VII.'!D19</f>
        <v>0</v>
      </c>
      <c r="F3181" s="59">
        <f>ROUND(C3181*E3181,2)</f>
        <v>0</v>
      </c>
    </row>
    <row r="3182" spans="1:6" ht="12.75" customHeight="1" x14ac:dyDescent="0.2">
      <c r="A3182" s="6" t="str">
        <f>'A VII.'!$A$38</f>
        <v>1.29</v>
      </c>
      <c r="B3182" s="421" t="str">
        <f>VLOOKUP(A3182,'A VII.'!$A$10:$D$199,2,FALSE)</f>
        <v>CIMENTO PORTLAND CP II-E-32</v>
      </c>
      <c r="C3182" s="114">
        <v>10.62072</v>
      </c>
      <c r="D3182" s="757" t="str">
        <f>VLOOKUP(A3182,'A VII.'!$A$10:$D$199,3,FALSE)</f>
        <v>KG</v>
      </c>
      <c r="E3182" s="85">
        <f>'A VII.'!D38</f>
        <v>0</v>
      </c>
      <c r="F3182" s="59">
        <f t="shared" ref="F3182:F3196" si="193">ROUND(C3182*E3182,2)</f>
        <v>0</v>
      </c>
    </row>
    <row r="3183" spans="1:6" ht="12.75" customHeight="1" x14ac:dyDescent="0.2">
      <c r="A3183" s="6" t="str">
        <f>'A VII.'!$A$66</f>
        <v>1.57</v>
      </c>
      <c r="B3183" s="421" t="str">
        <f>VLOOKUP(A3183,'A VII.'!$A$10:$D$199,2,FALSE)</f>
        <v>LAJE PRE-MOLDADA (LAJOTAS+VIGOTAS), UNIDIRECIONAL, SOBRECARGA 100 KG/M2, VAO ATE 4,0 M</v>
      </c>
      <c r="C3183" s="114">
        <v>1</v>
      </c>
      <c r="D3183" s="757" t="str">
        <f>VLOOKUP(A3183,'A VII.'!$A$10:$D$199,3,FALSE)</f>
        <v>M2</v>
      </c>
      <c r="E3183" s="85">
        <f>'A VII.'!D66</f>
        <v>0</v>
      </c>
      <c r="F3183" s="59">
        <f t="shared" si="193"/>
        <v>0</v>
      </c>
    </row>
    <row r="3184" spans="1:6" ht="12.75" customHeight="1" x14ac:dyDescent="0.2">
      <c r="A3184" s="6" t="str">
        <f>'A VII.'!$A$82</f>
        <v>1.73</v>
      </c>
      <c r="B3184" s="421" t="str">
        <f>VLOOKUP(A3184,'A VII.'!$A$10:$D$199,2,FALSE)</f>
        <v>PEDRA BRITADA Nº 1 GRANULOMETRIA ENTRE (9,5 E 25,00 MM)</v>
      </c>
      <c r="C3184" s="114">
        <v>1.9304999999999999E-2</v>
      </c>
      <c r="D3184" s="757" t="str">
        <f>VLOOKUP(A3184,'A VII.'!$A$10:$D$199,3,FALSE)</f>
        <v>M3</v>
      </c>
      <c r="E3184" s="85">
        <f>'A VII.'!$D$82</f>
        <v>0</v>
      </c>
      <c r="F3184" s="59">
        <f t="shared" si="193"/>
        <v>0</v>
      </c>
    </row>
    <row r="3185" spans="1:6" ht="12.75" customHeight="1" x14ac:dyDescent="0.2">
      <c r="A3185" s="6" t="str">
        <f>'A VII.'!$A$79</f>
        <v>1.70</v>
      </c>
      <c r="B3185" s="421" t="str">
        <f>VLOOKUP(A3185,'A VII.'!$A$10:$D$199,2,FALSE)</f>
        <v>PONTALETE DE MADEIRA NAO APARELHADA - 7,5 X 7,5 CM (3 X 3 ")</v>
      </c>
      <c r="C3185" s="114">
        <v>0.28999999999999998</v>
      </c>
      <c r="D3185" s="757" t="str">
        <f>VLOOKUP(A3185,'A VII.'!$A$10:$D$199,3,FALSE)</f>
        <v>M</v>
      </c>
      <c r="E3185" s="85">
        <f>'A VII.'!D79</f>
        <v>0</v>
      </c>
      <c r="F3185" s="59">
        <f t="shared" si="193"/>
        <v>0</v>
      </c>
    </row>
    <row r="3186" spans="1:6" ht="12.75" customHeight="1" x14ac:dyDescent="0.2">
      <c r="A3186" s="6" t="str">
        <f>'A VII.'!$A$101</f>
        <v>1.91</v>
      </c>
      <c r="B3186" s="421" t="str">
        <f>VLOOKUP(A3186,'A VII.'!$A$10:$D$199,2,FALSE)</f>
        <v>TÁBUA MADEIRA 3A QUALIDADE 2,5 X 30CM (1X12") NÃO APARELHADA</v>
      </c>
      <c r="C3186" s="114">
        <v>0.17</v>
      </c>
      <c r="D3186" s="757" t="str">
        <f>VLOOKUP(A3186,'A VII.'!$A$10:$D$199,3,FALSE)</f>
        <v>M</v>
      </c>
      <c r="E3186" s="85">
        <f>'A VII.'!$D$101</f>
        <v>0</v>
      </c>
      <c r="F3186" s="59">
        <f t="shared" si="193"/>
        <v>0</v>
      </c>
    </row>
    <row r="3187" spans="1:6" ht="12.75" customHeight="1" x14ac:dyDescent="0.2">
      <c r="A3187" s="6" t="str">
        <f>'A VII.'!$A$10</f>
        <v>1.1</v>
      </c>
      <c r="B3187" s="421" t="str">
        <f>VLOOKUP(A3187,'A VII.'!$A$10:$D$199,2,FALSE)</f>
        <v>AÇO CA-50 (MÉDIA DAS BITOLAS)</v>
      </c>
      <c r="C3187" s="114">
        <v>0.47099999999999997</v>
      </c>
      <c r="D3187" s="757" t="str">
        <f>VLOOKUP(A3187,'A VII.'!$A$10:$D$199,3,FALSE)</f>
        <v>KG</v>
      </c>
      <c r="E3187" s="85">
        <f>'A VII.'!$D$10</f>
        <v>0</v>
      </c>
      <c r="F3187" s="59">
        <f t="shared" si="193"/>
        <v>0</v>
      </c>
    </row>
    <row r="3188" spans="1:6" ht="12.75" customHeight="1" x14ac:dyDescent="0.2">
      <c r="A3188" s="6" t="str">
        <f>'A VII.'!$A$90</f>
        <v>1.80</v>
      </c>
      <c r="B3188" s="421" t="str">
        <f>VLOOKUP(A3188,'A VII.'!$A$10:$D$199,2,FALSE)</f>
        <v>PREGO EM AÇO POLIDO COM CABEÇA (MEDIA DAS BITOLAS)</v>
      </c>
      <c r="C3188" s="114">
        <v>0.03</v>
      </c>
      <c r="D3188" s="757" t="str">
        <f>VLOOKUP(A3188,'A VII.'!$A$10:$D$199,3,FALSE)</f>
        <v>KG</v>
      </c>
      <c r="E3188" s="85">
        <f>'A VII.'!$D$90</f>
        <v>0</v>
      </c>
      <c r="F3188" s="59">
        <f t="shared" si="193"/>
        <v>0</v>
      </c>
    </row>
    <row r="3189" spans="1:6" ht="12.75" customHeight="1" x14ac:dyDescent="0.2">
      <c r="A3189" s="6"/>
      <c r="B3189" s="421"/>
      <c r="C3189" s="114"/>
      <c r="D3189" s="757"/>
      <c r="E3189" s="85"/>
      <c r="F3189" s="59">
        <f t="shared" si="193"/>
        <v>0</v>
      </c>
    </row>
    <row r="3190" spans="1:6" ht="12.75" customHeight="1" x14ac:dyDescent="0.2">
      <c r="A3190" s="6"/>
      <c r="B3190" s="421"/>
      <c r="C3190" s="114"/>
      <c r="D3190" s="757"/>
      <c r="E3190" s="85"/>
      <c r="F3190" s="59">
        <f t="shared" si="193"/>
        <v>0</v>
      </c>
    </row>
    <row r="3191" spans="1:6" ht="12.75" customHeight="1" x14ac:dyDescent="0.2">
      <c r="A3191" s="6"/>
      <c r="B3191" s="421"/>
      <c r="C3191" s="114"/>
      <c r="D3191" s="757"/>
      <c r="E3191" s="85"/>
      <c r="F3191" s="59">
        <f t="shared" si="193"/>
        <v>0</v>
      </c>
    </row>
    <row r="3192" spans="1:6" ht="12.75" customHeight="1" x14ac:dyDescent="0.2">
      <c r="A3192" s="6"/>
      <c r="B3192" s="421"/>
      <c r="C3192" s="114"/>
      <c r="D3192" s="758"/>
      <c r="E3192" s="85"/>
      <c r="F3192" s="59">
        <f t="shared" si="193"/>
        <v>0</v>
      </c>
    </row>
    <row r="3193" spans="1:6" ht="12.75" customHeight="1" x14ac:dyDescent="0.2">
      <c r="A3193" s="6"/>
      <c r="B3193" s="421"/>
      <c r="C3193" s="114"/>
      <c r="D3193" s="758"/>
      <c r="E3193" s="85"/>
      <c r="F3193" s="59">
        <f t="shared" si="193"/>
        <v>0</v>
      </c>
    </row>
    <row r="3194" spans="1:6" ht="12.75" customHeight="1" x14ac:dyDescent="0.2">
      <c r="A3194" s="6"/>
      <c r="B3194" s="421"/>
      <c r="C3194" s="114"/>
      <c r="D3194" s="758"/>
      <c r="E3194" s="85"/>
      <c r="F3194" s="59">
        <f t="shared" si="193"/>
        <v>0</v>
      </c>
    </row>
    <row r="3195" spans="1:6" ht="12.75" customHeight="1" x14ac:dyDescent="0.2">
      <c r="A3195" s="3"/>
      <c r="C3195" s="114"/>
      <c r="D3195" s="759"/>
      <c r="E3195" s="85"/>
      <c r="F3195" s="59">
        <f t="shared" si="193"/>
        <v>0</v>
      </c>
    </row>
    <row r="3196" spans="1:6" ht="12.75" customHeight="1" x14ac:dyDescent="0.2">
      <c r="A3196" s="3"/>
      <c r="C3196" s="114"/>
      <c r="D3196" s="759"/>
      <c r="E3196" s="85"/>
      <c r="F3196" s="59">
        <f t="shared" si="193"/>
        <v>0</v>
      </c>
    </row>
    <row r="3197" spans="1:6" ht="12.75" customHeight="1" x14ac:dyDescent="0.2">
      <c r="A3197" s="3"/>
      <c r="B3197" s="86" t="s">
        <v>258</v>
      </c>
      <c r="C3197" s="87"/>
      <c r="D3197" s="88"/>
      <c r="E3197" s="89"/>
      <c r="F3197" s="90">
        <f>SUM(F3181:F3196)</f>
        <v>0</v>
      </c>
    </row>
    <row r="3198" spans="1:6" ht="12.75" customHeight="1" x14ac:dyDescent="0.2">
      <c r="A3198" s="3"/>
      <c r="B3198" s="91" t="s">
        <v>70</v>
      </c>
      <c r="C3198" s="15">
        <f>$D$8</f>
        <v>0</v>
      </c>
      <c r="D3198" s="92"/>
      <c r="E3198" s="93"/>
      <c r="F3198" s="94">
        <f>ROUND(F3197*C3198,2)</f>
        <v>0</v>
      </c>
    </row>
    <row r="3199" spans="1:6" ht="12.75" customHeight="1" x14ac:dyDescent="0.2">
      <c r="A3199" s="95"/>
      <c r="B3199" s="424" t="s">
        <v>259</v>
      </c>
      <c r="C3199" s="425"/>
      <c r="D3199" s="425"/>
      <c r="E3199" s="426"/>
      <c r="F3199" s="96">
        <f>F3197+F3198</f>
        <v>0</v>
      </c>
    </row>
    <row r="3200" spans="1:6" ht="12.75" customHeight="1" x14ac:dyDescent="0.2">
      <c r="A3200" s="1" t="s">
        <v>5</v>
      </c>
      <c r="B3200" s="418" t="s">
        <v>267</v>
      </c>
      <c r="C3200" s="419" t="s">
        <v>263</v>
      </c>
      <c r="D3200" s="419" t="s">
        <v>264</v>
      </c>
      <c r="E3200" s="420" t="s">
        <v>265</v>
      </c>
      <c r="F3200" s="57" t="s">
        <v>266</v>
      </c>
    </row>
    <row r="3201" spans="1:6" ht="12.75" customHeight="1" x14ac:dyDescent="0.2">
      <c r="A3201" s="3" t="str">
        <f>'A VII.'!$A$149</f>
        <v>2.7</v>
      </c>
      <c r="B3201" s="71" t="str">
        <f>VLOOKUP(A3201,'A VII.'!$A$10:$D$199,2,FALSE)</f>
        <v>BETONEIRA, CAPACIDADE NOMINAL DE 400L, MOTOR ELÉTRICO TRIFÁSICO DE  2CV - CHP</v>
      </c>
      <c r="C3201" s="114">
        <v>3.3989999999999999E-2</v>
      </c>
      <c r="D3201" s="759" t="str">
        <f>VLOOKUP(A3201,'A VII.'!$A$10:$D$199,3,FALSE)</f>
        <v>CHP</v>
      </c>
      <c r="E3201" s="85">
        <f>'A VII.'!$D$149</f>
        <v>0</v>
      </c>
      <c r="F3201" s="59">
        <f t="shared" ref="F3201:F3210" si="194">ROUND(C3201*E3201,2)</f>
        <v>0</v>
      </c>
    </row>
    <row r="3202" spans="1:6" ht="12.75" customHeight="1" x14ac:dyDescent="0.2">
      <c r="A3202" s="3" t="str">
        <f>'A VII.'!$A$148</f>
        <v>2.6</v>
      </c>
      <c r="B3202" s="74" t="str">
        <f>VLOOKUP(A3202,'A VII.'!$A$10:$D$199,2,FALSE)</f>
        <v>BETONEIRA, CAPACIDADE NOMINAL DE 400L, MOTOR ELÉTRICO TRIFÁSICO DE  2CV - CHI</v>
      </c>
      <c r="C3202" s="114">
        <v>3.2009999999999997E-2</v>
      </c>
      <c r="D3202" s="759" t="str">
        <f>VLOOKUP(A3202,'A VII.'!$A$10:$D$199,3,FALSE)</f>
        <v>CHI</v>
      </c>
      <c r="E3202" s="85">
        <f>'A VII.'!$D$148</f>
        <v>0</v>
      </c>
      <c r="F3202" s="59">
        <f t="shared" si="194"/>
        <v>0</v>
      </c>
    </row>
    <row r="3203" spans="1:6" ht="12.75" customHeight="1" x14ac:dyDescent="0.2">
      <c r="A3203" s="3"/>
      <c r="C3203" s="114"/>
      <c r="D3203" s="759"/>
      <c r="E3203" s="85"/>
      <c r="F3203" s="59">
        <f t="shared" si="194"/>
        <v>0</v>
      </c>
    </row>
    <row r="3204" spans="1:6" ht="12.75" customHeight="1" x14ac:dyDescent="0.2">
      <c r="A3204" s="3"/>
      <c r="C3204" s="114"/>
      <c r="D3204" s="759"/>
      <c r="E3204" s="85"/>
      <c r="F3204" s="59">
        <f t="shared" si="194"/>
        <v>0</v>
      </c>
    </row>
    <row r="3205" spans="1:6" ht="12.75" customHeight="1" x14ac:dyDescent="0.2">
      <c r="A3205" s="3"/>
      <c r="C3205" s="114"/>
      <c r="D3205" s="759"/>
      <c r="E3205" s="85"/>
      <c r="F3205" s="59">
        <f t="shared" si="194"/>
        <v>0</v>
      </c>
    </row>
    <row r="3206" spans="1:6" ht="12.75" customHeight="1" x14ac:dyDescent="0.2">
      <c r="A3206" s="3"/>
      <c r="C3206" s="114"/>
      <c r="D3206" s="759"/>
      <c r="E3206" s="85"/>
      <c r="F3206" s="59">
        <f t="shared" si="194"/>
        <v>0</v>
      </c>
    </row>
    <row r="3207" spans="1:6" ht="12.75" customHeight="1" x14ac:dyDescent="0.2">
      <c r="A3207" s="3"/>
      <c r="C3207" s="114"/>
      <c r="D3207" s="759"/>
      <c r="E3207" s="85"/>
      <c r="F3207" s="59">
        <f t="shared" si="194"/>
        <v>0</v>
      </c>
    </row>
    <row r="3208" spans="1:6" ht="12.75" customHeight="1" x14ac:dyDescent="0.2">
      <c r="A3208" s="3"/>
      <c r="C3208" s="114"/>
      <c r="D3208" s="759"/>
      <c r="E3208" s="85"/>
      <c r="F3208" s="59">
        <f t="shared" si="194"/>
        <v>0</v>
      </c>
    </row>
    <row r="3209" spans="1:6" ht="12.75" customHeight="1" x14ac:dyDescent="0.2">
      <c r="A3209" s="3"/>
      <c r="C3209" s="114"/>
      <c r="D3209" s="759"/>
      <c r="E3209" s="85"/>
      <c r="F3209" s="59">
        <f t="shared" si="194"/>
        <v>0</v>
      </c>
    </row>
    <row r="3210" spans="1:6" ht="12.75" customHeight="1" x14ac:dyDescent="0.2">
      <c r="A3210" s="3"/>
      <c r="C3210" s="114"/>
      <c r="D3210" s="759"/>
      <c r="E3210" s="85"/>
      <c r="F3210" s="59">
        <f t="shared" si="194"/>
        <v>0</v>
      </c>
    </row>
    <row r="3211" spans="1:6" ht="12.75" customHeight="1" x14ac:dyDescent="0.2">
      <c r="A3211" s="3"/>
      <c r="B3211" s="86" t="s">
        <v>258</v>
      </c>
      <c r="C3211" s="87"/>
      <c r="D3211" s="88"/>
      <c r="E3211" s="89"/>
      <c r="F3211" s="90">
        <f>SUM(F3201:F3210)</f>
        <v>0</v>
      </c>
    </row>
    <row r="3212" spans="1:6" ht="12.75" customHeight="1" x14ac:dyDescent="0.2">
      <c r="A3212" s="3"/>
      <c r="B3212" s="91" t="s">
        <v>70</v>
      </c>
      <c r="C3212" s="15">
        <f>$D$8</f>
        <v>0</v>
      </c>
      <c r="D3212" s="92"/>
      <c r="E3212" s="93"/>
      <c r="F3212" s="94">
        <f>ROUND(C3212*F3211,2)</f>
        <v>0</v>
      </c>
    </row>
    <row r="3213" spans="1:6" ht="12.75" customHeight="1" x14ac:dyDescent="0.2">
      <c r="A3213" s="95"/>
      <c r="B3213" s="424" t="s">
        <v>260</v>
      </c>
      <c r="C3213" s="425"/>
      <c r="D3213" s="425"/>
      <c r="E3213" s="426"/>
      <c r="F3213" s="96">
        <f>F3211+F3212</f>
        <v>0</v>
      </c>
    </row>
    <row r="3214" spans="1:6" ht="12.75" customHeight="1" x14ac:dyDescent="0.2">
      <c r="A3214" s="97" t="s">
        <v>54</v>
      </c>
      <c r="B3214" s="427" t="s">
        <v>268</v>
      </c>
      <c r="C3214" s="428" t="s">
        <v>263</v>
      </c>
      <c r="D3214" s="429" t="s">
        <v>264</v>
      </c>
      <c r="E3214" s="430" t="s">
        <v>265</v>
      </c>
      <c r="F3214" s="57" t="s">
        <v>266</v>
      </c>
    </row>
    <row r="3215" spans="1:6" ht="12.75" customHeight="1" x14ac:dyDescent="0.2">
      <c r="A3215" s="3" t="str">
        <f>'A VII.'!$A$183</f>
        <v>3.3</v>
      </c>
      <c r="B3215" s="74" t="s">
        <v>176</v>
      </c>
      <c r="C3215" s="114">
        <v>0.16</v>
      </c>
      <c r="D3215" s="759" t="str">
        <f>VLOOKUP(A3215,'A VII.'!$A$10:$D$199,3,FALSE)</f>
        <v>H</v>
      </c>
      <c r="E3215" s="85">
        <f>'A VII.'!D183</f>
        <v>0</v>
      </c>
      <c r="F3215" s="59">
        <f t="shared" ref="F3215:F3221" si="195">ROUND(C3215*E3215,2)</f>
        <v>0</v>
      </c>
    </row>
    <row r="3216" spans="1:6" ht="12.75" customHeight="1" x14ac:dyDescent="0.2">
      <c r="A3216" s="3" t="str">
        <f>'A VII.'!$A$186</f>
        <v>3.6</v>
      </c>
      <c r="B3216" s="74" t="s">
        <v>179</v>
      </c>
      <c r="C3216" s="114">
        <v>0.16</v>
      </c>
      <c r="D3216" s="759" t="str">
        <f>VLOOKUP(A3216,'A VII.'!$A$10:$D$199,3,FALSE)</f>
        <v>H</v>
      </c>
      <c r="E3216" s="85">
        <f>'A VII.'!D186</f>
        <v>0</v>
      </c>
      <c r="F3216" s="59">
        <f t="shared" si="195"/>
        <v>0</v>
      </c>
    </row>
    <row r="3217" spans="1:6" ht="12.75" customHeight="1" x14ac:dyDescent="0.2">
      <c r="A3217" s="3" t="str">
        <f>'A VII.'!$A$192</f>
        <v>3.12</v>
      </c>
      <c r="B3217" s="74" t="s">
        <v>185</v>
      </c>
      <c r="C3217" s="114">
        <v>0.35</v>
      </c>
      <c r="D3217" s="759" t="str">
        <f>VLOOKUP(A3217,'A VII.'!$A$10:$D$199,3,FALSE)</f>
        <v>H</v>
      </c>
      <c r="E3217" s="85">
        <f>'A VII.'!D192</f>
        <v>0</v>
      </c>
      <c r="F3217" s="59">
        <f t="shared" si="195"/>
        <v>0</v>
      </c>
    </row>
    <row r="3218" spans="1:6" ht="12.75" customHeight="1" x14ac:dyDescent="0.2">
      <c r="A3218" s="3" t="str">
        <f>'A VII.'!$A$196</f>
        <v>3.16</v>
      </c>
      <c r="B3218" s="74" t="s">
        <v>189</v>
      </c>
      <c r="C3218" s="114">
        <f>0.36+0.17061</f>
        <v>0.53061000000000003</v>
      </c>
      <c r="D3218" s="759" t="str">
        <f>VLOOKUP(A3218,'A VII.'!$A$10:$D$199,3,FALSE)</f>
        <v>H</v>
      </c>
      <c r="E3218" s="85">
        <f>'A VII.'!D196</f>
        <v>0</v>
      </c>
      <c r="F3218" s="59">
        <f t="shared" si="195"/>
        <v>0</v>
      </c>
    </row>
    <row r="3219" spans="1:6" ht="12.75" customHeight="1" x14ac:dyDescent="0.2">
      <c r="A3219" s="3"/>
      <c r="C3219" s="114"/>
      <c r="D3219" s="759"/>
      <c r="E3219" s="85"/>
      <c r="F3219" s="59">
        <f t="shared" si="195"/>
        <v>0</v>
      </c>
    </row>
    <row r="3220" spans="1:6" ht="12.75" customHeight="1" x14ac:dyDescent="0.2">
      <c r="A3220" s="3"/>
      <c r="C3220" s="114"/>
      <c r="D3220" s="759"/>
      <c r="E3220" s="85"/>
      <c r="F3220" s="59">
        <f t="shared" si="195"/>
        <v>0</v>
      </c>
    </row>
    <row r="3221" spans="1:6" ht="12.75" customHeight="1" x14ac:dyDescent="0.2">
      <c r="A3221" s="3"/>
      <c r="C3221" s="114"/>
      <c r="D3221" s="759"/>
      <c r="E3221" s="85"/>
      <c r="F3221" s="59">
        <f t="shared" si="195"/>
        <v>0</v>
      </c>
    </row>
    <row r="3222" spans="1:6" ht="12.75" customHeight="1" x14ac:dyDescent="0.2">
      <c r="A3222" s="3"/>
      <c r="B3222" s="86" t="s">
        <v>258</v>
      </c>
      <c r="C3222" s="87"/>
      <c r="D3222" s="88"/>
      <c r="E3222" s="89"/>
      <c r="F3222" s="90">
        <f>SUM(F3215:F3221)</f>
        <v>0</v>
      </c>
    </row>
    <row r="3223" spans="1:6" ht="12.75" customHeight="1" x14ac:dyDescent="0.2">
      <c r="A3223" s="3"/>
      <c r="B3223" s="91" t="s">
        <v>261</v>
      </c>
      <c r="C3223" s="15">
        <f>'A IX.'!$C$45</f>
        <v>0</v>
      </c>
      <c r="D3223" s="92"/>
      <c r="E3223" s="93"/>
      <c r="F3223" s="94">
        <f>ROUND(F3222*C3223,2)</f>
        <v>0</v>
      </c>
    </row>
    <row r="3224" spans="1:6" ht="12.75" customHeight="1" x14ac:dyDescent="0.2">
      <c r="A3224" s="3"/>
      <c r="B3224" s="91" t="s">
        <v>70</v>
      </c>
      <c r="C3224" s="15">
        <f>$D$8</f>
        <v>0</v>
      </c>
      <c r="D3224" s="92"/>
      <c r="E3224" s="93"/>
      <c r="F3224" s="94">
        <f>ROUND(SUM(F3222:F3223)*C3224,2)</f>
        <v>0</v>
      </c>
    </row>
    <row r="3225" spans="1:6" ht="12.75" customHeight="1" thickBot="1" x14ac:dyDescent="0.25">
      <c r="A3225" s="98"/>
      <c r="B3225" s="99" t="s">
        <v>262</v>
      </c>
      <c r="C3225" s="100"/>
      <c r="D3225" s="100"/>
      <c r="E3225" s="101"/>
      <c r="F3225" s="102">
        <f>SUM(F3222:F3224)</f>
        <v>0</v>
      </c>
    </row>
    <row r="3226" spans="1:6" ht="12.75" customHeight="1" thickBot="1" x14ac:dyDescent="0.25">
      <c r="A3226" s="81"/>
      <c r="B3226" s="82"/>
      <c r="C3226" s="83"/>
      <c r="D3226" s="83"/>
      <c r="E3226" s="84"/>
      <c r="F3226" s="103"/>
    </row>
    <row r="3227" spans="1:6" ht="30" customHeight="1" x14ac:dyDescent="0.2">
      <c r="A3227" s="5" t="str">
        <f>'A IV.A'!$A$102</f>
        <v>3.10.2</v>
      </c>
      <c r="B3227" s="416" t="str">
        <f>'A IV.A'!B102</f>
        <v>TRAMA DE MADEIRA COMPOSTA POR TERÇAS PARA TELHADOS DE ATÉ 2 ÁGUAS PARA TELHA ONDULADA DE FIBROCIMENTO, METÁLICA, PLÁSTICA OU TERMOACÚSTICA</v>
      </c>
      <c r="C3227" s="526" t="s">
        <v>269</v>
      </c>
      <c r="D3227" s="527"/>
      <c r="E3227" s="417" t="str">
        <f>'A IV.A'!C102</f>
        <v>M2</v>
      </c>
      <c r="F3227" s="58">
        <f>ROUND(F3247+F3261+F3273,2)</f>
        <v>0</v>
      </c>
    </row>
    <row r="3228" spans="1:6" ht="12.75" customHeight="1" x14ac:dyDescent="0.2">
      <c r="A3228" s="1" t="s">
        <v>17</v>
      </c>
      <c r="B3228" s="418" t="s">
        <v>162</v>
      </c>
      <c r="C3228" s="419" t="s">
        <v>263</v>
      </c>
      <c r="D3228" s="419" t="s">
        <v>264</v>
      </c>
      <c r="E3228" s="420" t="s">
        <v>265</v>
      </c>
      <c r="F3228" s="57" t="s">
        <v>266</v>
      </c>
    </row>
    <row r="3229" spans="1:6" ht="12.75" customHeight="1" x14ac:dyDescent="0.2">
      <c r="A3229" s="6" t="str">
        <f>'A VII.'!$A$126</f>
        <v>1.116</v>
      </c>
      <c r="B3229" s="421" t="str">
        <f>VLOOKUP(A3229,'A VII.'!$A$10:$D$199,2,FALSE)</f>
        <v>VIGA DE MADEIRA NAO APARELHADA 6 X 12 CM, MACARANDUBA, ANGELIM OU EQUIVALENTE DA REGIAO</v>
      </c>
      <c r="C3229" s="114">
        <v>0.63100000000000001</v>
      </c>
      <c r="D3229" s="757" t="str">
        <f>VLOOKUP(A3229,'A VII.'!$A$10:$D$199,3,FALSE)</f>
        <v>M</v>
      </c>
      <c r="E3229" s="85">
        <f>'A VII.'!D126</f>
        <v>0</v>
      </c>
      <c r="F3229" s="59">
        <f>ROUND(C3229*E3229,2)</f>
        <v>0</v>
      </c>
    </row>
    <row r="3230" spans="1:6" ht="12.75" customHeight="1" x14ac:dyDescent="0.2">
      <c r="A3230" s="6" t="str">
        <f>'A VII.'!$A$90</f>
        <v>1.80</v>
      </c>
      <c r="B3230" s="421" t="str">
        <f>VLOOKUP(A3230,'A VII.'!$A$10:$D$199,2,FALSE)</f>
        <v>PREGO EM AÇO POLIDO COM CABEÇA (MEDIA DAS BITOLAS)</v>
      </c>
      <c r="C3230" s="114">
        <v>0.03</v>
      </c>
      <c r="D3230" s="757" t="str">
        <f>VLOOKUP(A3230,'A VII.'!$A$10:$D$199,3,FALSE)</f>
        <v>KG</v>
      </c>
      <c r="E3230" s="85">
        <f>'A VII.'!D90</f>
        <v>0</v>
      </c>
      <c r="F3230" s="59">
        <f t="shared" ref="F3230:F3244" si="196">ROUND(C3230*E3230,2)</f>
        <v>0</v>
      </c>
    </row>
    <row r="3231" spans="1:6" ht="12.75" customHeight="1" x14ac:dyDescent="0.2">
      <c r="A3231" s="6"/>
      <c r="B3231" s="421"/>
      <c r="C3231" s="114"/>
      <c r="D3231" s="757"/>
      <c r="E3231" s="85"/>
      <c r="F3231" s="59">
        <f t="shared" si="196"/>
        <v>0</v>
      </c>
    </row>
    <row r="3232" spans="1:6" ht="12.75" customHeight="1" x14ac:dyDescent="0.2">
      <c r="A3232" s="6"/>
      <c r="B3232" s="421"/>
      <c r="C3232" s="114"/>
      <c r="D3232" s="757"/>
      <c r="E3232" s="85"/>
      <c r="F3232" s="59">
        <f t="shared" si="196"/>
        <v>0</v>
      </c>
    </row>
    <row r="3233" spans="1:6" ht="12.75" customHeight="1" x14ac:dyDescent="0.2">
      <c r="A3233" s="6"/>
      <c r="B3233" s="421"/>
      <c r="C3233" s="114"/>
      <c r="D3233" s="757"/>
      <c r="E3233" s="85"/>
      <c r="F3233" s="59">
        <f t="shared" si="196"/>
        <v>0</v>
      </c>
    </row>
    <row r="3234" spans="1:6" ht="12.75" customHeight="1" x14ac:dyDescent="0.2">
      <c r="A3234" s="6"/>
      <c r="B3234" s="421"/>
      <c r="C3234" s="114"/>
      <c r="D3234" s="757"/>
      <c r="E3234" s="85"/>
      <c r="F3234" s="59">
        <f t="shared" si="196"/>
        <v>0</v>
      </c>
    </row>
    <row r="3235" spans="1:6" ht="12.75" customHeight="1" x14ac:dyDescent="0.2">
      <c r="A3235" s="6"/>
      <c r="B3235" s="421"/>
      <c r="C3235" s="114"/>
      <c r="D3235" s="757"/>
      <c r="E3235" s="85"/>
      <c r="F3235" s="59">
        <f t="shared" si="196"/>
        <v>0</v>
      </c>
    </row>
    <row r="3236" spans="1:6" ht="12.75" customHeight="1" x14ac:dyDescent="0.2">
      <c r="A3236" s="6"/>
      <c r="B3236" s="421"/>
      <c r="C3236" s="114"/>
      <c r="D3236" s="757"/>
      <c r="E3236" s="85"/>
      <c r="F3236" s="59">
        <f t="shared" si="196"/>
        <v>0</v>
      </c>
    </row>
    <row r="3237" spans="1:6" ht="12.75" customHeight="1" x14ac:dyDescent="0.2">
      <c r="A3237" s="6"/>
      <c r="B3237" s="421"/>
      <c r="C3237" s="114"/>
      <c r="D3237" s="757"/>
      <c r="E3237" s="85"/>
      <c r="F3237" s="59">
        <f t="shared" si="196"/>
        <v>0</v>
      </c>
    </row>
    <row r="3238" spans="1:6" ht="12.75" customHeight="1" x14ac:dyDescent="0.2">
      <c r="A3238" s="6"/>
      <c r="B3238" s="421"/>
      <c r="C3238" s="114"/>
      <c r="D3238" s="757"/>
      <c r="E3238" s="85"/>
      <c r="F3238" s="59">
        <f t="shared" si="196"/>
        <v>0</v>
      </c>
    </row>
    <row r="3239" spans="1:6" ht="12.75" customHeight="1" x14ac:dyDescent="0.2">
      <c r="A3239" s="6"/>
      <c r="B3239" s="421"/>
      <c r="C3239" s="114"/>
      <c r="D3239" s="757"/>
      <c r="E3239" s="85"/>
      <c r="F3239" s="59">
        <f t="shared" si="196"/>
        <v>0</v>
      </c>
    </row>
    <row r="3240" spans="1:6" ht="12.75" customHeight="1" x14ac:dyDescent="0.2">
      <c r="A3240" s="6"/>
      <c r="B3240" s="421"/>
      <c r="C3240" s="114"/>
      <c r="D3240" s="758"/>
      <c r="E3240" s="85"/>
      <c r="F3240" s="59">
        <f t="shared" si="196"/>
        <v>0</v>
      </c>
    </row>
    <row r="3241" spans="1:6" ht="12.75" customHeight="1" x14ac:dyDescent="0.2">
      <c r="A3241" s="6"/>
      <c r="B3241" s="421"/>
      <c r="C3241" s="114"/>
      <c r="D3241" s="758"/>
      <c r="E3241" s="85"/>
      <c r="F3241" s="59">
        <f t="shared" si="196"/>
        <v>0</v>
      </c>
    </row>
    <row r="3242" spans="1:6" ht="12.75" customHeight="1" x14ac:dyDescent="0.2">
      <c r="A3242" s="6"/>
      <c r="B3242" s="421"/>
      <c r="C3242" s="114"/>
      <c r="D3242" s="758"/>
      <c r="E3242" s="85"/>
      <c r="F3242" s="59">
        <f t="shared" si="196"/>
        <v>0</v>
      </c>
    </row>
    <row r="3243" spans="1:6" ht="12.75" customHeight="1" x14ac:dyDescent="0.2">
      <c r="A3243" s="3"/>
      <c r="C3243" s="114"/>
      <c r="D3243" s="759"/>
      <c r="E3243" s="85"/>
      <c r="F3243" s="59">
        <f t="shared" si="196"/>
        <v>0</v>
      </c>
    </row>
    <row r="3244" spans="1:6" ht="12.75" customHeight="1" x14ac:dyDescent="0.2">
      <c r="A3244" s="3"/>
      <c r="C3244" s="114"/>
      <c r="D3244" s="759"/>
      <c r="E3244" s="85"/>
      <c r="F3244" s="59">
        <f t="shared" si="196"/>
        <v>0</v>
      </c>
    </row>
    <row r="3245" spans="1:6" ht="12.75" customHeight="1" x14ac:dyDescent="0.2">
      <c r="A3245" s="3"/>
      <c r="B3245" s="86" t="s">
        <v>258</v>
      </c>
      <c r="C3245" s="87"/>
      <c r="D3245" s="88"/>
      <c r="E3245" s="89"/>
      <c r="F3245" s="90">
        <f>SUM(F3229:F3244)</f>
        <v>0</v>
      </c>
    </row>
    <row r="3246" spans="1:6" ht="12.75" customHeight="1" x14ac:dyDescent="0.2">
      <c r="A3246" s="3"/>
      <c r="B3246" s="91" t="s">
        <v>70</v>
      </c>
      <c r="C3246" s="15">
        <f>$D$8</f>
        <v>0</v>
      </c>
      <c r="D3246" s="92"/>
      <c r="E3246" s="93"/>
      <c r="F3246" s="94">
        <f>ROUND(F3245*C3246,2)</f>
        <v>0</v>
      </c>
    </row>
    <row r="3247" spans="1:6" ht="12.75" customHeight="1" x14ac:dyDescent="0.2">
      <c r="A3247" s="95"/>
      <c r="B3247" s="424" t="s">
        <v>259</v>
      </c>
      <c r="C3247" s="425"/>
      <c r="D3247" s="425"/>
      <c r="E3247" s="426"/>
      <c r="F3247" s="96">
        <f>F3245+F3246</f>
        <v>0</v>
      </c>
    </row>
    <row r="3248" spans="1:6" ht="12.75" customHeight="1" x14ac:dyDescent="0.2">
      <c r="A3248" s="1" t="s">
        <v>5</v>
      </c>
      <c r="B3248" s="418" t="s">
        <v>267</v>
      </c>
      <c r="C3248" s="419" t="s">
        <v>263</v>
      </c>
      <c r="D3248" s="419" t="s">
        <v>264</v>
      </c>
      <c r="E3248" s="420" t="s">
        <v>265</v>
      </c>
      <c r="F3248" s="57" t="s">
        <v>266</v>
      </c>
    </row>
    <row r="3249" spans="1:6" ht="12.75" customHeight="1" x14ac:dyDescent="0.2">
      <c r="A3249" s="3" t="str">
        <f>'A VII.'!$A$157</f>
        <v>2.15</v>
      </c>
      <c r="B3249" s="71" t="str">
        <f>VLOOKUP(A3249,'A VII.'!$A$10:$D$199,2,FALSE)</f>
        <v>GUINCHO ELÉTRICO DE COLUNA, CAPACIDADE 400 KG, COM MOTO FREIO, MOTOR TRIFÁSICO DE 1,25 CV - CHP</v>
      </c>
      <c r="C3249" s="114">
        <v>4.5999999999999999E-3</v>
      </c>
      <c r="D3249" s="759" t="str">
        <f>VLOOKUP(A3249,'A VII.'!$A$10:$D$199,3,FALSE)</f>
        <v>CHP</v>
      </c>
      <c r="E3249" s="85">
        <f>'A VII.'!$D$157</f>
        <v>0</v>
      </c>
      <c r="F3249" s="59">
        <f t="shared" ref="F3249:F3258" si="197">ROUND(C3249*E3249,2)</f>
        <v>0</v>
      </c>
    </row>
    <row r="3250" spans="1:6" ht="12.75" customHeight="1" x14ac:dyDescent="0.2">
      <c r="A3250" s="3" t="str">
        <f>'A VII.'!$A$158</f>
        <v>2.16</v>
      </c>
      <c r="B3250" s="74" t="str">
        <f>VLOOKUP(A3250,'A VII.'!$A$10:$D$199,2,FALSE)</f>
        <v>GUINCHO ELÉTRICO DE COLUNA, CAPACIDADE 400 KG, COM MOTO FREIO, MOTOR TRIFÁSICO DE 1,25 CV - CHI</v>
      </c>
      <c r="C3250" s="114">
        <v>6.4000000000000003E-3</v>
      </c>
      <c r="D3250" s="759" t="str">
        <f>VLOOKUP(A3250,'A VII.'!$A$10:$D$199,3,FALSE)</f>
        <v>CHI</v>
      </c>
      <c r="E3250" s="85">
        <f>'A VII.'!$D$158</f>
        <v>0</v>
      </c>
      <c r="F3250" s="59">
        <f t="shared" si="197"/>
        <v>0</v>
      </c>
    </row>
    <row r="3251" spans="1:6" ht="12.75" customHeight="1" x14ac:dyDescent="0.2">
      <c r="A3251" s="3"/>
      <c r="C3251" s="114"/>
      <c r="D3251" s="759"/>
      <c r="E3251" s="85"/>
      <c r="F3251" s="59">
        <f t="shared" si="197"/>
        <v>0</v>
      </c>
    </row>
    <row r="3252" spans="1:6" ht="12.75" customHeight="1" x14ac:dyDescent="0.2">
      <c r="A3252" s="3"/>
      <c r="C3252" s="114"/>
      <c r="D3252" s="759"/>
      <c r="E3252" s="85"/>
      <c r="F3252" s="59">
        <f t="shared" si="197"/>
        <v>0</v>
      </c>
    </row>
    <row r="3253" spans="1:6" ht="12.75" customHeight="1" x14ac:dyDescent="0.2">
      <c r="A3253" s="3"/>
      <c r="C3253" s="114"/>
      <c r="D3253" s="759"/>
      <c r="E3253" s="85"/>
      <c r="F3253" s="59">
        <f t="shared" si="197"/>
        <v>0</v>
      </c>
    </row>
    <row r="3254" spans="1:6" ht="12.75" customHeight="1" x14ac:dyDescent="0.2">
      <c r="A3254" s="3"/>
      <c r="C3254" s="114"/>
      <c r="D3254" s="759"/>
      <c r="E3254" s="85"/>
      <c r="F3254" s="59">
        <f t="shared" si="197"/>
        <v>0</v>
      </c>
    </row>
    <row r="3255" spans="1:6" ht="12.75" customHeight="1" x14ac:dyDescent="0.2">
      <c r="A3255" s="3"/>
      <c r="C3255" s="114"/>
      <c r="D3255" s="759"/>
      <c r="E3255" s="85"/>
      <c r="F3255" s="59">
        <f t="shared" si="197"/>
        <v>0</v>
      </c>
    </row>
    <row r="3256" spans="1:6" ht="12.75" customHeight="1" x14ac:dyDescent="0.2">
      <c r="A3256" s="3"/>
      <c r="C3256" s="114"/>
      <c r="D3256" s="759"/>
      <c r="E3256" s="85"/>
      <c r="F3256" s="59">
        <f t="shared" si="197"/>
        <v>0</v>
      </c>
    </row>
    <row r="3257" spans="1:6" ht="12.75" customHeight="1" x14ac:dyDescent="0.2">
      <c r="A3257" s="3"/>
      <c r="C3257" s="114"/>
      <c r="D3257" s="759"/>
      <c r="E3257" s="85"/>
      <c r="F3257" s="59">
        <f t="shared" si="197"/>
        <v>0</v>
      </c>
    </row>
    <row r="3258" spans="1:6" ht="12.75" customHeight="1" x14ac:dyDescent="0.2">
      <c r="A3258" s="3"/>
      <c r="C3258" s="114"/>
      <c r="D3258" s="759"/>
      <c r="E3258" s="85"/>
      <c r="F3258" s="59">
        <f t="shared" si="197"/>
        <v>0</v>
      </c>
    </row>
    <row r="3259" spans="1:6" ht="12.75" customHeight="1" x14ac:dyDescent="0.2">
      <c r="A3259" s="3"/>
      <c r="B3259" s="86" t="s">
        <v>258</v>
      </c>
      <c r="C3259" s="87"/>
      <c r="D3259" s="88"/>
      <c r="E3259" s="89"/>
      <c r="F3259" s="90">
        <f>SUM(F3249:F3258)</f>
        <v>0</v>
      </c>
    </row>
    <row r="3260" spans="1:6" ht="12.75" customHeight="1" x14ac:dyDescent="0.2">
      <c r="A3260" s="3"/>
      <c r="B3260" s="91" t="s">
        <v>70</v>
      </c>
      <c r="C3260" s="15">
        <f>$D$8</f>
        <v>0</v>
      </c>
      <c r="D3260" s="92"/>
      <c r="E3260" s="93"/>
      <c r="F3260" s="94">
        <f>ROUND(C3260*F3259,2)</f>
        <v>0</v>
      </c>
    </row>
    <row r="3261" spans="1:6" ht="12.75" customHeight="1" x14ac:dyDescent="0.2">
      <c r="A3261" s="95"/>
      <c r="B3261" s="424" t="s">
        <v>260</v>
      </c>
      <c r="C3261" s="425"/>
      <c r="D3261" s="425"/>
      <c r="E3261" s="426"/>
      <c r="F3261" s="96">
        <f>F3259+F3260</f>
        <v>0</v>
      </c>
    </row>
    <row r="3262" spans="1:6" ht="12.75" customHeight="1" x14ac:dyDescent="0.2">
      <c r="A3262" s="97" t="s">
        <v>54</v>
      </c>
      <c r="B3262" s="427" t="s">
        <v>268</v>
      </c>
      <c r="C3262" s="428" t="s">
        <v>263</v>
      </c>
      <c r="D3262" s="429" t="s">
        <v>264</v>
      </c>
      <c r="E3262" s="430" t="s">
        <v>265</v>
      </c>
      <c r="F3262" s="57" t="s">
        <v>266</v>
      </c>
    </row>
    <row r="3263" spans="1:6" ht="12.75" customHeight="1" x14ac:dyDescent="0.2">
      <c r="A3263" s="3" t="str">
        <f>'A VII.'!$A$183</f>
        <v>3.3</v>
      </c>
      <c r="B3263" s="74" t="s">
        <v>176</v>
      </c>
      <c r="C3263" s="114">
        <f>0.065</f>
        <v>6.5000000000000002E-2</v>
      </c>
      <c r="D3263" s="759" t="str">
        <f>VLOOKUP(A3263,'A VII.'!$A$10:$D$199,3,FALSE)</f>
        <v>H</v>
      </c>
      <c r="E3263" s="85">
        <f>'A VII.'!D183</f>
        <v>0</v>
      </c>
      <c r="F3263" s="59">
        <f t="shared" ref="F3263:F3269" si="198">ROUND(C3263*E3263,2)</f>
        <v>0</v>
      </c>
    </row>
    <row r="3264" spans="1:6" ht="12.75" customHeight="1" x14ac:dyDescent="0.2">
      <c r="A3264" s="3" t="str">
        <f>'A VII.'!$A$186</f>
        <v>3.6</v>
      </c>
      <c r="B3264" s="74" t="s">
        <v>179</v>
      </c>
      <c r="C3264" s="114">
        <v>0.11799999999999999</v>
      </c>
      <c r="D3264" s="759" t="str">
        <f>VLOOKUP(A3264,'A VII.'!$A$10:$D$199,3,FALSE)</f>
        <v>H</v>
      </c>
      <c r="E3264" s="85">
        <f>'A VII.'!D186</f>
        <v>0</v>
      </c>
      <c r="F3264" s="59">
        <f t="shared" si="198"/>
        <v>0</v>
      </c>
    </row>
    <row r="3265" spans="1:6" ht="12.75" customHeight="1" x14ac:dyDescent="0.2">
      <c r="A3265" s="3"/>
      <c r="C3265" s="114"/>
      <c r="D3265" s="759"/>
      <c r="E3265" s="85"/>
      <c r="F3265" s="59">
        <f t="shared" si="198"/>
        <v>0</v>
      </c>
    </row>
    <row r="3266" spans="1:6" ht="12.75" customHeight="1" x14ac:dyDescent="0.2">
      <c r="A3266" s="3"/>
      <c r="C3266" s="114"/>
      <c r="D3266" s="759"/>
      <c r="E3266" s="85"/>
      <c r="F3266" s="59">
        <f t="shared" si="198"/>
        <v>0</v>
      </c>
    </row>
    <row r="3267" spans="1:6" ht="12.75" customHeight="1" x14ac:dyDescent="0.2">
      <c r="A3267" s="3"/>
      <c r="C3267" s="114"/>
      <c r="D3267" s="759"/>
      <c r="E3267" s="85"/>
      <c r="F3267" s="59">
        <f t="shared" si="198"/>
        <v>0</v>
      </c>
    </row>
    <row r="3268" spans="1:6" ht="12.75" customHeight="1" x14ac:dyDescent="0.2">
      <c r="A3268" s="3"/>
      <c r="C3268" s="114"/>
      <c r="D3268" s="759"/>
      <c r="E3268" s="85"/>
      <c r="F3268" s="59">
        <f t="shared" si="198"/>
        <v>0</v>
      </c>
    </row>
    <row r="3269" spans="1:6" ht="12.75" customHeight="1" x14ac:dyDescent="0.2">
      <c r="A3269" s="3"/>
      <c r="C3269" s="114"/>
      <c r="D3269" s="759"/>
      <c r="E3269" s="85"/>
      <c r="F3269" s="59">
        <f t="shared" si="198"/>
        <v>0</v>
      </c>
    </row>
    <row r="3270" spans="1:6" ht="12.75" customHeight="1" x14ac:dyDescent="0.2">
      <c r="A3270" s="3"/>
      <c r="B3270" s="86" t="s">
        <v>258</v>
      </c>
      <c r="C3270" s="87"/>
      <c r="D3270" s="88"/>
      <c r="E3270" s="89"/>
      <c r="F3270" s="90">
        <f>SUM(F3263:F3269)</f>
        <v>0</v>
      </c>
    </row>
    <row r="3271" spans="1:6" ht="12.75" customHeight="1" x14ac:dyDescent="0.2">
      <c r="A3271" s="3"/>
      <c r="B3271" s="91" t="s">
        <v>261</v>
      </c>
      <c r="C3271" s="15">
        <f>'A IX.'!$C$45</f>
        <v>0</v>
      </c>
      <c r="D3271" s="92"/>
      <c r="E3271" s="93"/>
      <c r="F3271" s="94">
        <f>ROUND(F3270*C3271,2)</f>
        <v>0</v>
      </c>
    </row>
    <row r="3272" spans="1:6" ht="12.75" customHeight="1" x14ac:dyDescent="0.2">
      <c r="A3272" s="3"/>
      <c r="B3272" s="91" t="s">
        <v>70</v>
      </c>
      <c r="C3272" s="15">
        <f>$D$8</f>
        <v>0</v>
      </c>
      <c r="D3272" s="92"/>
      <c r="E3272" s="93"/>
      <c r="F3272" s="94">
        <f>ROUND(SUM(F3270:F3271)*C3272,2)</f>
        <v>0</v>
      </c>
    </row>
    <row r="3273" spans="1:6" ht="12.75" customHeight="1" thickBot="1" x14ac:dyDescent="0.25">
      <c r="A3273" s="98"/>
      <c r="B3273" s="99" t="s">
        <v>262</v>
      </c>
      <c r="C3273" s="100"/>
      <c r="D3273" s="100"/>
      <c r="E3273" s="101"/>
      <c r="F3273" s="102">
        <f>SUM(F3270:F3272)</f>
        <v>0</v>
      </c>
    </row>
    <row r="3274" spans="1:6" ht="12.75" customHeight="1" thickBot="1" x14ac:dyDescent="0.25">
      <c r="A3274" s="81"/>
      <c r="B3274" s="82"/>
      <c r="C3274" s="83"/>
      <c r="D3274" s="83"/>
      <c r="E3274" s="84"/>
      <c r="F3274" s="103"/>
    </row>
    <row r="3275" spans="1:6" ht="30" customHeight="1" x14ac:dyDescent="0.2">
      <c r="A3275" s="5" t="str">
        <f>'A IV.A'!$A$103</f>
        <v>3.10.3</v>
      </c>
      <c r="B3275" s="416" t="str">
        <f>'A IV.A'!$B$103</f>
        <v xml:space="preserve">TELHA DE FIBROCIMENTO ONDULADA E=6MM </v>
      </c>
      <c r="C3275" s="526" t="s">
        <v>269</v>
      </c>
      <c r="D3275" s="527"/>
      <c r="E3275" s="417" t="str">
        <f>'A IV.A'!$C$103</f>
        <v>M2</v>
      </c>
      <c r="F3275" s="58">
        <f>ROUND(F3295+F3309+F3321,2)</f>
        <v>0</v>
      </c>
    </row>
    <row r="3276" spans="1:6" ht="12.75" customHeight="1" x14ac:dyDescent="0.2">
      <c r="A3276" s="1" t="s">
        <v>17</v>
      </c>
      <c r="B3276" s="418" t="s">
        <v>162</v>
      </c>
      <c r="C3276" s="419" t="s">
        <v>263</v>
      </c>
      <c r="D3276" s="419" t="s">
        <v>264</v>
      </c>
      <c r="E3276" s="420" t="s">
        <v>265</v>
      </c>
      <c r="F3276" s="57" t="s">
        <v>266</v>
      </c>
    </row>
    <row r="3277" spans="1:6" ht="12.75" customHeight="1" x14ac:dyDescent="0.2">
      <c r="A3277" s="6" t="str">
        <f>'A VII.'!$A$78</f>
        <v>1.69</v>
      </c>
      <c r="B3277" s="421" t="str">
        <f>VLOOKUP(A3277,'A VII.'!$A$10:$D$199,2,FALSE)</f>
        <v>PARAFUSO ZINCADO ROSCA SOBERBA, CABECA SEXTAVADA, 5/16 " X 250 MM - FIXACAO DE TELHA EM MADEIRA</v>
      </c>
      <c r="C3277" s="114">
        <v>1.27</v>
      </c>
      <c r="D3277" s="757" t="str">
        <f>VLOOKUP(A3277,'A VII.'!$A$10:$D$199,3,FALSE)</f>
        <v>UN</v>
      </c>
      <c r="E3277" s="85">
        <f>'A VII.'!D78</f>
        <v>0</v>
      </c>
      <c r="F3277" s="59">
        <f>ROUND(C3277*E3277,2)</f>
        <v>0</v>
      </c>
    </row>
    <row r="3278" spans="1:6" ht="12.75" customHeight="1" x14ac:dyDescent="0.2">
      <c r="A3278" s="6" t="str">
        <f>'A VII.'!$A$106</f>
        <v>1.96</v>
      </c>
      <c r="B3278" s="421" t="str">
        <f>VLOOKUP(A3278,'A VII.'!$A$10:$D$199,2,FALSE)</f>
        <v>TELHA DE FIBROCIMENTO ONDULADA E = 6 MM, DE 2,44 X 1,10 M (SEM AMIANTO)</v>
      </c>
      <c r="C3278" s="114">
        <v>1.2749999999999999</v>
      </c>
      <c r="D3278" s="757" t="str">
        <f>VLOOKUP(A3278,'A VII.'!$A$10:$D$199,3,FALSE)</f>
        <v>M2</v>
      </c>
      <c r="E3278" s="85">
        <f>'A VII.'!D106</f>
        <v>0</v>
      </c>
      <c r="F3278" s="59">
        <f t="shared" ref="F3278:F3292" si="199">ROUND(C3278*E3278,2)</f>
        <v>0</v>
      </c>
    </row>
    <row r="3279" spans="1:6" ht="12.75" customHeight="1" x14ac:dyDescent="0.2">
      <c r="A3279" s="6" t="str">
        <f>'A VII.'!$A$122</f>
        <v>1.112</v>
      </c>
      <c r="B3279" s="421" t="str">
        <f>VLOOKUP(A3279,'A VII.'!$A$10:$D$199,2,FALSE)</f>
        <v>VEDAÇÃO ELÁSTICA - CONJUNTO DE ARRUELAS DE AÇO E PVC</v>
      </c>
      <c r="C3279" s="114">
        <v>1.27</v>
      </c>
      <c r="D3279" s="757" t="str">
        <f>VLOOKUP(A3279,'A VII.'!$A$10:$D$199,3,FALSE)</f>
        <v>CJ</v>
      </c>
      <c r="E3279" s="85">
        <f>'A VII.'!D122</f>
        <v>0</v>
      </c>
      <c r="F3279" s="59">
        <f t="shared" si="199"/>
        <v>0</v>
      </c>
    </row>
    <row r="3280" spans="1:6" ht="12.75" customHeight="1" x14ac:dyDescent="0.2">
      <c r="A3280" s="6"/>
      <c r="B3280" s="421"/>
      <c r="C3280" s="114"/>
      <c r="D3280" s="757"/>
      <c r="E3280" s="85"/>
      <c r="F3280" s="59">
        <f t="shared" si="199"/>
        <v>0</v>
      </c>
    </row>
    <row r="3281" spans="1:6" ht="12.75" customHeight="1" x14ac:dyDescent="0.2">
      <c r="A3281" s="6"/>
      <c r="B3281" s="421"/>
      <c r="C3281" s="114"/>
      <c r="D3281" s="757"/>
      <c r="E3281" s="85"/>
      <c r="F3281" s="59">
        <f t="shared" si="199"/>
        <v>0</v>
      </c>
    </row>
    <row r="3282" spans="1:6" ht="12.75" customHeight="1" x14ac:dyDescent="0.2">
      <c r="A3282" s="6"/>
      <c r="B3282" s="421"/>
      <c r="C3282" s="114"/>
      <c r="D3282" s="757"/>
      <c r="E3282" s="85"/>
      <c r="F3282" s="59">
        <f t="shared" si="199"/>
        <v>0</v>
      </c>
    </row>
    <row r="3283" spans="1:6" ht="12.75" customHeight="1" x14ac:dyDescent="0.2">
      <c r="A3283" s="6"/>
      <c r="B3283" s="421"/>
      <c r="C3283" s="114"/>
      <c r="D3283" s="757"/>
      <c r="E3283" s="85"/>
      <c r="F3283" s="59">
        <f t="shared" si="199"/>
        <v>0</v>
      </c>
    </row>
    <row r="3284" spans="1:6" ht="12.75" customHeight="1" x14ac:dyDescent="0.2">
      <c r="A3284" s="6"/>
      <c r="B3284" s="421"/>
      <c r="C3284" s="114"/>
      <c r="D3284" s="757"/>
      <c r="E3284" s="85"/>
      <c r="F3284" s="59">
        <f t="shared" si="199"/>
        <v>0</v>
      </c>
    </row>
    <row r="3285" spans="1:6" ht="12.75" customHeight="1" x14ac:dyDescent="0.2">
      <c r="A3285" s="6"/>
      <c r="B3285" s="421"/>
      <c r="C3285" s="114"/>
      <c r="D3285" s="757"/>
      <c r="E3285" s="85"/>
      <c r="F3285" s="59">
        <f t="shared" si="199"/>
        <v>0</v>
      </c>
    </row>
    <row r="3286" spans="1:6" ht="12.75" customHeight="1" x14ac:dyDescent="0.2">
      <c r="A3286" s="6"/>
      <c r="B3286" s="421"/>
      <c r="C3286" s="114"/>
      <c r="D3286" s="757"/>
      <c r="E3286" s="85"/>
      <c r="F3286" s="59">
        <f t="shared" si="199"/>
        <v>0</v>
      </c>
    </row>
    <row r="3287" spans="1:6" ht="12.75" customHeight="1" x14ac:dyDescent="0.2">
      <c r="A3287" s="6"/>
      <c r="B3287" s="421"/>
      <c r="C3287" s="114"/>
      <c r="D3287" s="757"/>
      <c r="E3287" s="85"/>
      <c r="F3287" s="59">
        <f t="shared" si="199"/>
        <v>0</v>
      </c>
    </row>
    <row r="3288" spans="1:6" ht="12.75" customHeight="1" x14ac:dyDescent="0.2">
      <c r="A3288" s="6"/>
      <c r="B3288" s="421"/>
      <c r="C3288" s="114"/>
      <c r="D3288" s="758"/>
      <c r="E3288" s="85"/>
      <c r="F3288" s="59">
        <f t="shared" si="199"/>
        <v>0</v>
      </c>
    </row>
    <row r="3289" spans="1:6" ht="12.75" customHeight="1" x14ac:dyDescent="0.2">
      <c r="A3289" s="6"/>
      <c r="B3289" s="421"/>
      <c r="C3289" s="114"/>
      <c r="D3289" s="758"/>
      <c r="E3289" s="85"/>
      <c r="F3289" s="59">
        <f t="shared" si="199"/>
        <v>0</v>
      </c>
    </row>
    <row r="3290" spans="1:6" ht="12.75" customHeight="1" x14ac:dyDescent="0.2">
      <c r="A3290" s="6"/>
      <c r="B3290" s="421"/>
      <c r="C3290" s="114"/>
      <c r="D3290" s="758"/>
      <c r="E3290" s="85"/>
      <c r="F3290" s="59">
        <f t="shared" si="199"/>
        <v>0</v>
      </c>
    </row>
    <row r="3291" spans="1:6" ht="12.75" customHeight="1" x14ac:dyDescent="0.2">
      <c r="A3291" s="3"/>
      <c r="C3291" s="114"/>
      <c r="D3291" s="759"/>
      <c r="E3291" s="85"/>
      <c r="F3291" s="59">
        <f t="shared" si="199"/>
        <v>0</v>
      </c>
    </row>
    <row r="3292" spans="1:6" ht="12.75" customHeight="1" x14ac:dyDescent="0.2">
      <c r="A3292" s="3"/>
      <c r="C3292" s="114"/>
      <c r="D3292" s="759"/>
      <c r="E3292" s="85"/>
      <c r="F3292" s="59">
        <f t="shared" si="199"/>
        <v>0</v>
      </c>
    </row>
    <row r="3293" spans="1:6" ht="12.75" customHeight="1" x14ac:dyDescent="0.2">
      <c r="A3293" s="3"/>
      <c r="B3293" s="86" t="s">
        <v>258</v>
      </c>
      <c r="C3293" s="87"/>
      <c r="D3293" s="88"/>
      <c r="E3293" s="89"/>
      <c r="F3293" s="90">
        <f>SUM(F3277:F3292)</f>
        <v>0</v>
      </c>
    </row>
    <row r="3294" spans="1:6" ht="12.75" customHeight="1" x14ac:dyDescent="0.2">
      <c r="A3294" s="3"/>
      <c r="B3294" s="91" t="s">
        <v>70</v>
      </c>
      <c r="C3294" s="15">
        <f>$D$8</f>
        <v>0</v>
      </c>
      <c r="D3294" s="92"/>
      <c r="E3294" s="93"/>
      <c r="F3294" s="94">
        <f>ROUND(F3293*C3294,2)</f>
        <v>0</v>
      </c>
    </row>
    <row r="3295" spans="1:6" ht="12.75" customHeight="1" x14ac:dyDescent="0.2">
      <c r="A3295" s="95"/>
      <c r="B3295" s="424" t="s">
        <v>259</v>
      </c>
      <c r="C3295" s="425"/>
      <c r="D3295" s="425"/>
      <c r="E3295" s="426"/>
      <c r="F3295" s="96">
        <f>F3293+F3294</f>
        <v>0</v>
      </c>
    </row>
    <row r="3296" spans="1:6" ht="12.75" customHeight="1" x14ac:dyDescent="0.2">
      <c r="A3296" s="1" t="s">
        <v>5</v>
      </c>
      <c r="B3296" s="418" t="s">
        <v>267</v>
      </c>
      <c r="C3296" s="419" t="s">
        <v>263</v>
      </c>
      <c r="D3296" s="419" t="s">
        <v>264</v>
      </c>
      <c r="E3296" s="420" t="s">
        <v>265</v>
      </c>
      <c r="F3296" s="57" t="s">
        <v>266</v>
      </c>
    </row>
    <row r="3297" spans="1:6" ht="12.75" customHeight="1" x14ac:dyDescent="0.2">
      <c r="A3297" s="3" t="str">
        <f>'A VII.'!$A$157</f>
        <v>2.15</v>
      </c>
      <c r="B3297" s="71" t="str">
        <f>'A VII.'!B157</f>
        <v>GUINCHO ELÉTRICO DE COLUNA, CAPACIDADE 400 KG, COM MOTO FREIO, MOTOR TRIFÁSICO DE 1,25 CV - CHP</v>
      </c>
      <c r="C3297" s="114">
        <v>5.0000000000000001E-3</v>
      </c>
      <c r="D3297" s="759" t="str">
        <f>'A VII.'!C157</f>
        <v>CHP</v>
      </c>
      <c r="E3297" s="85">
        <f>'A VII.'!D157</f>
        <v>0</v>
      </c>
      <c r="F3297" s="59">
        <f t="shared" ref="F3297:F3306" si="200">ROUND(C3297*E3297,2)</f>
        <v>0</v>
      </c>
    </row>
    <row r="3298" spans="1:6" ht="12.75" customHeight="1" x14ac:dyDescent="0.2">
      <c r="A3298" s="3" t="str">
        <f>'A VII.'!$A$158</f>
        <v>2.16</v>
      </c>
      <c r="B3298" s="71" t="str">
        <f>'A VII.'!B158</f>
        <v>GUINCHO ELÉTRICO DE COLUNA, CAPACIDADE 400 KG, COM MOTO FREIO, MOTOR TRIFÁSICO DE 1,25 CV - CHI</v>
      </c>
      <c r="C3298" s="114">
        <v>6.8999999999999999E-3</v>
      </c>
      <c r="D3298" s="759" t="str">
        <f>'A VII.'!C158</f>
        <v>CHI</v>
      </c>
      <c r="E3298" s="85">
        <f>'A VII.'!D158</f>
        <v>0</v>
      </c>
      <c r="F3298" s="59">
        <f t="shared" si="200"/>
        <v>0</v>
      </c>
    </row>
    <row r="3299" spans="1:6" ht="12.75" customHeight="1" x14ac:dyDescent="0.2">
      <c r="A3299" s="3"/>
      <c r="C3299" s="114"/>
      <c r="D3299" s="759"/>
      <c r="E3299" s="85"/>
      <c r="F3299" s="59">
        <f t="shared" si="200"/>
        <v>0</v>
      </c>
    </row>
    <row r="3300" spans="1:6" ht="12.75" customHeight="1" x14ac:dyDescent="0.2">
      <c r="A3300" s="3"/>
      <c r="C3300" s="114"/>
      <c r="D3300" s="759"/>
      <c r="E3300" s="85"/>
      <c r="F3300" s="59">
        <f t="shared" si="200"/>
        <v>0</v>
      </c>
    </row>
    <row r="3301" spans="1:6" ht="12.75" customHeight="1" x14ac:dyDescent="0.2">
      <c r="A3301" s="3"/>
      <c r="C3301" s="114"/>
      <c r="D3301" s="759"/>
      <c r="E3301" s="85"/>
      <c r="F3301" s="59">
        <f t="shared" si="200"/>
        <v>0</v>
      </c>
    </row>
    <row r="3302" spans="1:6" ht="12.75" customHeight="1" x14ac:dyDescent="0.2">
      <c r="A3302" s="3"/>
      <c r="C3302" s="114"/>
      <c r="D3302" s="759"/>
      <c r="E3302" s="85"/>
      <c r="F3302" s="59">
        <f t="shared" si="200"/>
        <v>0</v>
      </c>
    </row>
    <row r="3303" spans="1:6" ht="12.75" customHeight="1" x14ac:dyDescent="0.2">
      <c r="A3303" s="3"/>
      <c r="C3303" s="114"/>
      <c r="D3303" s="759"/>
      <c r="E3303" s="85"/>
      <c r="F3303" s="59">
        <f t="shared" si="200"/>
        <v>0</v>
      </c>
    </row>
    <row r="3304" spans="1:6" ht="12.75" customHeight="1" x14ac:dyDescent="0.2">
      <c r="A3304" s="3"/>
      <c r="C3304" s="114"/>
      <c r="D3304" s="759"/>
      <c r="E3304" s="85"/>
      <c r="F3304" s="59">
        <f t="shared" si="200"/>
        <v>0</v>
      </c>
    </row>
    <row r="3305" spans="1:6" ht="12.75" customHeight="1" x14ac:dyDescent="0.2">
      <c r="A3305" s="3"/>
      <c r="C3305" s="114"/>
      <c r="D3305" s="759"/>
      <c r="E3305" s="85"/>
      <c r="F3305" s="59">
        <f t="shared" si="200"/>
        <v>0</v>
      </c>
    </row>
    <row r="3306" spans="1:6" ht="12.75" customHeight="1" x14ac:dyDescent="0.2">
      <c r="A3306" s="3"/>
      <c r="C3306" s="114"/>
      <c r="D3306" s="759"/>
      <c r="E3306" s="85"/>
      <c r="F3306" s="59">
        <f t="shared" si="200"/>
        <v>0</v>
      </c>
    </row>
    <row r="3307" spans="1:6" ht="12.75" customHeight="1" x14ac:dyDescent="0.2">
      <c r="A3307" s="3"/>
      <c r="B3307" s="86" t="s">
        <v>258</v>
      </c>
      <c r="C3307" s="87"/>
      <c r="D3307" s="88"/>
      <c r="E3307" s="89"/>
      <c r="F3307" s="90">
        <f>SUM(F3297:F3306)</f>
        <v>0</v>
      </c>
    </row>
    <row r="3308" spans="1:6" ht="12.75" customHeight="1" x14ac:dyDescent="0.2">
      <c r="A3308" s="3"/>
      <c r="B3308" s="91" t="s">
        <v>70</v>
      </c>
      <c r="C3308" s="15">
        <f>$D$8</f>
        <v>0</v>
      </c>
      <c r="D3308" s="92"/>
      <c r="E3308" s="93"/>
      <c r="F3308" s="94">
        <f>ROUND(C3308*F3307,2)</f>
        <v>0</v>
      </c>
    </row>
    <row r="3309" spans="1:6" ht="12.75" customHeight="1" x14ac:dyDescent="0.2">
      <c r="A3309" s="95"/>
      <c r="B3309" s="424" t="s">
        <v>260</v>
      </c>
      <c r="C3309" s="425"/>
      <c r="D3309" s="425"/>
      <c r="E3309" s="426"/>
      <c r="F3309" s="96">
        <f>F3307+F3308</f>
        <v>0</v>
      </c>
    </row>
    <row r="3310" spans="1:6" ht="12.75" customHeight="1" x14ac:dyDescent="0.2">
      <c r="A3310" s="97" t="s">
        <v>54</v>
      </c>
      <c r="B3310" s="427" t="s">
        <v>268</v>
      </c>
      <c r="C3310" s="428" t="s">
        <v>263</v>
      </c>
      <c r="D3310" s="429" t="s">
        <v>264</v>
      </c>
      <c r="E3310" s="430" t="s">
        <v>265</v>
      </c>
      <c r="F3310" s="57" t="s">
        <v>266</v>
      </c>
    </row>
    <row r="3311" spans="1:6" ht="12.75" customHeight="1" x14ac:dyDescent="0.2">
      <c r="A3311" s="3" t="str">
        <f>'A VII.'!$A$196</f>
        <v>3.16</v>
      </c>
      <c r="B3311" s="74" t="s">
        <v>189</v>
      </c>
      <c r="C3311" s="114">
        <v>0.15</v>
      </c>
      <c r="D3311" s="759" t="str">
        <f>VLOOKUP(A3311,'A VII.'!$A$10:$D$199,3,FALSE)</f>
        <v>H</v>
      </c>
      <c r="E3311" s="85">
        <f>'A VII.'!D196</f>
        <v>0</v>
      </c>
      <c r="F3311" s="59">
        <f t="shared" ref="F3311:F3317" si="201">ROUND(C3311*E3311,2)</f>
        <v>0</v>
      </c>
    </row>
    <row r="3312" spans="1:6" ht="12.75" customHeight="1" x14ac:dyDescent="0.2">
      <c r="A3312" s="3" t="str">
        <f>'A VII.'!$A$199</f>
        <v>3.19</v>
      </c>
      <c r="B3312" s="74" t="s">
        <v>192</v>
      </c>
      <c r="C3312" s="114">
        <v>0.115</v>
      </c>
      <c r="D3312" s="759" t="str">
        <f>VLOOKUP(A3312,'A VII.'!$A$10:$D$199,3,FALSE)</f>
        <v>H</v>
      </c>
      <c r="E3312" s="85">
        <f>'A VII.'!D199</f>
        <v>0</v>
      </c>
      <c r="F3312" s="59">
        <f t="shared" si="201"/>
        <v>0</v>
      </c>
    </row>
    <row r="3313" spans="1:6" ht="12.75" customHeight="1" x14ac:dyDescent="0.2">
      <c r="A3313" s="3"/>
      <c r="C3313" s="114"/>
      <c r="D3313" s="759"/>
      <c r="E3313" s="85"/>
      <c r="F3313" s="59">
        <f t="shared" si="201"/>
        <v>0</v>
      </c>
    </row>
    <row r="3314" spans="1:6" ht="12.75" customHeight="1" x14ac:dyDescent="0.2">
      <c r="A3314" s="3"/>
      <c r="C3314" s="114"/>
      <c r="D3314" s="759"/>
      <c r="E3314" s="85"/>
      <c r="F3314" s="59">
        <f t="shared" si="201"/>
        <v>0</v>
      </c>
    </row>
    <row r="3315" spans="1:6" ht="12.75" customHeight="1" x14ac:dyDescent="0.2">
      <c r="A3315" s="3"/>
      <c r="C3315" s="114"/>
      <c r="D3315" s="759"/>
      <c r="E3315" s="85"/>
      <c r="F3315" s="59">
        <f t="shared" si="201"/>
        <v>0</v>
      </c>
    </row>
    <row r="3316" spans="1:6" ht="12.75" customHeight="1" x14ac:dyDescent="0.2">
      <c r="A3316" s="3"/>
      <c r="C3316" s="114"/>
      <c r="D3316" s="759"/>
      <c r="E3316" s="85"/>
      <c r="F3316" s="59">
        <f t="shared" si="201"/>
        <v>0</v>
      </c>
    </row>
    <row r="3317" spans="1:6" ht="12.75" customHeight="1" x14ac:dyDescent="0.2">
      <c r="A3317" s="3"/>
      <c r="C3317" s="114"/>
      <c r="D3317" s="759"/>
      <c r="E3317" s="85"/>
      <c r="F3317" s="59">
        <f t="shared" si="201"/>
        <v>0</v>
      </c>
    </row>
    <row r="3318" spans="1:6" ht="12.75" customHeight="1" x14ac:dyDescent="0.2">
      <c r="A3318" s="3"/>
      <c r="B3318" s="86" t="s">
        <v>258</v>
      </c>
      <c r="C3318" s="87"/>
      <c r="D3318" s="88"/>
      <c r="E3318" s="89"/>
      <c r="F3318" s="90">
        <f>SUM(F3311:F3317)</f>
        <v>0</v>
      </c>
    </row>
    <row r="3319" spans="1:6" ht="12.75" customHeight="1" x14ac:dyDescent="0.2">
      <c r="A3319" s="3"/>
      <c r="B3319" s="91" t="s">
        <v>261</v>
      </c>
      <c r="C3319" s="15">
        <f>'A IX.'!$C$45</f>
        <v>0</v>
      </c>
      <c r="D3319" s="92"/>
      <c r="E3319" s="93"/>
      <c r="F3319" s="94">
        <f>ROUND(F3318*C3319,2)</f>
        <v>0</v>
      </c>
    </row>
    <row r="3320" spans="1:6" ht="12.75" customHeight="1" x14ac:dyDescent="0.2">
      <c r="A3320" s="3"/>
      <c r="B3320" s="91" t="s">
        <v>70</v>
      </c>
      <c r="C3320" s="15">
        <f>$D$8</f>
        <v>0</v>
      </c>
      <c r="D3320" s="92"/>
      <c r="E3320" s="93"/>
      <c r="F3320" s="94">
        <f>ROUND(SUM(F3318:F3319)*C3320,2)</f>
        <v>0</v>
      </c>
    </row>
    <row r="3321" spans="1:6" ht="12.75" customHeight="1" thickBot="1" x14ac:dyDescent="0.25">
      <c r="A3321" s="98"/>
      <c r="B3321" s="99" t="s">
        <v>262</v>
      </c>
      <c r="C3321" s="100"/>
      <c r="D3321" s="100"/>
      <c r="E3321" s="101"/>
      <c r="F3321" s="102">
        <f>SUM(F3318:F3320)</f>
        <v>0</v>
      </c>
    </row>
    <row r="3322" spans="1:6" ht="12.75" customHeight="1" thickBot="1" x14ac:dyDescent="0.25">
      <c r="A3322" s="81"/>
      <c r="B3322" s="82"/>
      <c r="C3322" s="83"/>
      <c r="D3322" s="83"/>
      <c r="E3322" s="84"/>
      <c r="F3322" s="103"/>
    </row>
    <row r="3323" spans="1:6" ht="30" customHeight="1" x14ac:dyDescent="0.2">
      <c r="A3323" s="5" t="str">
        <f>'A IV.A'!$A$104</f>
        <v>3.10.4</v>
      </c>
      <c r="B3323" s="416" t="str">
        <f>'A IV.A'!B104</f>
        <v xml:space="preserve">TELHA TIPO KALHETA E=8MM, COM FIO SINTÉTICO CRFS - PERFIL TRAPEZOIDAL DE 44CM </v>
      </c>
      <c r="C3323" s="526" t="s">
        <v>269</v>
      </c>
      <c r="D3323" s="527"/>
      <c r="E3323" s="417" t="str">
        <f>'A IV.A'!$C$104</f>
        <v>M2</v>
      </c>
      <c r="F3323" s="58">
        <f>ROUND(F3343+F3357+F3369,2)</f>
        <v>0</v>
      </c>
    </row>
    <row r="3324" spans="1:6" ht="12.75" customHeight="1" x14ac:dyDescent="0.2">
      <c r="A3324" s="1" t="s">
        <v>17</v>
      </c>
      <c r="B3324" s="418" t="s">
        <v>162</v>
      </c>
      <c r="C3324" s="419" t="s">
        <v>263</v>
      </c>
      <c r="D3324" s="419" t="s">
        <v>264</v>
      </c>
      <c r="E3324" s="420" t="s">
        <v>265</v>
      </c>
      <c r="F3324" s="57" t="s">
        <v>266</v>
      </c>
    </row>
    <row r="3325" spans="1:6" ht="12.75" customHeight="1" x14ac:dyDescent="0.2">
      <c r="A3325" s="6" t="str">
        <f>'A VII.'!$A$129</f>
        <v>1.119</v>
      </c>
      <c r="B3325" s="421" t="str">
        <f>VLOOKUP(A3325,'A VII.'!$A$10:$D$199,2,FALSE)</f>
        <v>HASTE RETA PARA GANCHO DE FERRO GALVANIZADO, COM ROSCA 5/16" X 45 CM PARA FIXACAO DE TELHA DE FIBROCIMENTO, INCLUI PORCA E ARRUELAS DE VEDACAO</v>
      </c>
      <c r="C3325" s="114">
        <v>3</v>
      </c>
      <c r="D3325" s="757" t="str">
        <f>VLOOKUP(A3325,'A VII.'!$A$10:$D$199,3,FALSE)</f>
        <v>UN</v>
      </c>
      <c r="E3325" s="85">
        <f>VLOOKUP(A3325,'A VII.'!$A$10:$D$199,4,FALSE)</f>
        <v>0</v>
      </c>
      <c r="F3325" s="59">
        <f>ROUND(C3325*E3325,2)</f>
        <v>0</v>
      </c>
    </row>
    <row r="3326" spans="1:6" ht="12.75" customHeight="1" x14ac:dyDescent="0.2">
      <c r="A3326" s="6" t="str">
        <f>'A VII.'!$A$107</f>
        <v>1.97</v>
      </c>
      <c r="B3326" s="421" t="str">
        <f>VLOOKUP(A3326,'A VII.'!$A$10:$D$199,2,FALSE)</f>
        <v>TELHA ESTRUTURAL DE FIBROCIMENTO 1 ABA, DE 0,52 X 4,00 M (SEM AMIANTO)</v>
      </c>
      <c r="C3326" s="114">
        <v>1.1000000000000001</v>
      </c>
      <c r="D3326" s="757" t="str">
        <f>VLOOKUP(A3326,'A VII.'!$A$10:$D$199,3,FALSE)</f>
        <v>M2</v>
      </c>
      <c r="E3326" s="85">
        <f>'A VII.'!D107</f>
        <v>0</v>
      </c>
      <c r="F3326" s="59">
        <f t="shared" ref="F3326:F3340" si="202">ROUND(C3326*E3326,2)</f>
        <v>0</v>
      </c>
    </row>
    <row r="3327" spans="1:6" ht="12.75" customHeight="1" x14ac:dyDescent="0.2">
      <c r="A3327" s="6"/>
      <c r="B3327" s="421"/>
      <c r="C3327" s="114"/>
      <c r="D3327" s="757"/>
      <c r="E3327" s="85"/>
      <c r="F3327" s="59">
        <f t="shared" si="202"/>
        <v>0</v>
      </c>
    </row>
    <row r="3328" spans="1:6" ht="12.75" customHeight="1" x14ac:dyDescent="0.2">
      <c r="A3328" s="6"/>
      <c r="B3328" s="421"/>
      <c r="C3328" s="114"/>
      <c r="D3328" s="757"/>
      <c r="E3328" s="85"/>
      <c r="F3328" s="59">
        <f t="shared" si="202"/>
        <v>0</v>
      </c>
    </row>
    <row r="3329" spans="1:6" ht="12.75" customHeight="1" x14ac:dyDescent="0.2">
      <c r="A3329" s="6"/>
      <c r="B3329" s="421"/>
      <c r="C3329" s="114"/>
      <c r="D3329" s="757"/>
      <c r="E3329" s="85"/>
      <c r="F3329" s="59">
        <f t="shared" si="202"/>
        <v>0</v>
      </c>
    </row>
    <row r="3330" spans="1:6" ht="12.75" customHeight="1" x14ac:dyDescent="0.2">
      <c r="A3330" s="6"/>
      <c r="B3330" s="421"/>
      <c r="C3330" s="114"/>
      <c r="D3330" s="757"/>
      <c r="E3330" s="85"/>
      <c r="F3330" s="59">
        <f t="shared" si="202"/>
        <v>0</v>
      </c>
    </row>
    <row r="3331" spans="1:6" ht="12.75" customHeight="1" x14ac:dyDescent="0.2">
      <c r="A3331" s="6"/>
      <c r="B3331" s="421"/>
      <c r="C3331" s="114"/>
      <c r="D3331" s="757"/>
      <c r="E3331" s="85"/>
      <c r="F3331" s="59">
        <f t="shared" si="202"/>
        <v>0</v>
      </c>
    </row>
    <row r="3332" spans="1:6" ht="12.75" customHeight="1" x14ac:dyDescent="0.2">
      <c r="A3332" s="6"/>
      <c r="B3332" s="421"/>
      <c r="C3332" s="114"/>
      <c r="D3332" s="757"/>
      <c r="E3332" s="85"/>
      <c r="F3332" s="59">
        <f t="shared" si="202"/>
        <v>0</v>
      </c>
    </row>
    <row r="3333" spans="1:6" ht="12.75" customHeight="1" x14ac:dyDescent="0.2">
      <c r="A3333" s="6"/>
      <c r="B3333" s="421"/>
      <c r="C3333" s="114"/>
      <c r="D3333" s="757"/>
      <c r="E3333" s="85"/>
      <c r="F3333" s="59">
        <f t="shared" si="202"/>
        <v>0</v>
      </c>
    </row>
    <row r="3334" spans="1:6" ht="12.75" customHeight="1" x14ac:dyDescent="0.2">
      <c r="A3334" s="6"/>
      <c r="B3334" s="421"/>
      <c r="C3334" s="114"/>
      <c r="D3334" s="757"/>
      <c r="E3334" s="85"/>
      <c r="F3334" s="59">
        <f t="shared" si="202"/>
        <v>0</v>
      </c>
    </row>
    <row r="3335" spans="1:6" ht="12.75" customHeight="1" x14ac:dyDescent="0.2">
      <c r="A3335" s="6"/>
      <c r="B3335" s="421"/>
      <c r="C3335" s="114"/>
      <c r="D3335" s="757"/>
      <c r="E3335" s="85"/>
      <c r="F3335" s="59">
        <f t="shared" si="202"/>
        <v>0</v>
      </c>
    </row>
    <row r="3336" spans="1:6" ht="12.75" customHeight="1" x14ac:dyDescent="0.2">
      <c r="A3336" s="6"/>
      <c r="B3336" s="421"/>
      <c r="C3336" s="114"/>
      <c r="D3336" s="758"/>
      <c r="E3336" s="85"/>
      <c r="F3336" s="59">
        <f t="shared" si="202"/>
        <v>0</v>
      </c>
    </row>
    <row r="3337" spans="1:6" ht="12.75" customHeight="1" x14ac:dyDescent="0.2">
      <c r="A3337" s="6"/>
      <c r="B3337" s="421"/>
      <c r="C3337" s="114"/>
      <c r="D3337" s="758"/>
      <c r="E3337" s="85"/>
      <c r="F3337" s="59">
        <f t="shared" si="202"/>
        <v>0</v>
      </c>
    </row>
    <row r="3338" spans="1:6" ht="12.75" customHeight="1" x14ac:dyDescent="0.2">
      <c r="A3338" s="6"/>
      <c r="B3338" s="421"/>
      <c r="C3338" s="114"/>
      <c r="D3338" s="758"/>
      <c r="E3338" s="85"/>
      <c r="F3338" s="59">
        <f t="shared" si="202"/>
        <v>0</v>
      </c>
    </row>
    <row r="3339" spans="1:6" ht="12.75" customHeight="1" x14ac:dyDescent="0.2">
      <c r="A3339" s="3"/>
      <c r="C3339" s="114"/>
      <c r="D3339" s="759"/>
      <c r="E3339" s="85"/>
      <c r="F3339" s="59">
        <f t="shared" si="202"/>
        <v>0</v>
      </c>
    </row>
    <row r="3340" spans="1:6" ht="12.75" customHeight="1" x14ac:dyDescent="0.2">
      <c r="A3340" s="3"/>
      <c r="C3340" s="114"/>
      <c r="D3340" s="759"/>
      <c r="E3340" s="85"/>
      <c r="F3340" s="59">
        <f t="shared" si="202"/>
        <v>0</v>
      </c>
    </row>
    <row r="3341" spans="1:6" ht="12.75" customHeight="1" x14ac:dyDescent="0.2">
      <c r="A3341" s="3"/>
      <c r="B3341" s="86" t="s">
        <v>258</v>
      </c>
      <c r="C3341" s="87"/>
      <c r="D3341" s="88"/>
      <c r="E3341" s="89"/>
      <c r="F3341" s="90">
        <f>SUM(F3325:F3340)</f>
        <v>0</v>
      </c>
    </row>
    <row r="3342" spans="1:6" ht="12.75" customHeight="1" x14ac:dyDescent="0.2">
      <c r="A3342" s="3"/>
      <c r="B3342" s="91" t="s">
        <v>70</v>
      </c>
      <c r="C3342" s="15">
        <f>$D$8</f>
        <v>0</v>
      </c>
      <c r="D3342" s="92"/>
      <c r="E3342" s="93"/>
      <c r="F3342" s="94">
        <f>ROUND(F3341*C3342,2)</f>
        <v>0</v>
      </c>
    </row>
    <row r="3343" spans="1:6" ht="12.75" customHeight="1" x14ac:dyDescent="0.2">
      <c r="A3343" s="95"/>
      <c r="B3343" s="424" t="s">
        <v>259</v>
      </c>
      <c r="C3343" s="425"/>
      <c r="D3343" s="425"/>
      <c r="E3343" s="426"/>
      <c r="F3343" s="96">
        <f>F3341+F3342</f>
        <v>0</v>
      </c>
    </row>
    <row r="3344" spans="1:6" ht="12.75" customHeight="1" x14ac:dyDescent="0.2">
      <c r="A3344" s="1" t="s">
        <v>5</v>
      </c>
      <c r="B3344" s="418" t="s">
        <v>267</v>
      </c>
      <c r="C3344" s="419" t="s">
        <v>263</v>
      </c>
      <c r="D3344" s="419" t="s">
        <v>264</v>
      </c>
      <c r="E3344" s="420" t="s">
        <v>265</v>
      </c>
      <c r="F3344" s="57" t="s">
        <v>266</v>
      </c>
    </row>
    <row r="3345" spans="1:6" ht="12.75" customHeight="1" x14ac:dyDescent="0.2">
      <c r="A3345" s="3"/>
      <c r="B3345" s="71"/>
      <c r="C3345" s="114"/>
      <c r="D3345" s="759"/>
      <c r="E3345" s="85"/>
      <c r="F3345" s="59">
        <f t="shared" ref="F3345:F3354" si="203">ROUND(C3345*E3345,2)</f>
        <v>0</v>
      </c>
    </row>
    <row r="3346" spans="1:6" ht="12.75" customHeight="1" x14ac:dyDescent="0.2">
      <c r="A3346" s="3"/>
      <c r="B3346" s="71"/>
      <c r="C3346" s="114"/>
      <c r="D3346" s="759"/>
      <c r="E3346" s="85"/>
      <c r="F3346" s="59">
        <f t="shared" si="203"/>
        <v>0</v>
      </c>
    </row>
    <row r="3347" spans="1:6" ht="12.75" customHeight="1" x14ac:dyDescent="0.2">
      <c r="A3347" s="3"/>
      <c r="C3347" s="114"/>
      <c r="D3347" s="759"/>
      <c r="E3347" s="85"/>
      <c r="F3347" s="59">
        <f t="shared" si="203"/>
        <v>0</v>
      </c>
    </row>
    <row r="3348" spans="1:6" ht="12.75" customHeight="1" x14ac:dyDescent="0.2">
      <c r="A3348" s="3"/>
      <c r="C3348" s="114"/>
      <c r="D3348" s="759"/>
      <c r="E3348" s="85"/>
      <c r="F3348" s="59">
        <f t="shared" si="203"/>
        <v>0</v>
      </c>
    </row>
    <row r="3349" spans="1:6" ht="12.75" customHeight="1" x14ac:dyDescent="0.2">
      <c r="A3349" s="3"/>
      <c r="C3349" s="114"/>
      <c r="D3349" s="759"/>
      <c r="E3349" s="85"/>
      <c r="F3349" s="59">
        <f t="shared" si="203"/>
        <v>0</v>
      </c>
    </row>
    <row r="3350" spans="1:6" ht="12.75" customHeight="1" x14ac:dyDescent="0.2">
      <c r="A3350" s="3"/>
      <c r="C3350" s="114"/>
      <c r="D3350" s="759"/>
      <c r="E3350" s="85"/>
      <c r="F3350" s="59">
        <f t="shared" si="203"/>
        <v>0</v>
      </c>
    </row>
    <row r="3351" spans="1:6" ht="12.75" customHeight="1" x14ac:dyDescent="0.2">
      <c r="A3351" s="3"/>
      <c r="C3351" s="114"/>
      <c r="D3351" s="759"/>
      <c r="E3351" s="85"/>
      <c r="F3351" s="59">
        <f t="shared" si="203"/>
        <v>0</v>
      </c>
    </row>
    <row r="3352" spans="1:6" ht="12.75" customHeight="1" x14ac:dyDescent="0.2">
      <c r="A3352" s="3"/>
      <c r="C3352" s="114"/>
      <c r="D3352" s="759"/>
      <c r="E3352" s="85"/>
      <c r="F3352" s="59">
        <f t="shared" si="203"/>
        <v>0</v>
      </c>
    </row>
    <row r="3353" spans="1:6" ht="12.75" customHeight="1" x14ac:dyDescent="0.2">
      <c r="A3353" s="3"/>
      <c r="C3353" s="114"/>
      <c r="D3353" s="759"/>
      <c r="E3353" s="85"/>
      <c r="F3353" s="59">
        <f t="shared" si="203"/>
        <v>0</v>
      </c>
    </row>
    <row r="3354" spans="1:6" ht="12.75" customHeight="1" x14ac:dyDescent="0.2">
      <c r="A3354" s="3"/>
      <c r="C3354" s="114"/>
      <c r="D3354" s="759"/>
      <c r="E3354" s="85"/>
      <c r="F3354" s="59">
        <f t="shared" si="203"/>
        <v>0</v>
      </c>
    </row>
    <row r="3355" spans="1:6" ht="12.75" customHeight="1" x14ac:dyDescent="0.2">
      <c r="A3355" s="3"/>
      <c r="B3355" s="86" t="s">
        <v>258</v>
      </c>
      <c r="C3355" s="87"/>
      <c r="D3355" s="88"/>
      <c r="E3355" s="89"/>
      <c r="F3355" s="90">
        <f>SUM(F3345:F3354)</f>
        <v>0</v>
      </c>
    </row>
    <row r="3356" spans="1:6" ht="12.75" customHeight="1" x14ac:dyDescent="0.2">
      <c r="A3356" s="3"/>
      <c r="B3356" s="91" t="s">
        <v>70</v>
      </c>
      <c r="C3356" s="15">
        <f>$D$8</f>
        <v>0</v>
      </c>
      <c r="D3356" s="92"/>
      <c r="E3356" s="93"/>
      <c r="F3356" s="94">
        <f>ROUND(C3356*F3355,2)</f>
        <v>0</v>
      </c>
    </row>
    <row r="3357" spans="1:6" ht="12.75" customHeight="1" x14ac:dyDescent="0.2">
      <c r="A3357" s="95"/>
      <c r="B3357" s="424" t="s">
        <v>260</v>
      </c>
      <c r="C3357" s="425"/>
      <c r="D3357" s="425"/>
      <c r="E3357" s="426"/>
      <c r="F3357" s="96">
        <f>F3355+F3356</f>
        <v>0</v>
      </c>
    </row>
    <row r="3358" spans="1:6" ht="12.75" customHeight="1" x14ac:dyDescent="0.2">
      <c r="A3358" s="97" t="s">
        <v>54</v>
      </c>
      <c r="B3358" s="427" t="s">
        <v>268</v>
      </c>
      <c r="C3358" s="428" t="s">
        <v>263</v>
      </c>
      <c r="D3358" s="429" t="s">
        <v>264</v>
      </c>
      <c r="E3358" s="430" t="s">
        <v>265</v>
      </c>
      <c r="F3358" s="57" t="s">
        <v>266</v>
      </c>
    </row>
    <row r="3359" spans="1:6" ht="12.75" customHeight="1" x14ac:dyDescent="0.2">
      <c r="A3359" s="3" t="str">
        <f>'A VII.'!$A$186</f>
        <v>3.6</v>
      </c>
      <c r="B3359" s="74" t="str">
        <f>'A VII.'!B186</f>
        <v>CARPINTEIRO COM ENCARGOS COMPLEMENTARES</v>
      </c>
      <c r="C3359" s="114">
        <v>0.4</v>
      </c>
      <c r="D3359" s="759" t="str">
        <f>VLOOKUP(A3359,'A VII.'!$A$10:$D$199,3,FALSE)</f>
        <v>H</v>
      </c>
      <c r="E3359" s="85">
        <f>'A VII.'!D186</f>
        <v>0</v>
      </c>
      <c r="F3359" s="59">
        <f t="shared" ref="F3359:F3365" si="204">ROUND(C3359*E3359,2)</f>
        <v>0</v>
      </c>
    </row>
    <row r="3360" spans="1:6" ht="12.75" customHeight="1" x14ac:dyDescent="0.2">
      <c r="A3360" s="3" t="str">
        <f>'A VII.'!$A$183</f>
        <v>3.3</v>
      </c>
      <c r="B3360" s="74" t="str">
        <f>'A VII.'!B183</f>
        <v>AJUDANTE DE CARPINTEIRO</v>
      </c>
      <c r="C3360" s="114">
        <v>0.4</v>
      </c>
      <c r="D3360" s="759" t="str">
        <f>VLOOKUP(A3360,'A VII.'!$A$10:$D$199,3,FALSE)</f>
        <v>H</v>
      </c>
      <c r="E3360" s="85">
        <f>'A VII.'!D183</f>
        <v>0</v>
      </c>
      <c r="F3360" s="59">
        <f t="shared" si="204"/>
        <v>0</v>
      </c>
    </row>
    <row r="3361" spans="1:6" ht="12.75" customHeight="1" x14ac:dyDescent="0.2">
      <c r="A3361" s="3"/>
      <c r="C3361" s="114"/>
      <c r="D3361" s="759"/>
      <c r="E3361" s="85"/>
      <c r="F3361" s="59">
        <f t="shared" si="204"/>
        <v>0</v>
      </c>
    </row>
    <row r="3362" spans="1:6" ht="12.75" customHeight="1" x14ac:dyDescent="0.2">
      <c r="A3362" s="3"/>
      <c r="C3362" s="114"/>
      <c r="D3362" s="759"/>
      <c r="E3362" s="85"/>
      <c r="F3362" s="59">
        <f t="shared" si="204"/>
        <v>0</v>
      </c>
    </row>
    <row r="3363" spans="1:6" ht="12.75" customHeight="1" x14ac:dyDescent="0.2">
      <c r="A3363" s="3"/>
      <c r="C3363" s="114"/>
      <c r="D3363" s="759"/>
      <c r="E3363" s="85"/>
      <c r="F3363" s="59">
        <f t="shared" si="204"/>
        <v>0</v>
      </c>
    </row>
    <row r="3364" spans="1:6" ht="12.75" customHeight="1" x14ac:dyDescent="0.2">
      <c r="A3364" s="3"/>
      <c r="C3364" s="114"/>
      <c r="D3364" s="759"/>
      <c r="E3364" s="85"/>
      <c r="F3364" s="59">
        <f t="shared" si="204"/>
        <v>0</v>
      </c>
    </row>
    <row r="3365" spans="1:6" ht="12.75" customHeight="1" x14ac:dyDescent="0.2">
      <c r="A3365" s="3"/>
      <c r="C3365" s="114"/>
      <c r="D3365" s="759"/>
      <c r="E3365" s="85"/>
      <c r="F3365" s="59">
        <f t="shared" si="204"/>
        <v>0</v>
      </c>
    </row>
    <row r="3366" spans="1:6" ht="12.75" customHeight="1" x14ac:dyDescent="0.2">
      <c r="A3366" s="3"/>
      <c r="B3366" s="86" t="s">
        <v>258</v>
      </c>
      <c r="C3366" s="87"/>
      <c r="D3366" s="88"/>
      <c r="E3366" s="89"/>
      <c r="F3366" s="90">
        <f>SUM(F3359:F3365)</f>
        <v>0</v>
      </c>
    </row>
    <row r="3367" spans="1:6" ht="12.75" customHeight="1" x14ac:dyDescent="0.2">
      <c r="A3367" s="3"/>
      <c r="B3367" s="91" t="s">
        <v>261</v>
      </c>
      <c r="C3367" s="15">
        <f>'A IX.'!$C$45</f>
        <v>0</v>
      </c>
      <c r="D3367" s="92"/>
      <c r="E3367" s="93"/>
      <c r="F3367" s="94">
        <f>ROUND(F3366*C3367,2)</f>
        <v>0</v>
      </c>
    </row>
    <row r="3368" spans="1:6" ht="12.75" customHeight="1" x14ac:dyDescent="0.2">
      <c r="A3368" s="3"/>
      <c r="B3368" s="91" t="s">
        <v>70</v>
      </c>
      <c r="C3368" s="15">
        <f>$D$8</f>
        <v>0</v>
      </c>
      <c r="D3368" s="92"/>
      <c r="E3368" s="93"/>
      <c r="F3368" s="94">
        <f>ROUND(SUM(F3366:F3367)*C3368,2)</f>
        <v>0</v>
      </c>
    </row>
    <row r="3369" spans="1:6" ht="12.75" customHeight="1" thickBot="1" x14ac:dyDescent="0.25">
      <c r="A3369" s="98"/>
      <c r="B3369" s="99" t="s">
        <v>262</v>
      </c>
      <c r="C3369" s="100"/>
      <c r="D3369" s="100"/>
      <c r="E3369" s="101"/>
      <c r="F3369" s="102">
        <f>SUM(F3366:F3368)</f>
        <v>0</v>
      </c>
    </row>
    <row r="3370" spans="1:6" ht="12.75" customHeight="1" thickBot="1" x14ac:dyDescent="0.25">
      <c r="A3370" s="252"/>
      <c r="B3370" s="253"/>
      <c r="C3370" s="254"/>
      <c r="D3370" s="254"/>
      <c r="E3370" s="255"/>
      <c r="F3370" s="256"/>
    </row>
    <row r="3371" spans="1:6" ht="30" customHeight="1" x14ac:dyDescent="0.2">
      <c r="A3371" s="5" t="str">
        <f>'A IV.A'!$A$105</f>
        <v>3.10.5</v>
      </c>
      <c r="B3371" s="416" t="str">
        <f>'A IV.A'!B105</f>
        <v>CALHA DE CHAPA GALVANIZADA N° 26</v>
      </c>
      <c r="C3371" s="526" t="s">
        <v>269</v>
      </c>
      <c r="D3371" s="527"/>
      <c r="E3371" s="417" t="str">
        <f>'A IV.A'!C105</f>
        <v>M</v>
      </c>
      <c r="F3371" s="58">
        <f>ROUND(F3391+F3405+F3417,2)</f>
        <v>0</v>
      </c>
    </row>
    <row r="3372" spans="1:6" ht="12.75" customHeight="1" x14ac:dyDescent="0.2">
      <c r="A3372" s="1" t="s">
        <v>17</v>
      </c>
      <c r="B3372" s="418" t="s">
        <v>162</v>
      </c>
      <c r="C3372" s="419" t="s">
        <v>263</v>
      </c>
      <c r="D3372" s="419" t="s">
        <v>264</v>
      </c>
      <c r="E3372" s="420" t="s">
        <v>265</v>
      </c>
      <c r="F3372" s="57" t="s">
        <v>266</v>
      </c>
    </row>
    <row r="3373" spans="1:6" ht="12.75" customHeight="1" x14ac:dyDescent="0.2">
      <c r="A3373" s="6" t="str">
        <f>'A VII.'!$A$90</f>
        <v>1.80</v>
      </c>
      <c r="B3373" s="421" t="str">
        <f>VLOOKUP(A3373,'A VII.'!$A$10:$D$199,2,FALSE)</f>
        <v>PREGO EM AÇO POLIDO COM CABEÇA (MEDIA DAS BITOLAS)</v>
      </c>
      <c r="C3373" s="114">
        <v>1.2999999999999999E-2</v>
      </c>
      <c r="D3373" s="757" t="str">
        <f>VLOOKUP(A3373,'A VII.'!$A$10:$D$199,3,FALSE)</f>
        <v>KG</v>
      </c>
      <c r="E3373" s="85">
        <f>'A VII.'!D90</f>
        <v>0</v>
      </c>
      <c r="F3373" s="59">
        <f>ROUND(C3373*E3373,2)</f>
        <v>0</v>
      </c>
    </row>
    <row r="3374" spans="1:6" ht="12.75" customHeight="1" x14ac:dyDescent="0.2">
      <c r="A3374" s="6" t="str">
        <f>'A VII.'!$A$93</f>
        <v>1.83</v>
      </c>
      <c r="B3374" s="421" t="str">
        <f>VLOOKUP(A3374,'A VII.'!$A$10:$D$199,2,FALSE)</f>
        <v>REBITE DE ALUMINIO VAZADO DE REPUXO, 3,2 X 8 MM (1KG = 1025 UNIDADES)</v>
      </c>
      <c r="C3374" s="114">
        <v>2.3999999999999998E-3</v>
      </c>
      <c r="D3374" s="757" t="str">
        <f>VLOOKUP(A3374,'A VII.'!$A$10:$D$199,3,FALSE)</f>
        <v>KG</v>
      </c>
      <c r="E3374" s="85">
        <f>'A VII.'!D93</f>
        <v>0</v>
      </c>
      <c r="F3374" s="59">
        <f t="shared" ref="F3374:F3388" si="205">ROUND(C3374*E3374,2)</f>
        <v>0</v>
      </c>
    </row>
    <row r="3375" spans="1:6" ht="12.75" customHeight="1" x14ac:dyDescent="0.2">
      <c r="A3375" s="6" t="str">
        <f>'A VII.'!$A$51</f>
        <v>1.42</v>
      </c>
      <c r="B3375" s="421" t="str">
        <f>VLOOKUP(A3375,'A VII.'!$A$10:$D$199,2,FALSE)</f>
        <v>ESTANHO PARA SOLDA</v>
      </c>
      <c r="C3375" s="114">
        <v>0.09</v>
      </c>
      <c r="D3375" s="757" t="str">
        <f>VLOOKUP(A3375,'A VII.'!$A$10:$D$199,3,FALSE)</f>
        <v>KG</v>
      </c>
      <c r="E3375" s="85">
        <f>'A VII.'!D51</f>
        <v>0</v>
      </c>
      <c r="F3375" s="59">
        <f t="shared" si="205"/>
        <v>0</v>
      </c>
    </row>
    <row r="3376" spans="1:6" ht="12.75" customHeight="1" x14ac:dyDescent="0.2">
      <c r="A3376" s="6" t="str">
        <f>'A VII.'!$A$30</f>
        <v>1.21</v>
      </c>
      <c r="B3376" s="421" t="str">
        <f>VLOOKUP(A3376,'A VII.'!$A$10:$D$199,2,FALSE)</f>
        <v>CALHA PARA AGUA FURTADA DE CHAPA DE ACO GALVANIZADA NUM 26, CORTE 50 CM</v>
      </c>
      <c r="C3376" s="114">
        <v>1.05</v>
      </c>
      <c r="D3376" s="757" t="str">
        <f>VLOOKUP(A3376,'A VII.'!$A$10:$D$199,3,FALSE)</f>
        <v>M</v>
      </c>
      <c r="E3376" s="85">
        <f>'A VII.'!D30</f>
        <v>0</v>
      </c>
      <c r="F3376" s="59">
        <f t="shared" si="205"/>
        <v>0</v>
      </c>
    </row>
    <row r="3377" spans="1:6" ht="12.75" customHeight="1" x14ac:dyDescent="0.2">
      <c r="A3377" s="6" t="str">
        <f>'A VII.'!$A$99</f>
        <v>1.89</v>
      </c>
      <c r="B3377" s="421" t="str">
        <f>VLOOKUP(A3377,'A VII.'!$A$10:$D$199,2,FALSE)</f>
        <v>SELANTE ELASTICO MONOCOMPONENTE A BASE DE POLIURETANO PARA JUNTAS DIVERSAS</v>
      </c>
      <c r="C3377" s="114">
        <v>8.1000000000000003E-2</v>
      </c>
      <c r="D3377" s="757" t="str">
        <f>VLOOKUP(A3377,'A VII.'!$A$10:$D$199,3,FALSE)</f>
        <v>310 ML</v>
      </c>
      <c r="E3377" s="85">
        <f>'A VII.'!D99</f>
        <v>0</v>
      </c>
      <c r="F3377" s="59">
        <f t="shared" si="205"/>
        <v>0</v>
      </c>
    </row>
    <row r="3378" spans="1:6" ht="12.75" customHeight="1" x14ac:dyDescent="0.2">
      <c r="A3378" s="6"/>
      <c r="B3378" s="421"/>
      <c r="C3378" s="114"/>
      <c r="D3378" s="757"/>
      <c r="E3378" s="85"/>
      <c r="F3378" s="59">
        <f t="shared" si="205"/>
        <v>0</v>
      </c>
    </row>
    <row r="3379" spans="1:6" ht="12.75" customHeight="1" x14ac:dyDescent="0.2">
      <c r="A3379" s="6"/>
      <c r="B3379" s="421"/>
      <c r="C3379" s="114"/>
      <c r="D3379" s="757"/>
      <c r="E3379" s="85"/>
      <c r="F3379" s="59">
        <f t="shared" si="205"/>
        <v>0</v>
      </c>
    </row>
    <row r="3380" spans="1:6" ht="12.75" customHeight="1" x14ac:dyDescent="0.2">
      <c r="A3380" s="6"/>
      <c r="B3380" s="421"/>
      <c r="C3380" s="114"/>
      <c r="D3380" s="757"/>
      <c r="E3380" s="85"/>
      <c r="F3380" s="59">
        <f t="shared" si="205"/>
        <v>0</v>
      </c>
    </row>
    <row r="3381" spans="1:6" ht="12.75" customHeight="1" x14ac:dyDescent="0.2">
      <c r="A3381" s="6"/>
      <c r="B3381" s="421"/>
      <c r="C3381" s="114"/>
      <c r="D3381" s="757"/>
      <c r="E3381" s="85"/>
      <c r="F3381" s="59">
        <f t="shared" si="205"/>
        <v>0</v>
      </c>
    </row>
    <row r="3382" spans="1:6" ht="12.75" customHeight="1" x14ac:dyDescent="0.2">
      <c r="A3382" s="6"/>
      <c r="B3382" s="421"/>
      <c r="C3382" s="114"/>
      <c r="D3382" s="757"/>
      <c r="E3382" s="85"/>
      <c r="F3382" s="59">
        <f t="shared" si="205"/>
        <v>0</v>
      </c>
    </row>
    <row r="3383" spans="1:6" ht="12.75" customHeight="1" x14ac:dyDescent="0.2">
      <c r="A3383" s="6"/>
      <c r="B3383" s="421"/>
      <c r="C3383" s="114"/>
      <c r="D3383" s="757"/>
      <c r="E3383" s="85"/>
      <c r="F3383" s="59">
        <f t="shared" si="205"/>
        <v>0</v>
      </c>
    </row>
    <row r="3384" spans="1:6" ht="12.75" customHeight="1" x14ac:dyDescent="0.2">
      <c r="A3384" s="6"/>
      <c r="B3384" s="421"/>
      <c r="C3384" s="114"/>
      <c r="D3384" s="758"/>
      <c r="E3384" s="85"/>
      <c r="F3384" s="59">
        <f t="shared" si="205"/>
        <v>0</v>
      </c>
    </row>
    <row r="3385" spans="1:6" ht="12.75" customHeight="1" x14ac:dyDescent="0.2">
      <c r="A3385" s="6"/>
      <c r="B3385" s="421"/>
      <c r="C3385" s="114"/>
      <c r="D3385" s="758"/>
      <c r="E3385" s="85"/>
      <c r="F3385" s="59">
        <f t="shared" si="205"/>
        <v>0</v>
      </c>
    </row>
    <row r="3386" spans="1:6" ht="12.75" customHeight="1" x14ac:dyDescent="0.2">
      <c r="A3386" s="6"/>
      <c r="B3386" s="421"/>
      <c r="C3386" s="114"/>
      <c r="D3386" s="758"/>
      <c r="E3386" s="85"/>
      <c r="F3386" s="59">
        <f t="shared" si="205"/>
        <v>0</v>
      </c>
    </row>
    <row r="3387" spans="1:6" ht="12.75" customHeight="1" x14ac:dyDescent="0.2">
      <c r="A3387" s="3"/>
      <c r="C3387" s="114"/>
      <c r="D3387" s="759"/>
      <c r="E3387" s="85"/>
      <c r="F3387" s="59">
        <f t="shared" si="205"/>
        <v>0</v>
      </c>
    </row>
    <row r="3388" spans="1:6" ht="12.75" customHeight="1" x14ac:dyDescent="0.2">
      <c r="A3388" s="3"/>
      <c r="C3388" s="114"/>
      <c r="D3388" s="759"/>
      <c r="E3388" s="85"/>
      <c r="F3388" s="59">
        <f t="shared" si="205"/>
        <v>0</v>
      </c>
    </row>
    <row r="3389" spans="1:6" ht="12.75" customHeight="1" x14ac:dyDescent="0.2">
      <c r="A3389" s="3"/>
      <c r="B3389" s="86" t="s">
        <v>258</v>
      </c>
      <c r="C3389" s="87"/>
      <c r="D3389" s="88"/>
      <c r="E3389" s="89"/>
      <c r="F3389" s="90">
        <f>SUM(F3373:F3388)</f>
        <v>0</v>
      </c>
    </row>
    <row r="3390" spans="1:6" ht="12.75" customHeight="1" x14ac:dyDescent="0.2">
      <c r="A3390" s="3"/>
      <c r="B3390" s="91" t="s">
        <v>70</v>
      </c>
      <c r="C3390" s="15">
        <f>$D$8</f>
        <v>0</v>
      </c>
      <c r="D3390" s="92"/>
      <c r="E3390" s="93"/>
      <c r="F3390" s="94">
        <f>ROUND(F3389*C3390,2)</f>
        <v>0</v>
      </c>
    </row>
    <row r="3391" spans="1:6" ht="12.75" customHeight="1" x14ac:dyDescent="0.2">
      <c r="A3391" s="95"/>
      <c r="B3391" s="424" t="s">
        <v>259</v>
      </c>
      <c r="C3391" s="425"/>
      <c r="D3391" s="425"/>
      <c r="E3391" s="426"/>
      <c r="F3391" s="96">
        <f>F3389+F3390</f>
        <v>0</v>
      </c>
    </row>
    <row r="3392" spans="1:6" ht="12.75" customHeight="1" x14ac:dyDescent="0.2">
      <c r="A3392" s="1" t="s">
        <v>5</v>
      </c>
      <c r="B3392" s="418" t="s">
        <v>267</v>
      </c>
      <c r="C3392" s="419" t="s">
        <v>263</v>
      </c>
      <c r="D3392" s="419" t="s">
        <v>264</v>
      </c>
      <c r="E3392" s="420" t="s">
        <v>265</v>
      </c>
      <c r="F3392" s="57" t="s">
        <v>266</v>
      </c>
    </row>
    <row r="3393" spans="1:6" ht="12.75" customHeight="1" x14ac:dyDescent="0.2">
      <c r="A3393" s="3" t="str">
        <f>'A VII.'!$A$157</f>
        <v>2.15</v>
      </c>
      <c r="B3393" s="71" t="str">
        <f>VLOOKUP(A3393,'A VII.'!$A$10:$D$199,2,FALSE)</f>
        <v>GUINCHO ELÉTRICO DE COLUNA, CAPACIDADE 400 KG, COM MOTO FREIO, MOTOR TRIFÁSICO DE 1,25 CV - CHP</v>
      </c>
      <c r="C3393" s="114">
        <v>1.32E-2</v>
      </c>
      <c r="D3393" s="759" t="str">
        <f>VLOOKUP(A3393,'A VII.'!$A$10:$D$199,3,FALSE)</f>
        <v>CHP</v>
      </c>
      <c r="E3393" s="85">
        <f>'A VII.'!$D$157</f>
        <v>0</v>
      </c>
      <c r="F3393" s="59">
        <f t="shared" ref="F3393:F3402" si="206">ROUND(C3393*E3393,2)</f>
        <v>0</v>
      </c>
    </row>
    <row r="3394" spans="1:6" ht="12.75" customHeight="1" x14ac:dyDescent="0.2">
      <c r="A3394" s="3" t="str">
        <f>'A VII.'!$A$158</f>
        <v>2.16</v>
      </c>
      <c r="B3394" s="74" t="str">
        <f>VLOOKUP(A3394,'A VII.'!$A$10:$D$199,2,FALSE)</f>
        <v>GUINCHO ELÉTRICO DE COLUNA, CAPACIDADE 400 KG, COM MOTO FREIO, MOTOR TRIFÁSICO DE 1,25 CV - CHI</v>
      </c>
      <c r="C3394" s="114">
        <v>1.83E-2</v>
      </c>
      <c r="D3394" s="759" t="str">
        <f>VLOOKUP(A3394,'A VII.'!$A$10:$D$199,3,FALSE)</f>
        <v>CHI</v>
      </c>
      <c r="E3394" s="85">
        <f>'A VII.'!$D$158</f>
        <v>0</v>
      </c>
      <c r="F3394" s="59">
        <f t="shared" si="206"/>
        <v>0</v>
      </c>
    </row>
    <row r="3395" spans="1:6" ht="12.75" customHeight="1" x14ac:dyDescent="0.2">
      <c r="A3395" s="3"/>
      <c r="C3395" s="114"/>
      <c r="D3395" s="759"/>
      <c r="E3395" s="85"/>
      <c r="F3395" s="59">
        <f t="shared" si="206"/>
        <v>0</v>
      </c>
    </row>
    <row r="3396" spans="1:6" ht="12.75" customHeight="1" x14ac:dyDescent="0.2">
      <c r="A3396" s="3"/>
      <c r="C3396" s="114"/>
      <c r="D3396" s="759"/>
      <c r="E3396" s="85"/>
      <c r="F3396" s="59">
        <f t="shared" si="206"/>
        <v>0</v>
      </c>
    </row>
    <row r="3397" spans="1:6" ht="12.75" customHeight="1" x14ac:dyDescent="0.2">
      <c r="A3397" s="3"/>
      <c r="C3397" s="114"/>
      <c r="D3397" s="759"/>
      <c r="E3397" s="85"/>
      <c r="F3397" s="59">
        <f t="shared" si="206"/>
        <v>0</v>
      </c>
    </row>
    <row r="3398" spans="1:6" ht="12.75" customHeight="1" x14ac:dyDescent="0.2">
      <c r="A3398" s="3"/>
      <c r="C3398" s="114"/>
      <c r="D3398" s="759"/>
      <c r="E3398" s="85"/>
      <c r="F3398" s="59">
        <f t="shared" si="206"/>
        <v>0</v>
      </c>
    </row>
    <row r="3399" spans="1:6" ht="12.75" customHeight="1" x14ac:dyDescent="0.2">
      <c r="A3399" s="3"/>
      <c r="C3399" s="114"/>
      <c r="D3399" s="759"/>
      <c r="E3399" s="85"/>
      <c r="F3399" s="59">
        <f t="shared" si="206"/>
        <v>0</v>
      </c>
    </row>
    <row r="3400" spans="1:6" ht="12.75" customHeight="1" x14ac:dyDescent="0.2">
      <c r="A3400" s="3"/>
      <c r="C3400" s="114"/>
      <c r="D3400" s="759"/>
      <c r="E3400" s="85"/>
      <c r="F3400" s="59">
        <f t="shared" si="206"/>
        <v>0</v>
      </c>
    </row>
    <row r="3401" spans="1:6" ht="12.75" customHeight="1" x14ac:dyDescent="0.2">
      <c r="A3401" s="3"/>
      <c r="C3401" s="114"/>
      <c r="D3401" s="759"/>
      <c r="E3401" s="85"/>
      <c r="F3401" s="59">
        <f t="shared" si="206"/>
        <v>0</v>
      </c>
    </row>
    <row r="3402" spans="1:6" ht="12.75" customHeight="1" x14ac:dyDescent="0.2">
      <c r="A3402" s="3"/>
      <c r="C3402" s="114"/>
      <c r="D3402" s="759"/>
      <c r="E3402" s="85"/>
      <c r="F3402" s="59">
        <f t="shared" si="206"/>
        <v>0</v>
      </c>
    </row>
    <row r="3403" spans="1:6" ht="12.75" customHeight="1" x14ac:dyDescent="0.2">
      <c r="A3403" s="3"/>
      <c r="B3403" s="86" t="s">
        <v>258</v>
      </c>
      <c r="C3403" s="87"/>
      <c r="D3403" s="88"/>
      <c r="E3403" s="89"/>
      <c r="F3403" s="90">
        <f>SUM(F3393:F3402)</f>
        <v>0</v>
      </c>
    </row>
    <row r="3404" spans="1:6" ht="12.75" customHeight="1" x14ac:dyDescent="0.2">
      <c r="A3404" s="3"/>
      <c r="B3404" s="91" t="s">
        <v>70</v>
      </c>
      <c r="C3404" s="15">
        <f>$D$8</f>
        <v>0</v>
      </c>
      <c r="D3404" s="92"/>
      <c r="E3404" s="93"/>
      <c r="F3404" s="94">
        <f>ROUND(C3404*F3403,2)</f>
        <v>0</v>
      </c>
    </row>
    <row r="3405" spans="1:6" ht="12.75" customHeight="1" x14ac:dyDescent="0.2">
      <c r="A3405" s="95"/>
      <c r="B3405" s="424" t="s">
        <v>260</v>
      </c>
      <c r="C3405" s="425"/>
      <c r="D3405" s="425"/>
      <c r="E3405" s="426"/>
      <c r="F3405" s="96">
        <f>F3403+F3404</f>
        <v>0</v>
      </c>
    </row>
    <row r="3406" spans="1:6" ht="12.75" customHeight="1" x14ac:dyDescent="0.2">
      <c r="A3406" s="97" t="s">
        <v>54</v>
      </c>
      <c r="B3406" s="427" t="s">
        <v>268</v>
      </c>
      <c r="C3406" s="428" t="s">
        <v>263</v>
      </c>
      <c r="D3406" s="429" t="s">
        <v>264</v>
      </c>
      <c r="E3406" s="430" t="s">
        <v>265</v>
      </c>
      <c r="F3406" s="57" t="s">
        <v>266</v>
      </c>
    </row>
    <row r="3407" spans="1:6" ht="12.75" customHeight="1" x14ac:dyDescent="0.2">
      <c r="A3407" s="3" t="str">
        <f>'A VII.'!$A$196</f>
        <v>3.16</v>
      </c>
      <c r="B3407" s="74" t="s">
        <v>189</v>
      </c>
      <c r="C3407" s="114">
        <f>0.371</f>
        <v>0.371</v>
      </c>
      <c r="D3407" s="759" t="str">
        <f>VLOOKUP(A3407,'A VII.'!$A$10:$D$199,3,FALSE)</f>
        <v>H</v>
      </c>
      <c r="E3407" s="85">
        <f>'A VII.'!D196</f>
        <v>0</v>
      </c>
      <c r="F3407" s="59">
        <f t="shared" ref="F3407:F3413" si="207">ROUND(C3407*E3407,2)</f>
        <v>0</v>
      </c>
    </row>
    <row r="3408" spans="1:6" ht="12.75" customHeight="1" x14ac:dyDescent="0.2">
      <c r="A3408" s="3" t="str">
        <f>'A VII.'!$A$199</f>
        <v>3.19</v>
      </c>
      <c r="B3408" s="74" t="s">
        <v>192</v>
      </c>
      <c r="C3408" s="114">
        <v>0.27700000000000002</v>
      </c>
      <c r="D3408" s="759" t="str">
        <f>VLOOKUP(A3408,'A VII.'!$A$10:$D$199,3,FALSE)</f>
        <v>H</v>
      </c>
      <c r="E3408" s="85">
        <f>'A VII.'!D199</f>
        <v>0</v>
      </c>
      <c r="F3408" s="59">
        <f t="shared" si="207"/>
        <v>0</v>
      </c>
    </row>
    <row r="3409" spans="1:6" ht="12.75" customHeight="1" x14ac:dyDescent="0.2">
      <c r="A3409" s="3"/>
      <c r="C3409" s="114"/>
      <c r="D3409" s="759"/>
      <c r="E3409" s="85"/>
      <c r="F3409" s="59">
        <f t="shared" si="207"/>
        <v>0</v>
      </c>
    </row>
    <row r="3410" spans="1:6" ht="12.75" customHeight="1" x14ac:dyDescent="0.2">
      <c r="A3410" s="3"/>
      <c r="C3410" s="114"/>
      <c r="D3410" s="759"/>
      <c r="E3410" s="85"/>
      <c r="F3410" s="59">
        <f t="shared" si="207"/>
        <v>0</v>
      </c>
    </row>
    <row r="3411" spans="1:6" ht="12.75" customHeight="1" x14ac:dyDescent="0.2">
      <c r="A3411" s="3"/>
      <c r="C3411" s="114"/>
      <c r="D3411" s="759"/>
      <c r="E3411" s="85"/>
      <c r="F3411" s="59">
        <f t="shared" si="207"/>
        <v>0</v>
      </c>
    </row>
    <row r="3412" spans="1:6" ht="12.75" customHeight="1" x14ac:dyDescent="0.2">
      <c r="A3412" s="3"/>
      <c r="C3412" s="114"/>
      <c r="D3412" s="759"/>
      <c r="E3412" s="85"/>
      <c r="F3412" s="59">
        <f t="shared" si="207"/>
        <v>0</v>
      </c>
    </row>
    <row r="3413" spans="1:6" ht="12.75" customHeight="1" x14ac:dyDescent="0.2">
      <c r="A3413" s="3"/>
      <c r="C3413" s="114"/>
      <c r="D3413" s="759"/>
      <c r="E3413" s="85"/>
      <c r="F3413" s="59">
        <f t="shared" si="207"/>
        <v>0</v>
      </c>
    </row>
    <row r="3414" spans="1:6" ht="12.75" customHeight="1" x14ac:dyDescent="0.2">
      <c r="A3414" s="3"/>
      <c r="B3414" s="86" t="s">
        <v>258</v>
      </c>
      <c r="C3414" s="87"/>
      <c r="D3414" s="88"/>
      <c r="E3414" s="89"/>
      <c r="F3414" s="90">
        <f>SUM(F3407:F3413)</f>
        <v>0</v>
      </c>
    </row>
    <row r="3415" spans="1:6" ht="12.75" customHeight="1" x14ac:dyDescent="0.2">
      <c r="A3415" s="3"/>
      <c r="B3415" s="91" t="s">
        <v>261</v>
      </c>
      <c r="C3415" s="15">
        <f>'A IX.'!$C$45</f>
        <v>0</v>
      </c>
      <c r="D3415" s="92"/>
      <c r="E3415" s="93"/>
      <c r="F3415" s="94">
        <f>ROUND(F3414*C3415,2)</f>
        <v>0</v>
      </c>
    </row>
    <row r="3416" spans="1:6" ht="12.75" customHeight="1" x14ac:dyDescent="0.2">
      <c r="A3416" s="3"/>
      <c r="B3416" s="91" t="s">
        <v>70</v>
      </c>
      <c r="C3416" s="15">
        <f>$D$8</f>
        <v>0</v>
      </c>
      <c r="D3416" s="92"/>
      <c r="E3416" s="93"/>
      <c r="F3416" s="94">
        <f>ROUND(SUM(F3414:F3415)*C3416,2)</f>
        <v>0</v>
      </c>
    </row>
    <row r="3417" spans="1:6" ht="12.75" customHeight="1" thickBot="1" x14ac:dyDescent="0.25">
      <c r="A3417" s="98"/>
      <c r="B3417" s="99" t="s">
        <v>262</v>
      </c>
      <c r="C3417" s="100"/>
      <c r="D3417" s="100"/>
      <c r="E3417" s="101"/>
      <c r="F3417" s="102">
        <f>SUM(F3414:F3416)</f>
        <v>0</v>
      </c>
    </row>
    <row r="3418" spans="1:6" ht="12.75" customHeight="1" thickBot="1" x14ac:dyDescent="0.25">
      <c r="A3418" s="81"/>
      <c r="B3418" s="82"/>
      <c r="C3418" s="83"/>
      <c r="D3418" s="83"/>
      <c r="E3418" s="84"/>
      <c r="F3418" s="103"/>
    </row>
    <row r="3419" spans="1:6" ht="30" customHeight="1" x14ac:dyDescent="0.2">
      <c r="A3419" s="5" t="str">
        <f>'A IV.A'!$A$106</f>
        <v>3.10.6</v>
      </c>
      <c r="B3419" s="416" t="str">
        <f>'A IV.A'!B106</f>
        <v xml:space="preserve">RUFO / PINGADEIRA DE CHAPA GALVANIZADA Nº 26 </v>
      </c>
      <c r="C3419" s="526" t="s">
        <v>269</v>
      </c>
      <c r="D3419" s="527"/>
      <c r="E3419" s="417" t="str">
        <f>'A IV.A'!$C$106</f>
        <v>M</v>
      </c>
      <c r="F3419" s="58">
        <f>ROUND(F3439+F3453+F3465,2)</f>
        <v>0</v>
      </c>
    </row>
    <row r="3420" spans="1:6" ht="12.75" customHeight="1" x14ac:dyDescent="0.2">
      <c r="A3420" s="1" t="s">
        <v>17</v>
      </c>
      <c r="B3420" s="418" t="s">
        <v>162</v>
      </c>
      <c r="C3420" s="419" t="s">
        <v>263</v>
      </c>
      <c r="D3420" s="419" t="s">
        <v>264</v>
      </c>
      <c r="E3420" s="420" t="s">
        <v>265</v>
      </c>
      <c r="F3420" s="57" t="s">
        <v>266</v>
      </c>
    </row>
    <row r="3421" spans="1:6" ht="12.75" customHeight="1" x14ac:dyDescent="0.2">
      <c r="A3421" s="6" t="str">
        <f>'A VII.'!$A$90</f>
        <v>1.80</v>
      </c>
      <c r="B3421" s="421" t="str">
        <f>VLOOKUP(A3421,'A VII.'!$A$10:$D$199,2,FALSE)</f>
        <v>PREGO EM AÇO POLIDO COM CABEÇA (MEDIA DAS BITOLAS)</v>
      </c>
      <c r="C3421" s="114">
        <v>6.0000000000000001E-3</v>
      </c>
      <c r="D3421" s="757" t="str">
        <f>VLOOKUP(A3421,'A VII.'!$A$10:$D$199,3,FALSE)</f>
        <v>KG</v>
      </c>
      <c r="E3421" s="85">
        <f>'A VII.'!D90</f>
        <v>0</v>
      </c>
      <c r="F3421" s="59">
        <f>ROUND(C3421*E3421,2)</f>
        <v>0</v>
      </c>
    </row>
    <row r="3422" spans="1:6" ht="12.75" customHeight="1" x14ac:dyDescent="0.2">
      <c r="A3422" s="6" t="str">
        <f>'A VII.'!$A$95</f>
        <v>1.85</v>
      </c>
      <c r="B3422" s="421" t="str">
        <f>VLOOKUP(A3422,'A VII.'!$A$10:$D$199,2,FALSE)</f>
        <v>RUFO EXTERNO/INTERNO DE CHAPA DE ACO GALVANIZADA NUM 26</v>
      </c>
      <c r="C3422" s="114">
        <v>1.03</v>
      </c>
      <c r="D3422" s="757" t="str">
        <f>VLOOKUP(A3422,'A VII.'!$A$10:$D$199,3,FALSE)</f>
        <v>M</v>
      </c>
      <c r="E3422" s="85">
        <f>'A VII.'!D95</f>
        <v>0</v>
      </c>
      <c r="F3422" s="59">
        <f t="shared" ref="F3422:F3436" si="208">ROUND(C3422*E3422,2)</f>
        <v>0</v>
      </c>
    </row>
    <row r="3423" spans="1:6" ht="12.75" customHeight="1" x14ac:dyDescent="0.2">
      <c r="A3423" s="6" t="str">
        <f>'A VII.'!$A$51</f>
        <v>1.42</v>
      </c>
      <c r="B3423" s="421" t="str">
        <f>'A VII.'!B51</f>
        <v>ESTANHO PARA SOLDA</v>
      </c>
      <c r="C3423" s="114">
        <v>4.4999999999999998E-2</v>
      </c>
      <c r="D3423" s="757" t="str">
        <f>'A VII.'!C51</f>
        <v>KG</v>
      </c>
      <c r="E3423" s="85">
        <f>'A VII.'!D51</f>
        <v>0</v>
      </c>
      <c r="F3423" s="59">
        <f t="shared" si="208"/>
        <v>0</v>
      </c>
    </row>
    <row r="3424" spans="1:6" ht="12.75" customHeight="1" x14ac:dyDescent="0.2">
      <c r="A3424" s="6" t="str">
        <f>'A VII.'!$A$93</f>
        <v>1.83</v>
      </c>
      <c r="B3424" s="421" t="str">
        <f>'A VII.'!B93</f>
        <v>REBITE DE ALUMINIO VAZADO DE REPUXO, 3,2 X 8 MM (1KG = 1025 UNIDADES)</v>
      </c>
      <c r="C3424" s="114">
        <v>1.1999999999999999E-3</v>
      </c>
      <c r="D3424" s="757" t="str">
        <f>'A VII.'!C93</f>
        <v>KG</v>
      </c>
      <c r="E3424" s="85">
        <f>'A VII.'!D93</f>
        <v>0</v>
      </c>
      <c r="F3424" s="59">
        <f t="shared" si="208"/>
        <v>0</v>
      </c>
    </row>
    <row r="3425" spans="1:6" ht="12.75" customHeight="1" x14ac:dyDescent="0.2">
      <c r="A3425" s="6" t="str">
        <f>'A VII.'!$A$99</f>
        <v>1.89</v>
      </c>
      <c r="B3425" s="421" t="str">
        <f>'A VII.'!B99</f>
        <v>SELANTE ELASTICO MONOCOMPONENTE A BASE DE POLIURETANO PARA JUNTAS DIVERSAS</v>
      </c>
      <c r="C3425" s="114">
        <v>0.04</v>
      </c>
      <c r="D3425" s="757" t="str">
        <f>'A VII.'!C99</f>
        <v>310 ML</v>
      </c>
      <c r="E3425" s="85">
        <f>'A VII.'!D99</f>
        <v>0</v>
      </c>
      <c r="F3425" s="59">
        <f t="shared" si="208"/>
        <v>0</v>
      </c>
    </row>
    <row r="3426" spans="1:6" ht="12.75" customHeight="1" x14ac:dyDescent="0.2">
      <c r="A3426" s="6"/>
      <c r="B3426" s="421"/>
      <c r="C3426" s="114"/>
      <c r="D3426" s="757"/>
      <c r="E3426" s="85"/>
      <c r="F3426" s="59">
        <f t="shared" si="208"/>
        <v>0</v>
      </c>
    </row>
    <row r="3427" spans="1:6" ht="12.75" customHeight="1" x14ac:dyDescent="0.2">
      <c r="A3427" s="6"/>
      <c r="B3427" s="421"/>
      <c r="C3427" s="114"/>
      <c r="D3427" s="757"/>
      <c r="E3427" s="85"/>
      <c r="F3427" s="59">
        <f t="shared" si="208"/>
        <v>0</v>
      </c>
    </row>
    <row r="3428" spans="1:6" ht="12.75" customHeight="1" x14ac:dyDescent="0.2">
      <c r="A3428" s="6"/>
      <c r="B3428" s="421"/>
      <c r="C3428" s="114"/>
      <c r="D3428" s="757"/>
      <c r="E3428" s="85"/>
      <c r="F3428" s="59">
        <f t="shared" si="208"/>
        <v>0</v>
      </c>
    </row>
    <row r="3429" spans="1:6" ht="12.75" customHeight="1" x14ac:dyDescent="0.2">
      <c r="A3429" s="6"/>
      <c r="B3429" s="421"/>
      <c r="C3429" s="114"/>
      <c r="D3429" s="757"/>
      <c r="E3429" s="85"/>
      <c r="F3429" s="59">
        <f t="shared" si="208"/>
        <v>0</v>
      </c>
    </row>
    <row r="3430" spans="1:6" ht="12.75" customHeight="1" x14ac:dyDescent="0.2">
      <c r="A3430" s="6"/>
      <c r="B3430" s="421"/>
      <c r="C3430" s="114"/>
      <c r="D3430" s="757"/>
      <c r="E3430" s="85"/>
      <c r="F3430" s="59">
        <f t="shared" si="208"/>
        <v>0</v>
      </c>
    </row>
    <row r="3431" spans="1:6" ht="12.75" customHeight="1" x14ac:dyDescent="0.2">
      <c r="A3431" s="6"/>
      <c r="B3431" s="421"/>
      <c r="C3431" s="114"/>
      <c r="D3431" s="757"/>
      <c r="E3431" s="85"/>
      <c r="F3431" s="59">
        <f t="shared" si="208"/>
        <v>0</v>
      </c>
    </row>
    <row r="3432" spans="1:6" ht="12.75" customHeight="1" x14ac:dyDescent="0.2">
      <c r="A3432" s="6"/>
      <c r="B3432" s="421"/>
      <c r="C3432" s="114"/>
      <c r="D3432" s="758"/>
      <c r="E3432" s="85"/>
      <c r="F3432" s="59">
        <f t="shared" si="208"/>
        <v>0</v>
      </c>
    </row>
    <row r="3433" spans="1:6" ht="12.75" customHeight="1" x14ac:dyDescent="0.2">
      <c r="A3433" s="6"/>
      <c r="B3433" s="421"/>
      <c r="C3433" s="114"/>
      <c r="D3433" s="758"/>
      <c r="E3433" s="85"/>
      <c r="F3433" s="59">
        <f t="shared" si="208"/>
        <v>0</v>
      </c>
    </row>
    <row r="3434" spans="1:6" ht="12.75" customHeight="1" x14ac:dyDescent="0.2">
      <c r="A3434" s="6"/>
      <c r="B3434" s="421"/>
      <c r="C3434" s="114"/>
      <c r="D3434" s="758"/>
      <c r="E3434" s="85"/>
      <c r="F3434" s="59">
        <f t="shared" si="208"/>
        <v>0</v>
      </c>
    </row>
    <row r="3435" spans="1:6" ht="12.75" customHeight="1" x14ac:dyDescent="0.2">
      <c r="A3435" s="3"/>
      <c r="C3435" s="114"/>
      <c r="D3435" s="759"/>
      <c r="E3435" s="85"/>
      <c r="F3435" s="59">
        <f t="shared" si="208"/>
        <v>0</v>
      </c>
    </row>
    <row r="3436" spans="1:6" ht="12.75" customHeight="1" x14ac:dyDescent="0.2">
      <c r="A3436" s="3"/>
      <c r="C3436" s="114"/>
      <c r="D3436" s="759"/>
      <c r="E3436" s="85"/>
      <c r="F3436" s="59">
        <f t="shared" si="208"/>
        <v>0</v>
      </c>
    </row>
    <row r="3437" spans="1:6" ht="12.75" customHeight="1" x14ac:dyDescent="0.2">
      <c r="A3437" s="3"/>
      <c r="B3437" s="86" t="s">
        <v>258</v>
      </c>
      <c r="C3437" s="87"/>
      <c r="D3437" s="88"/>
      <c r="E3437" s="89"/>
      <c r="F3437" s="90">
        <f>SUM(F3421:F3436)</f>
        <v>0</v>
      </c>
    </row>
    <row r="3438" spans="1:6" ht="12.75" customHeight="1" x14ac:dyDescent="0.2">
      <c r="A3438" s="3"/>
      <c r="B3438" s="91" t="s">
        <v>70</v>
      </c>
      <c r="C3438" s="15">
        <f>$D$8</f>
        <v>0</v>
      </c>
      <c r="D3438" s="92"/>
      <c r="E3438" s="93"/>
      <c r="F3438" s="94">
        <f>ROUND(F3437*C3438,2)</f>
        <v>0</v>
      </c>
    </row>
    <row r="3439" spans="1:6" ht="12.75" customHeight="1" x14ac:dyDescent="0.2">
      <c r="A3439" s="95"/>
      <c r="B3439" s="424" t="s">
        <v>259</v>
      </c>
      <c r="C3439" s="425"/>
      <c r="D3439" s="425"/>
      <c r="E3439" s="426"/>
      <c r="F3439" s="96">
        <f>F3437+F3438</f>
        <v>0</v>
      </c>
    </row>
    <row r="3440" spans="1:6" ht="12.75" customHeight="1" x14ac:dyDescent="0.2">
      <c r="A3440" s="1" t="s">
        <v>5</v>
      </c>
      <c r="B3440" s="418" t="s">
        <v>267</v>
      </c>
      <c r="C3440" s="419" t="s">
        <v>263</v>
      </c>
      <c r="D3440" s="419" t="s">
        <v>264</v>
      </c>
      <c r="E3440" s="420" t="s">
        <v>265</v>
      </c>
      <c r="F3440" s="57" t="s">
        <v>266</v>
      </c>
    </row>
    <row r="3441" spans="1:6" ht="12.75" customHeight="1" x14ac:dyDescent="0.2">
      <c r="A3441" s="3" t="str">
        <f>'A VII.'!$A$157</f>
        <v>2.15</v>
      </c>
      <c r="B3441" s="71" t="str">
        <f>'A VII.'!B157</f>
        <v>GUINCHO ELÉTRICO DE COLUNA, CAPACIDADE 400 KG, COM MOTO FREIO, MOTOR TRIFÁSICO DE 1,25 CV - CHP</v>
      </c>
      <c r="C3441" s="114">
        <v>1.32E-2</v>
      </c>
      <c r="D3441" s="759" t="str">
        <f>'A VII.'!C157</f>
        <v>CHP</v>
      </c>
      <c r="E3441" s="85">
        <f>'A VII.'!D157</f>
        <v>0</v>
      </c>
      <c r="F3441" s="59">
        <f t="shared" ref="F3441:F3450" si="209">ROUND(C3441*E3441,2)</f>
        <v>0</v>
      </c>
    </row>
    <row r="3442" spans="1:6" ht="12.75" customHeight="1" x14ac:dyDescent="0.2">
      <c r="A3442" s="3" t="str">
        <f>'A VII.'!$A$158</f>
        <v>2.16</v>
      </c>
      <c r="B3442" s="71" t="str">
        <f>'A VII.'!B158</f>
        <v>GUINCHO ELÉTRICO DE COLUNA, CAPACIDADE 400 KG, COM MOTO FREIO, MOTOR TRIFÁSICO DE 1,25 CV - CHI</v>
      </c>
      <c r="C3442" s="114">
        <v>1.83E-2</v>
      </c>
      <c r="D3442" s="759" t="str">
        <f>'A VII.'!C158</f>
        <v>CHI</v>
      </c>
      <c r="E3442" s="85">
        <f>'A VII.'!D158</f>
        <v>0</v>
      </c>
      <c r="F3442" s="59">
        <f t="shared" si="209"/>
        <v>0</v>
      </c>
    </row>
    <row r="3443" spans="1:6" ht="12.75" customHeight="1" x14ac:dyDescent="0.2">
      <c r="A3443" s="3"/>
      <c r="C3443" s="114"/>
      <c r="D3443" s="759"/>
      <c r="E3443" s="85"/>
      <c r="F3443" s="59">
        <f t="shared" si="209"/>
        <v>0</v>
      </c>
    </row>
    <row r="3444" spans="1:6" ht="12.75" customHeight="1" x14ac:dyDescent="0.2">
      <c r="A3444" s="3"/>
      <c r="C3444" s="114"/>
      <c r="D3444" s="759"/>
      <c r="E3444" s="85"/>
      <c r="F3444" s="59">
        <f t="shared" si="209"/>
        <v>0</v>
      </c>
    </row>
    <row r="3445" spans="1:6" ht="12.75" customHeight="1" x14ac:dyDescent="0.2">
      <c r="A3445" s="3"/>
      <c r="C3445" s="114"/>
      <c r="D3445" s="759"/>
      <c r="E3445" s="85"/>
      <c r="F3445" s="59">
        <f t="shared" si="209"/>
        <v>0</v>
      </c>
    </row>
    <row r="3446" spans="1:6" ht="12.75" customHeight="1" x14ac:dyDescent="0.2">
      <c r="A3446" s="3"/>
      <c r="C3446" s="114"/>
      <c r="D3446" s="759"/>
      <c r="E3446" s="85"/>
      <c r="F3446" s="59">
        <f t="shared" si="209"/>
        <v>0</v>
      </c>
    </row>
    <row r="3447" spans="1:6" ht="12.75" customHeight="1" x14ac:dyDescent="0.2">
      <c r="A3447" s="3"/>
      <c r="C3447" s="114"/>
      <c r="D3447" s="759"/>
      <c r="E3447" s="85"/>
      <c r="F3447" s="59">
        <f t="shared" si="209"/>
        <v>0</v>
      </c>
    </row>
    <row r="3448" spans="1:6" ht="12.75" customHeight="1" x14ac:dyDescent="0.2">
      <c r="A3448" s="3"/>
      <c r="C3448" s="114"/>
      <c r="D3448" s="759"/>
      <c r="E3448" s="85"/>
      <c r="F3448" s="59">
        <f t="shared" si="209"/>
        <v>0</v>
      </c>
    </row>
    <row r="3449" spans="1:6" ht="12.75" customHeight="1" x14ac:dyDescent="0.2">
      <c r="A3449" s="3"/>
      <c r="C3449" s="114"/>
      <c r="D3449" s="759"/>
      <c r="E3449" s="85"/>
      <c r="F3449" s="59">
        <f t="shared" si="209"/>
        <v>0</v>
      </c>
    </row>
    <row r="3450" spans="1:6" ht="12.75" customHeight="1" x14ac:dyDescent="0.2">
      <c r="A3450" s="3"/>
      <c r="C3450" s="114"/>
      <c r="D3450" s="759"/>
      <c r="E3450" s="85"/>
      <c r="F3450" s="59">
        <f t="shared" si="209"/>
        <v>0</v>
      </c>
    </row>
    <row r="3451" spans="1:6" ht="12.75" customHeight="1" x14ac:dyDescent="0.2">
      <c r="A3451" s="3"/>
      <c r="B3451" s="86" t="s">
        <v>258</v>
      </c>
      <c r="C3451" s="87"/>
      <c r="D3451" s="88"/>
      <c r="E3451" s="89"/>
      <c r="F3451" s="90">
        <f>SUM(F3441:F3450)</f>
        <v>0</v>
      </c>
    </row>
    <row r="3452" spans="1:6" ht="12.75" customHeight="1" x14ac:dyDescent="0.2">
      <c r="A3452" s="3"/>
      <c r="B3452" s="91" t="s">
        <v>70</v>
      </c>
      <c r="C3452" s="15">
        <f>$D$8</f>
        <v>0</v>
      </c>
      <c r="D3452" s="92"/>
      <c r="E3452" s="93"/>
      <c r="F3452" s="94">
        <f>ROUND(C3452*F3451,2)</f>
        <v>0</v>
      </c>
    </row>
    <row r="3453" spans="1:6" ht="12.75" customHeight="1" x14ac:dyDescent="0.2">
      <c r="A3453" s="95"/>
      <c r="B3453" s="424" t="s">
        <v>260</v>
      </c>
      <c r="C3453" s="425"/>
      <c r="D3453" s="425"/>
      <c r="E3453" s="426"/>
      <c r="F3453" s="96">
        <f>F3451+F3452</f>
        <v>0</v>
      </c>
    </row>
    <row r="3454" spans="1:6" ht="12.75" customHeight="1" x14ac:dyDescent="0.2">
      <c r="A3454" s="97" t="s">
        <v>54</v>
      </c>
      <c r="B3454" s="427" t="s">
        <v>268</v>
      </c>
      <c r="C3454" s="428" t="s">
        <v>263</v>
      </c>
      <c r="D3454" s="429" t="s">
        <v>264</v>
      </c>
      <c r="E3454" s="430" t="s">
        <v>265</v>
      </c>
      <c r="F3454" s="57" t="s">
        <v>266</v>
      </c>
    </row>
    <row r="3455" spans="1:6" ht="12.75" customHeight="1" x14ac:dyDescent="0.2">
      <c r="A3455" s="3" t="str">
        <f>'A VII.'!$A$181</f>
        <v>3.1</v>
      </c>
      <c r="B3455" s="74" t="s">
        <v>174</v>
      </c>
      <c r="C3455" s="114">
        <v>0.20699999999999999</v>
      </c>
      <c r="D3455" s="759" t="str">
        <f>VLOOKUP(A3455,'A VII.'!$A$10:$D$199,3,FALSE)</f>
        <v>H</v>
      </c>
      <c r="E3455" s="85">
        <f>'A VII.'!D181</f>
        <v>0</v>
      </c>
      <c r="F3455" s="59">
        <f t="shared" ref="F3455:F3461" si="210">ROUND(C3455*E3455,2)</f>
        <v>0</v>
      </c>
    </row>
    <row r="3456" spans="1:6" ht="12.75" customHeight="1" x14ac:dyDescent="0.2">
      <c r="A3456" s="3" t="str">
        <f>'A VII.'!$A$199</f>
        <v>3.19</v>
      </c>
      <c r="B3456" s="74" t="s">
        <v>192</v>
      </c>
      <c r="C3456" s="114">
        <v>0.112</v>
      </c>
      <c r="D3456" s="759" t="str">
        <f>VLOOKUP(A3456,'A VII.'!$A$10:$D$199,3,FALSE)</f>
        <v>H</v>
      </c>
      <c r="E3456" s="85">
        <f>'A VII.'!D199</f>
        <v>0</v>
      </c>
      <c r="F3456" s="59">
        <f t="shared" si="210"/>
        <v>0</v>
      </c>
    </row>
    <row r="3457" spans="1:6" ht="12.75" customHeight="1" x14ac:dyDescent="0.2">
      <c r="A3457" s="3"/>
      <c r="C3457" s="114"/>
      <c r="D3457" s="759"/>
      <c r="E3457" s="85"/>
      <c r="F3457" s="59">
        <f t="shared" si="210"/>
        <v>0</v>
      </c>
    </row>
    <row r="3458" spans="1:6" ht="12.75" customHeight="1" x14ac:dyDescent="0.2">
      <c r="A3458" s="3"/>
      <c r="C3458" s="114"/>
      <c r="D3458" s="759"/>
      <c r="E3458" s="85"/>
      <c r="F3458" s="59">
        <f t="shared" si="210"/>
        <v>0</v>
      </c>
    </row>
    <row r="3459" spans="1:6" ht="12.75" customHeight="1" x14ac:dyDescent="0.2">
      <c r="A3459" s="3"/>
      <c r="C3459" s="114"/>
      <c r="D3459" s="759"/>
      <c r="E3459" s="85"/>
      <c r="F3459" s="59">
        <f t="shared" si="210"/>
        <v>0</v>
      </c>
    </row>
    <row r="3460" spans="1:6" ht="12.75" customHeight="1" x14ac:dyDescent="0.2">
      <c r="A3460" s="3"/>
      <c r="C3460" s="114"/>
      <c r="D3460" s="759"/>
      <c r="E3460" s="85"/>
      <c r="F3460" s="59">
        <f t="shared" si="210"/>
        <v>0</v>
      </c>
    </row>
    <row r="3461" spans="1:6" ht="12.75" customHeight="1" x14ac:dyDescent="0.2">
      <c r="A3461" s="3"/>
      <c r="C3461" s="114"/>
      <c r="D3461" s="759"/>
      <c r="E3461" s="85"/>
      <c r="F3461" s="59">
        <f t="shared" si="210"/>
        <v>0</v>
      </c>
    </row>
    <row r="3462" spans="1:6" ht="12.75" customHeight="1" x14ac:dyDescent="0.2">
      <c r="A3462" s="3"/>
      <c r="B3462" s="86" t="s">
        <v>258</v>
      </c>
      <c r="C3462" s="87"/>
      <c r="D3462" s="88"/>
      <c r="E3462" s="89"/>
      <c r="F3462" s="90">
        <f>SUM(F3455:F3461)</f>
        <v>0</v>
      </c>
    </row>
    <row r="3463" spans="1:6" ht="12.75" customHeight="1" x14ac:dyDescent="0.2">
      <c r="A3463" s="3"/>
      <c r="B3463" s="91" t="s">
        <v>261</v>
      </c>
      <c r="C3463" s="15">
        <f>'A IX.'!$C$45</f>
        <v>0</v>
      </c>
      <c r="D3463" s="92"/>
      <c r="E3463" s="93"/>
      <c r="F3463" s="94">
        <f>ROUND(F3462*C3463,2)</f>
        <v>0</v>
      </c>
    </row>
    <row r="3464" spans="1:6" ht="12.75" customHeight="1" x14ac:dyDescent="0.2">
      <c r="A3464" s="3"/>
      <c r="B3464" s="91" t="s">
        <v>70</v>
      </c>
      <c r="C3464" s="15">
        <f>$D$8</f>
        <v>0</v>
      </c>
      <c r="D3464" s="92"/>
      <c r="E3464" s="93"/>
      <c r="F3464" s="94">
        <f>ROUND(SUM(F3462:F3463)*C3464,2)</f>
        <v>0</v>
      </c>
    </row>
    <row r="3465" spans="1:6" ht="12.75" customHeight="1" thickBot="1" x14ac:dyDescent="0.25">
      <c r="A3465" s="98"/>
      <c r="B3465" s="99" t="s">
        <v>262</v>
      </c>
      <c r="C3465" s="100"/>
      <c r="D3465" s="100"/>
      <c r="E3465" s="101"/>
      <c r="F3465" s="102">
        <f>SUM(F3462:F3464)</f>
        <v>0</v>
      </c>
    </row>
    <row r="3466" spans="1:6" ht="12.75" customHeight="1" thickBot="1" x14ac:dyDescent="0.25">
      <c r="A3466" s="81"/>
      <c r="B3466" s="82"/>
      <c r="C3466" s="83"/>
      <c r="D3466" s="83"/>
      <c r="E3466" s="84"/>
      <c r="F3466" s="103"/>
    </row>
    <row r="3467" spans="1:6" ht="30" customHeight="1" x14ac:dyDescent="0.2">
      <c r="A3467" s="5" t="str">
        <f>'A IV.A'!$A$108</f>
        <v>3.11.1</v>
      </c>
      <c r="B3467" s="416" t="str">
        <f>'A IV.A'!B108</f>
        <v xml:space="preserve">VIDRO FANTASIA, COLOCADO EM CAIXILIO COM OU SEM BAGUETE, DUAS DEMÃOS DE MASSA E= 4 MM </v>
      </c>
      <c r="C3467" s="526" t="s">
        <v>269</v>
      </c>
      <c r="D3467" s="527"/>
      <c r="E3467" s="417" t="str">
        <f>'A IV.A'!C108</f>
        <v>M2</v>
      </c>
      <c r="F3467" s="58">
        <f>ROUND(F3487+F3501+F3513,2)</f>
        <v>0</v>
      </c>
    </row>
    <row r="3468" spans="1:6" ht="12.75" customHeight="1" x14ac:dyDescent="0.2">
      <c r="A3468" s="1" t="s">
        <v>17</v>
      </c>
      <c r="B3468" s="418" t="s">
        <v>162</v>
      </c>
      <c r="C3468" s="419" t="s">
        <v>263</v>
      </c>
      <c r="D3468" s="419" t="s">
        <v>264</v>
      </c>
      <c r="E3468" s="420" t="s">
        <v>265</v>
      </c>
      <c r="F3468" s="57" t="s">
        <v>266</v>
      </c>
    </row>
    <row r="3469" spans="1:6" ht="12.75" customHeight="1" x14ac:dyDescent="0.2">
      <c r="A3469" s="52" t="str">
        <f>'A VII.'!$A$73</f>
        <v>1.64</v>
      </c>
      <c r="B3469" s="421" t="str">
        <f>VLOOKUP(A3469,'A VII.'!$A$10:$D$199,2,FALSE)</f>
        <v>MASSA PARA VIDRO COMUM</v>
      </c>
      <c r="C3469" s="114">
        <v>1.5</v>
      </c>
      <c r="D3469" s="757" t="str">
        <f>VLOOKUP(A3469,'A VII.'!$A$10:$D$199,3,FALSE)</f>
        <v>KG</v>
      </c>
      <c r="E3469" s="85">
        <f>'A VII.'!$D$73</f>
        <v>0</v>
      </c>
      <c r="F3469" s="59">
        <f>ROUND(C3469*E3469,2)</f>
        <v>0</v>
      </c>
    </row>
    <row r="3470" spans="1:6" ht="12.75" customHeight="1" x14ac:dyDescent="0.2">
      <c r="A3470" s="6" t="str">
        <f>'A VII.'!$A$125</f>
        <v>1.115</v>
      </c>
      <c r="B3470" s="421" t="str">
        <f>VLOOKUP(A3470,'A VII.'!$A$10:$D$199,2,FALSE)</f>
        <v>VIDRO MARTELADO OU CANELADO, 4 MM</v>
      </c>
      <c r="C3470" s="114">
        <v>1</v>
      </c>
      <c r="D3470" s="757" t="str">
        <f>VLOOKUP(A3470,'A VII.'!$A$10:$D$199,3,FALSE)</f>
        <v>M2</v>
      </c>
      <c r="E3470" s="85">
        <f>'A VII.'!$D$125</f>
        <v>0</v>
      </c>
      <c r="F3470" s="59">
        <f t="shared" ref="F3470:F3484" si="211">ROUND(C3470*E3470,2)</f>
        <v>0</v>
      </c>
    </row>
    <row r="3471" spans="1:6" ht="12.75" customHeight="1" x14ac:dyDescent="0.2">
      <c r="A3471" s="6"/>
      <c r="B3471" s="421"/>
      <c r="C3471" s="114"/>
      <c r="D3471" s="757"/>
      <c r="E3471" s="85"/>
      <c r="F3471" s="59">
        <f t="shared" si="211"/>
        <v>0</v>
      </c>
    </row>
    <row r="3472" spans="1:6" ht="12.75" customHeight="1" x14ac:dyDescent="0.2">
      <c r="A3472" s="6"/>
      <c r="B3472" s="421"/>
      <c r="C3472" s="114"/>
      <c r="D3472" s="757"/>
      <c r="E3472" s="85"/>
      <c r="F3472" s="59">
        <f t="shared" si="211"/>
        <v>0</v>
      </c>
    </row>
    <row r="3473" spans="1:6" ht="12.75" customHeight="1" x14ac:dyDescent="0.2">
      <c r="A3473" s="6"/>
      <c r="B3473" s="421"/>
      <c r="C3473" s="114"/>
      <c r="D3473" s="757"/>
      <c r="E3473" s="85"/>
      <c r="F3473" s="59">
        <f t="shared" si="211"/>
        <v>0</v>
      </c>
    </row>
    <row r="3474" spans="1:6" ht="12.75" customHeight="1" x14ac:dyDescent="0.2">
      <c r="A3474" s="6"/>
      <c r="B3474" s="421"/>
      <c r="C3474" s="114"/>
      <c r="D3474" s="757"/>
      <c r="E3474" s="85"/>
      <c r="F3474" s="59">
        <f t="shared" si="211"/>
        <v>0</v>
      </c>
    </row>
    <row r="3475" spans="1:6" ht="12.75" customHeight="1" x14ac:dyDescent="0.2">
      <c r="A3475" s="6"/>
      <c r="B3475" s="421"/>
      <c r="C3475" s="114"/>
      <c r="D3475" s="757"/>
      <c r="E3475" s="85"/>
      <c r="F3475" s="59">
        <f t="shared" si="211"/>
        <v>0</v>
      </c>
    </row>
    <row r="3476" spans="1:6" ht="12.75" customHeight="1" x14ac:dyDescent="0.2">
      <c r="A3476" s="6"/>
      <c r="B3476" s="421"/>
      <c r="C3476" s="114"/>
      <c r="D3476" s="757"/>
      <c r="E3476" s="85"/>
      <c r="F3476" s="59">
        <f t="shared" si="211"/>
        <v>0</v>
      </c>
    </row>
    <row r="3477" spans="1:6" ht="12.75" customHeight="1" x14ac:dyDescent="0.2">
      <c r="A3477" s="6"/>
      <c r="B3477" s="421"/>
      <c r="C3477" s="114"/>
      <c r="D3477" s="757"/>
      <c r="E3477" s="85"/>
      <c r="F3477" s="59">
        <f t="shared" si="211"/>
        <v>0</v>
      </c>
    </row>
    <row r="3478" spans="1:6" ht="12.75" customHeight="1" x14ac:dyDescent="0.2">
      <c r="A3478" s="6"/>
      <c r="B3478" s="421"/>
      <c r="C3478" s="114"/>
      <c r="D3478" s="757"/>
      <c r="E3478" s="85"/>
      <c r="F3478" s="59">
        <f t="shared" si="211"/>
        <v>0</v>
      </c>
    </row>
    <row r="3479" spans="1:6" ht="12.75" customHeight="1" x14ac:dyDescent="0.2">
      <c r="A3479" s="6"/>
      <c r="B3479" s="421"/>
      <c r="C3479" s="114"/>
      <c r="D3479" s="757"/>
      <c r="E3479" s="85"/>
      <c r="F3479" s="59">
        <f t="shared" si="211"/>
        <v>0</v>
      </c>
    </row>
    <row r="3480" spans="1:6" ht="12.75" customHeight="1" x14ac:dyDescent="0.2">
      <c r="A3480" s="6"/>
      <c r="B3480" s="421"/>
      <c r="C3480" s="114"/>
      <c r="D3480" s="758"/>
      <c r="E3480" s="85"/>
      <c r="F3480" s="59">
        <f t="shared" si="211"/>
        <v>0</v>
      </c>
    </row>
    <row r="3481" spans="1:6" ht="12.75" customHeight="1" x14ac:dyDescent="0.2">
      <c r="A3481" s="6"/>
      <c r="B3481" s="421"/>
      <c r="C3481" s="114"/>
      <c r="D3481" s="758"/>
      <c r="E3481" s="85"/>
      <c r="F3481" s="59">
        <f t="shared" si="211"/>
        <v>0</v>
      </c>
    </row>
    <row r="3482" spans="1:6" ht="12.75" customHeight="1" x14ac:dyDescent="0.2">
      <c r="A3482" s="6"/>
      <c r="B3482" s="421"/>
      <c r="C3482" s="114"/>
      <c r="D3482" s="758"/>
      <c r="E3482" s="85"/>
      <c r="F3482" s="59">
        <f t="shared" si="211"/>
        <v>0</v>
      </c>
    </row>
    <row r="3483" spans="1:6" ht="12.75" customHeight="1" x14ac:dyDescent="0.2">
      <c r="A3483" s="3"/>
      <c r="C3483" s="114"/>
      <c r="D3483" s="759"/>
      <c r="E3483" s="85"/>
      <c r="F3483" s="59">
        <f t="shared" si="211"/>
        <v>0</v>
      </c>
    </row>
    <row r="3484" spans="1:6" ht="12.75" customHeight="1" x14ac:dyDescent="0.2">
      <c r="A3484" s="3"/>
      <c r="C3484" s="114"/>
      <c r="D3484" s="759"/>
      <c r="E3484" s="85"/>
      <c r="F3484" s="59">
        <f t="shared" si="211"/>
        <v>0</v>
      </c>
    </row>
    <row r="3485" spans="1:6" ht="12.75" customHeight="1" x14ac:dyDescent="0.2">
      <c r="A3485" s="3"/>
      <c r="B3485" s="86" t="s">
        <v>258</v>
      </c>
      <c r="C3485" s="87"/>
      <c r="D3485" s="88"/>
      <c r="E3485" s="89"/>
      <c r="F3485" s="90">
        <f>SUM(F3469:F3484)</f>
        <v>0</v>
      </c>
    </row>
    <row r="3486" spans="1:6" ht="12.75" customHeight="1" x14ac:dyDescent="0.2">
      <c r="A3486" s="3"/>
      <c r="B3486" s="91" t="s">
        <v>70</v>
      </c>
      <c r="C3486" s="15">
        <f>$D$8</f>
        <v>0</v>
      </c>
      <c r="D3486" s="92"/>
      <c r="E3486" s="93"/>
      <c r="F3486" s="94">
        <f>ROUND(F3485*C3486,2)</f>
        <v>0</v>
      </c>
    </row>
    <row r="3487" spans="1:6" ht="12.75" customHeight="1" x14ac:dyDescent="0.2">
      <c r="A3487" s="95"/>
      <c r="B3487" s="424" t="s">
        <v>259</v>
      </c>
      <c r="C3487" s="425"/>
      <c r="D3487" s="425"/>
      <c r="E3487" s="426"/>
      <c r="F3487" s="96">
        <f>F3485+F3486</f>
        <v>0</v>
      </c>
    </row>
    <row r="3488" spans="1:6" ht="12.75" customHeight="1" x14ac:dyDescent="0.2">
      <c r="A3488" s="1" t="s">
        <v>5</v>
      </c>
      <c r="B3488" s="418" t="s">
        <v>267</v>
      </c>
      <c r="C3488" s="419" t="s">
        <v>263</v>
      </c>
      <c r="D3488" s="419" t="s">
        <v>264</v>
      </c>
      <c r="E3488" s="420" t="s">
        <v>265</v>
      </c>
      <c r="F3488" s="57" t="s">
        <v>266</v>
      </c>
    </row>
    <row r="3489" spans="1:6" ht="12.75" customHeight="1" x14ac:dyDescent="0.2">
      <c r="A3489" s="3"/>
      <c r="B3489" s="71"/>
      <c r="C3489" s="114"/>
      <c r="D3489" s="759"/>
      <c r="E3489" s="85"/>
      <c r="F3489" s="59">
        <f t="shared" ref="F3489:F3498" si="212">ROUND(C3489*E3489,2)</f>
        <v>0</v>
      </c>
    </row>
    <row r="3490" spans="1:6" ht="12.75" customHeight="1" x14ac:dyDescent="0.2">
      <c r="A3490" s="3"/>
      <c r="C3490" s="114"/>
      <c r="D3490" s="759"/>
      <c r="E3490" s="85"/>
      <c r="F3490" s="59">
        <f t="shared" si="212"/>
        <v>0</v>
      </c>
    </row>
    <row r="3491" spans="1:6" ht="12.75" customHeight="1" x14ac:dyDescent="0.2">
      <c r="A3491" s="3"/>
      <c r="C3491" s="114"/>
      <c r="D3491" s="759"/>
      <c r="E3491" s="85"/>
      <c r="F3491" s="59">
        <f t="shared" si="212"/>
        <v>0</v>
      </c>
    </row>
    <row r="3492" spans="1:6" ht="12.75" customHeight="1" x14ac:dyDescent="0.2">
      <c r="A3492" s="3"/>
      <c r="C3492" s="114"/>
      <c r="D3492" s="759"/>
      <c r="E3492" s="85"/>
      <c r="F3492" s="59">
        <f t="shared" si="212"/>
        <v>0</v>
      </c>
    </row>
    <row r="3493" spans="1:6" ht="12.75" customHeight="1" x14ac:dyDescent="0.2">
      <c r="A3493" s="3"/>
      <c r="C3493" s="114"/>
      <c r="D3493" s="759"/>
      <c r="E3493" s="85"/>
      <c r="F3493" s="59">
        <f t="shared" si="212"/>
        <v>0</v>
      </c>
    </row>
    <row r="3494" spans="1:6" ht="12.75" customHeight="1" x14ac:dyDescent="0.2">
      <c r="A3494" s="3"/>
      <c r="C3494" s="114"/>
      <c r="D3494" s="759"/>
      <c r="E3494" s="85"/>
      <c r="F3494" s="59">
        <f t="shared" si="212"/>
        <v>0</v>
      </c>
    </row>
    <row r="3495" spans="1:6" ht="12.75" customHeight="1" x14ac:dyDescent="0.2">
      <c r="A3495" s="3"/>
      <c r="C3495" s="114"/>
      <c r="D3495" s="759"/>
      <c r="E3495" s="85"/>
      <c r="F3495" s="59">
        <f t="shared" si="212"/>
        <v>0</v>
      </c>
    </row>
    <row r="3496" spans="1:6" ht="12.75" customHeight="1" x14ac:dyDescent="0.2">
      <c r="A3496" s="3"/>
      <c r="C3496" s="114"/>
      <c r="D3496" s="759"/>
      <c r="E3496" s="85"/>
      <c r="F3496" s="59">
        <f t="shared" si="212"/>
        <v>0</v>
      </c>
    </row>
    <row r="3497" spans="1:6" ht="12.75" customHeight="1" x14ac:dyDescent="0.2">
      <c r="A3497" s="3"/>
      <c r="C3497" s="114"/>
      <c r="D3497" s="759"/>
      <c r="E3497" s="85"/>
      <c r="F3497" s="59">
        <f t="shared" si="212"/>
        <v>0</v>
      </c>
    </row>
    <row r="3498" spans="1:6" ht="12.75" customHeight="1" x14ac:dyDescent="0.2">
      <c r="A3498" s="3"/>
      <c r="C3498" s="114"/>
      <c r="D3498" s="759"/>
      <c r="E3498" s="85"/>
      <c r="F3498" s="59">
        <f t="shared" si="212"/>
        <v>0</v>
      </c>
    </row>
    <row r="3499" spans="1:6" ht="12.75" customHeight="1" x14ac:dyDescent="0.2">
      <c r="A3499" s="3"/>
      <c r="B3499" s="86" t="s">
        <v>258</v>
      </c>
      <c r="C3499" s="87"/>
      <c r="D3499" s="88"/>
      <c r="E3499" s="89"/>
      <c r="F3499" s="90">
        <f>SUM(F3489:F3498)</f>
        <v>0</v>
      </c>
    </row>
    <row r="3500" spans="1:6" ht="12.75" customHeight="1" x14ac:dyDescent="0.2">
      <c r="A3500" s="3"/>
      <c r="B3500" s="91" t="s">
        <v>70</v>
      </c>
      <c r="C3500" s="15">
        <f>$D$8</f>
        <v>0</v>
      </c>
      <c r="D3500" s="92"/>
      <c r="E3500" s="93"/>
      <c r="F3500" s="94">
        <f>ROUND(C3500*F3499,2)</f>
        <v>0</v>
      </c>
    </row>
    <row r="3501" spans="1:6" ht="12.75" customHeight="1" x14ac:dyDescent="0.2">
      <c r="A3501" s="95"/>
      <c r="B3501" s="424" t="s">
        <v>260</v>
      </c>
      <c r="C3501" s="425"/>
      <c r="D3501" s="425"/>
      <c r="E3501" s="426"/>
      <c r="F3501" s="96">
        <f>F3499+F3500</f>
        <v>0</v>
      </c>
    </row>
    <row r="3502" spans="1:6" ht="12.75" customHeight="1" x14ac:dyDescent="0.2">
      <c r="A3502" s="97" t="s">
        <v>54</v>
      </c>
      <c r="B3502" s="427" t="s">
        <v>268</v>
      </c>
      <c r="C3502" s="428" t="s">
        <v>263</v>
      </c>
      <c r="D3502" s="429" t="s">
        <v>264</v>
      </c>
      <c r="E3502" s="430" t="s">
        <v>265</v>
      </c>
      <c r="F3502" s="57" t="s">
        <v>266</v>
      </c>
    </row>
    <row r="3503" spans="1:6" ht="12.75" customHeight="1" x14ac:dyDescent="0.2">
      <c r="A3503" s="3" t="str">
        <f>'A VII.'!$A$198</f>
        <v>3.18</v>
      </c>
      <c r="B3503" s="74" t="s">
        <v>191</v>
      </c>
      <c r="C3503" s="114">
        <v>0.45</v>
      </c>
      <c r="D3503" s="759" t="str">
        <f>VLOOKUP(A3503,'A VII.'!$A$10:$D$199,3,FALSE)</f>
        <v>H</v>
      </c>
      <c r="E3503" s="85">
        <f>'A VII.'!$D$198</f>
        <v>0</v>
      </c>
      <c r="F3503" s="59">
        <f t="shared" ref="F3503:F3509" si="213">ROUND(C3503*E3503,2)</f>
        <v>0</v>
      </c>
    </row>
    <row r="3504" spans="1:6" ht="12.75" customHeight="1" x14ac:dyDescent="0.2">
      <c r="A3504" s="3" t="str">
        <f>'A VII.'!$A$196</f>
        <v>3.16</v>
      </c>
      <c r="B3504" s="74" t="s">
        <v>189</v>
      </c>
      <c r="C3504" s="114">
        <v>0.45</v>
      </c>
      <c r="D3504" s="759" t="str">
        <f>VLOOKUP(A3504,'A VII.'!$A$10:$D$199,3,FALSE)</f>
        <v>H</v>
      </c>
      <c r="E3504" s="85">
        <f>'A VII.'!$D$196</f>
        <v>0</v>
      </c>
      <c r="F3504" s="59">
        <f t="shared" si="213"/>
        <v>0</v>
      </c>
    </row>
    <row r="3505" spans="1:6" ht="12.75" customHeight="1" x14ac:dyDescent="0.2">
      <c r="A3505" s="3"/>
      <c r="C3505" s="114"/>
      <c r="D3505" s="759"/>
      <c r="E3505" s="85"/>
      <c r="F3505" s="59">
        <f t="shared" si="213"/>
        <v>0</v>
      </c>
    </row>
    <row r="3506" spans="1:6" ht="12.75" customHeight="1" x14ac:dyDescent="0.2">
      <c r="A3506" s="3"/>
      <c r="C3506" s="114"/>
      <c r="D3506" s="759"/>
      <c r="E3506" s="85"/>
      <c r="F3506" s="59">
        <f t="shared" si="213"/>
        <v>0</v>
      </c>
    </row>
    <row r="3507" spans="1:6" ht="12.75" customHeight="1" x14ac:dyDescent="0.2">
      <c r="A3507" s="3"/>
      <c r="C3507" s="114"/>
      <c r="D3507" s="759"/>
      <c r="E3507" s="85"/>
      <c r="F3507" s="59">
        <f t="shared" si="213"/>
        <v>0</v>
      </c>
    </row>
    <row r="3508" spans="1:6" ht="12.75" customHeight="1" x14ac:dyDescent="0.2">
      <c r="A3508" s="3"/>
      <c r="C3508" s="114"/>
      <c r="D3508" s="759"/>
      <c r="E3508" s="85"/>
      <c r="F3508" s="59">
        <f t="shared" si="213"/>
        <v>0</v>
      </c>
    </row>
    <row r="3509" spans="1:6" ht="12.75" customHeight="1" x14ac:dyDescent="0.2">
      <c r="A3509" s="3"/>
      <c r="C3509" s="114"/>
      <c r="D3509" s="759"/>
      <c r="E3509" s="85"/>
      <c r="F3509" s="59">
        <f t="shared" si="213"/>
        <v>0</v>
      </c>
    </row>
    <row r="3510" spans="1:6" ht="12.75" customHeight="1" x14ac:dyDescent="0.2">
      <c r="A3510" s="3"/>
      <c r="B3510" s="86" t="s">
        <v>258</v>
      </c>
      <c r="C3510" s="87"/>
      <c r="D3510" s="88"/>
      <c r="E3510" s="89"/>
      <c r="F3510" s="90">
        <f>SUM(F3503:F3509)</f>
        <v>0</v>
      </c>
    </row>
    <row r="3511" spans="1:6" ht="12.75" customHeight="1" x14ac:dyDescent="0.2">
      <c r="A3511" s="3"/>
      <c r="B3511" s="91" t="s">
        <v>261</v>
      </c>
      <c r="C3511" s="15">
        <f>'A IX.'!$C$45</f>
        <v>0</v>
      </c>
      <c r="D3511" s="92"/>
      <c r="E3511" s="93"/>
      <c r="F3511" s="94">
        <f>ROUND(F3510*C3511,2)</f>
        <v>0</v>
      </c>
    </row>
    <row r="3512" spans="1:6" ht="12.75" customHeight="1" x14ac:dyDescent="0.2">
      <c r="A3512" s="3"/>
      <c r="B3512" s="91" t="s">
        <v>70</v>
      </c>
      <c r="C3512" s="15">
        <f>$D$8</f>
        <v>0</v>
      </c>
      <c r="D3512" s="92"/>
      <c r="E3512" s="93"/>
      <c r="F3512" s="94">
        <f>ROUND(SUM(F3510:F3511)*C3512,2)</f>
        <v>0</v>
      </c>
    </row>
    <row r="3513" spans="1:6" ht="12.75" customHeight="1" thickBot="1" x14ac:dyDescent="0.25">
      <c r="A3513" s="98"/>
      <c r="B3513" s="99" t="s">
        <v>262</v>
      </c>
      <c r="C3513" s="100"/>
      <c r="D3513" s="100"/>
      <c r="E3513" s="101"/>
      <c r="F3513" s="102">
        <f>SUM(F3510:F3512)</f>
        <v>0</v>
      </c>
    </row>
    <row r="3514" spans="1:6" ht="12.75" customHeight="1" thickBot="1" x14ac:dyDescent="0.25">
      <c r="A3514" s="81"/>
      <c r="B3514" s="82"/>
      <c r="C3514" s="83"/>
      <c r="D3514" s="83"/>
      <c r="E3514" s="84"/>
      <c r="F3514" s="103"/>
    </row>
    <row r="3515" spans="1:6" ht="30" customHeight="1" x14ac:dyDescent="0.2">
      <c r="A3515" s="5" t="str">
        <f>'A IV.A'!$A$109</f>
        <v>3.11.2</v>
      </c>
      <c r="B3515" s="416" t="str">
        <f>'A IV.A'!B109</f>
        <v xml:space="preserve">VIDRO COMUM LISO, COLOCADO EM CAIXILHO COM OU SEM BAGUETE, DUAS DEMÃOS DE MASSA E= 4 MM </v>
      </c>
      <c r="C3515" s="526" t="s">
        <v>269</v>
      </c>
      <c r="D3515" s="527"/>
      <c r="E3515" s="417" t="str">
        <f>'A IV.A'!$C$109</f>
        <v>M2</v>
      </c>
      <c r="F3515" s="58">
        <f>ROUND(F3535+F3549+F3561,2)</f>
        <v>0</v>
      </c>
    </row>
    <row r="3516" spans="1:6" ht="12.75" customHeight="1" x14ac:dyDescent="0.2">
      <c r="A3516" s="1" t="s">
        <v>17</v>
      </c>
      <c r="B3516" s="418" t="s">
        <v>162</v>
      </c>
      <c r="C3516" s="419" t="s">
        <v>263</v>
      </c>
      <c r="D3516" s="419" t="s">
        <v>264</v>
      </c>
      <c r="E3516" s="420" t="s">
        <v>265</v>
      </c>
      <c r="F3516" s="57" t="s">
        <v>266</v>
      </c>
    </row>
    <row r="3517" spans="1:6" ht="12.75" customHeight="1" x14ac:dyDescent="0.2">
      <c r="A3517" s="6" t="str">
        <f>'A VII.'!$A$73</f>
        <v>1.64</v>
      </c>
      <c r="B3517" s="421" t="str">
        <f>VLOOKUP(A3517,'A VII.'!$A$10:$D$199,2,FALSE)</f>
        <v>MASSA PARA VIDRO COMUM</v>
      </c>
      <c r="C3517" s="114">
        <v>1.5</v>
      </c>
      <c r="D3517" s="757" t="str">
        <f>VLOOKUP(A3517,'A VII.'!$A$10:$D$199,3,FALSE)</f>
        <v>KG</v>
      </c>
      <c r="E3517" s="85">
        <f>'A VII.'!D73</f>
        <v>0</v>
      </c>
      <c r="F3517" s="59">
        <f>ROUND(C3517*E3517,2)</f>
        <v>0</v>
      </c>
    </row>
    <row r="3518" spans="1:6" ht="12.75" customHeight="1" x14ac:dyDescent="0.2">
      <c r="A3518" s="6" t="str">
        <f>'A VII.'!$A$124</f>
        <v>1.114</v>
      </c>
      <c r="B3518" s="421" t="str">
        <f>VLOOKUP(A3518,'A VII.'!$A$10:$D$199,2,FALSE)</f>
        <v>VIDRO LISO INCOLOR 3MM</v>
      </c>
      <c r="C3518" s="114">
        <v>1</v>
      </c>
      <c r="D3518" s="757" t="str">
        <f>VLOOKUP(A3518,'A VII.'!$A$10:$D$199,3,FALSE)</f>
        <v>M2</v>
      </c>
      <c r="E3518" s="85">
        <f>'A VII.'!D124</f>
        <v>0</v>
      </c>
      <c r="F3518" s="59">
        <f t="shared" ref="F3518:F3532" si="214">ROUND(C3518*E3518,2)</f>
        <v>0</v>
      </c>
    </row>
    <row r="3519" spans="1:6" ht="12.75" customHeight="1" x14ac:dyDescent="0.2">
      <c r="A3519" s="6"/>
      <c r="B3519" s="421"/>
      <c r="C3519" s="114"/>
      <c r="D3519" s="757"/>
      <c r="E3519" s="85"/>
      <c r="F3519" s="59">
        <f t="shared" si="214"/>
        <v>0</v>
      </c>
    </row>
    <row r="3520" spans="1:6" ht="12.75" customHeight="1" x14ac:dyDescent="0.2">
      <c r="A3520" s="6"/>
      <c r="B3520" s="421"/>
      <c r="C3520" s="114"/>
      <c r="D3520" s="757"/>
      <c r="E3520" s="85"/>
      <c r="F3520" s="59">
        <f t="shared" si="214"/>
        <v>0</v>
      </c>
    </row>
    <row r="3521" spans="1:6" ht="12.75" customHeight="1" x14ac:dyDescent="0.2">
      <c r="A3521" s="6"/>
      <c r="B3521" s="421"/>
      <c r="C3521" s="114"/>
      <c r="D3521" s="757"/>
      <c r="E3521" s="85"/>
      <c r="F3521" s="59">
        <f t="shared" si="214"/>
        <v>0</v>
      </c>
    </row>
    <row r="3522" spans="1:6" ht="12.75" customHeight="1" x14ac:dyDescent="0.2">
      <c r="A3522" s="6"/>
      <c r="B3522" s="421"/>
      <c r="C3522" s="114"/>
      <c r="D3522" s="757"/>
      <c r="E3522" s="85"/>
      <c r="F3522" s="59">
        <f t="shared" si="214"/>
        <v>0</v>
      </c>
    </row>
    <row r="3523" spans="1:6" ht="12.75" customHeight="1" x14ac:dyDescent="0.2">
      <c r="A3523" s="6"/>
      <c r="B3523" s="421"/>
      <c r="C3523" s="114"/>
      <c r="D3523" s="757"/>
      <c r="E3523" s="85"/>
      <c r="F3523" s="59">
        <f t="shared" si="214"/>
        <v>0</v>
      </c>
    </row>
    <row r="3524" spans="1:6" ht="12.75" customHeight="1" x14ac:dyDescent="0.2">
      <c r="A3524" s="6"/>
      <c r="B3524" s="421"/>
      <c r="C3524" s="114"/>
      <c r="D3524" s="757"/>
      <c r="E3524" s="85"/>
      <c r="F3524" s="59">
        <f t="shared" si="214"/>
        <v>0</v>
      </c>
    </row>
    <row r="3525" spans="1:6" ht="12.75" customHeight="1" x14ac:dyDescent="0.2">
      <c r="A3525" s="6"/>
      <c r="B3525" s="421"/>
      <c r="C3525" s="114"/>
      <c r="D3525" s="757"/>
      <c r="E3525" s="85"/>
      <c r="F3525" s="59">
        <f t="shared" si="214"/>
        <v>0</v>
      </c>
    </row>
    <row r="3526" spans="1:6" ht="12.75" customHeight="1" x14ac:dyDescent="0.2">
      <c r="A3526" s="6"/>
      <c r="B3526" s="421"/>
      <c r="C3526" s="114"/>
      <c r="D3526" s="757"/>
      <c r="E3526" s="85"/>
      <c r="F3526" s="59">
        <f t="shared" si="214"/>
        <v>0</v>
      </c>
    </row>
    <row r="3527" spans="1:6" ht="12.75" customHeight="1" x14ac:dyDescent="0.2">
      <c r="A3527" s="6"/>
      <c r="B3527" s="421"/>
      <c r="C3527" s="114"/>
      <c r="D3527" s="757"/>
      <c r="E3527" s="85"/>
      <c r="F3527" s="59">
        <f t="shared" si="214"/>
        <v>0</v>
      </c>
    </row>
    <row r="3528" spans="1:6" ht="12.75" customHeight="1" x14ac:dyDescent="0.2">
      <c r="A3528" s="6"/>
      <c r="B3528" s="421"/>
      <c r="C3528" s="114"/>
      <c r="D3528" s="758"/>
      <c r="E3528" s="85"/>
      <c r="F3528" s="59">
        <f t="shared" si="214"/>
        <v>0</v>
      </c>
    </row>
    <row r="3529" spans="1:6" ht="12.75" customHeight="1" x14ac:dyDescent="0.2">
      <c r="A3529" s="6"/>
      <c r="B3529" s="421"/>
      <c r="C3529" s="114"/>
      <c r="D3529" s="758"/>
      <c r="E3529" s="85"/>
      <c r="F3529" s="59">
        <f t="shared" si="214"/>
        <v>0</v>
      </c>
    </row>
    <row r="3530" spans="1:6" ht="12.75" customHeight="1" x14ac:dyDescent="0.2">
      <c r="A3530" s="6"/>
      <c r="B3530" s="421"/>
      <c r="C3530" s="114"/>
      <c r="D3530" s="758"/>
      <c r="E3530" s="85"/>
      <c r="F3530" s="59">
        <f t="shared" si="214"/>
        <v>0</v>
      </c>
    </row>
    <row r="3531" spans="1:6" ht="12.75" customHeight="1" x14ac:dyDescent="0.2">
      <c r="A3531" s="3"/>
      <c r="C3531" s="114"/>
      <c r="D3531" s="759"/>
      <c r="E3531" s="85"/>
      <c r="F3531" s="59">
        <f t="shared" si="214"/>
        <v>0</v>
      </c>
    </row>
    <row r="3532" spans="1:6" ht="12.75" customHeight="1" x14ac:dyDescent="0.2">
      <c r="A3532" s="3"/>
      <c r="C3532" s="114"/>
      <c r="D3532" s="759"/>
      <c r="E3532" s="85"/>
      <c r="F3532" s="59">
        <f t="shared" si="214"/>
        <v>0</v>
      </c>
    </row>
    <row r="3533" spans="1:6" ht="12.75" customHeight="1" x14ac:dyDescent="0.2">
      <c r="A3533" s="3"/>
      <c r="B3533" s="86" t="s">
        <v>258</v>
      </c>
      <c r="C3533" s="87"/>
      <c r="D3533" s="88"/>
      <c r="E3533" s="89"/>
      <c r="F3533" s="90">
        <f>SUM(F3517:F3532)</f>
        <v>0</v>
      </c>
    </row>
    <row r="3534" spans="1:6" ht="12.75" customHeight="1" x14ac:dyDescent="0.2">
      <c r="A3534" s="3"/>
      <c r="B3534" s="91" t="s">
        <v>70</v>
      </c>
      <c r="C3534" s="15">
        <f>$D$8</f>
        <v>0</v>
      </c>
      <c r="D3534" s="92"/>
      <c r="E3534" s="93"/>
      <c r="F3534" s="94">
        <f>ROUND(F3533*C3534,2)</f>
        <v>0</v>
      </c>
    </row>
    <row r="3535" spans="1:6" ht="12.75" customHeight="1" x14ac:dyDescent="0.2">
      <c r="A3535" s="95"/>
      <c r="B3535" s="424" t="s">
        <v>259</v>
      </c>
      <c r="C3535" s="425"/>
      <c r="D3535" s="425"/>
      <c r="E3535" s="426"/>
      <c r="F3535" s="96">
        <f>F3533+F3534</f>
        <v>0</v>
      </c>
    </row>
    <row r="3536" spans="1:6" ht="12.75" customHeight="1" x14ac:dyDescent="0.2">
      <c r="A3536" s="1" t="s">
        <v>5</v>
      </c>
      <c r="B3536" s="418" t="s">
        <v>267</v>
      </c>
      <c r="C3536" s="419" t="s">
        <v>263</v>
      </c>
      <c r="D3536" s="419" t="s">
        <v>264</v>
      </c>
      <c r="E3536" s="420" t="s">
        <v>265</v>
      </c>
      <c r="F3536" s="57" t="s">
        <v>266</v>
      </c>
    </row>
    <row r="3537" spans="1:6" ht="12.75" customHeight="1" x14ac:dyDescent="0.2">
      <c r="A3537" s="3"/>
      <c r="B3537" s="71"/>
      <c r="C3537" s="114"/>
      <c r="D3537" s="759"/>
      <c r="E3537" s="85"/>
      <c r="F3537" s="59">
        <f t="shared" ref="F3537:F3546" si="215">ROUND(C3537*E3537,2)</f>
        <v>0</v>
      </c>
    </row>
    <row r="3538" spans="1:6" ht="12.75" customHeight="1" x14ac:dyDescent="0.2">
      <c r="A3538" s="3"/>
      <c r="C3538" s="114"/>
      <c r="D3538" s="759"/>
      <c r="E3538" s="85"/>
      <c r="F3538" s="59">
        <f t="shared" si="215"/>
        <v>0</v>
      </c>
    </row>
    <row r="3539" spans="1:6" ht="12.75" customHeight="1" x14ac:dyDescent="0.2">
      <c r="A3539" s="3"/>
      <c r="C3539" s="114"/>
      <c r="D3539" s="759"/>
      <c r="E3539" s="85"/>
      <c r="F3539" s="59">
        <f t="shared" si="215"/>
        <v>0</v>
      </c>
    </row>
    <row r="3540" spans="1:6" ht="12.75" customHeight="1" x14ac:dyDescent="0.2">
      <c r="A3540" s="3"/>
      <c r="C3540" s="114"/>
      <c r="D3540" s="759"/>
      <c r="E3540" s="85"/>
      <c r="F3540" s="59">
        <f t="shared" si="215"/>
        <v>0</v>
      </c>
    </row>
    <row r="3541" spans="1:6" ht="12.75" customHeight="1" x14ac:dyDescent="0.2">
      <c r="A3541" s="3"/>
      <c r="C3541" s="114"/>
      <c r="D3541" s="759"/>
      <c r="E3541" s="85"/>
      <c r="F3541" s="59">
        <f t="shared" si="215"/>
        <v>0</v>
      </c>
    </row>
    <row r="3542" spans="1:6" ht="12.75" customHeight="1" x14ac:dyDescent="0.2">
      <c r="A3542" s="3"/>
      <c r="C3542" s="114"/>
      <c r="D3542" s="759"/>
      <c r="E3542" s="85"/>
      <c r="F3542" s="59">
        <f t="shared" si="215"/>
        <v>0</v>
      </c>
    </row>
    <row r="3543" spans="1:6" ht="12.75" customHeight="1" x14ac:dyDescent="0.2">
      <c r="A3543" s="3"/>
      <c r="C3543" s="114"/>
      <c r="D3543" s="759"/>
      <c r="E3543" s="85"/>
      <c r="F3543" s="59">
        <f t="shared" si="215"/>
        <v>0</v>
      </c>
    </row>
    <row r="3544" spans="1:6" ht="12.75" customHeight="1" x14ac:dyDescent="0.2">
      <c r="A3544" s="3"/>
      <c r="C3544" s="114"/>
      <c r="D3544" s="759"/>
      <c r="E3544" s="85"/>
      <c r="F3544" s="59">
        <f t="shared" si="215"/>
        <v>0</v>
      </c>
    </row>
    <row r="3545" spans="1:6" ht="12.75" customHeight="1" x14ac:dyDescent="0.2">
      <c r="A3545" s="3"/>
      <c r="C3545" s="114"/>
      <c r="D3545" s="759"/>
      <c r="E3545" s="85"/>
      <c r="F3545" s="59">
        <f t="shared" si="215"/>
        <v>0</v>
      </c>
    </row>
    <row r="3546" spans="1:6" ht="12.75" customHeight="1" x14ac:dyDescent="0.2">
      <c r="A3546" s="3"/>
      <c r="C3546" s="114"/>
      <c r="D3546" s="759"/>
      <c r="E3546" s="85"/>
      <c r="F3546" s="59">
        <f t="shared" si="215"/>
        <v>0</v>
      </c>
    </row>
    <row r="3547" spans="1:6" ht="12.75" customHeight="1" x14ac:dyDescent="0.2">
      <c r="A3547" s="3"/>
      <c r="B3547" s="86" t="s">
        <v>258</v>
      </c>
      <c r="C3547" s="87"/>
      <c r="D3547" s="88"/>
      <c r="E3547" s="89"/>
      <c r="F3547" s="90">
        <f>SUM(F3537:F3546)</f>
        <v>0</v>
      </c>
    </row>
    <row r="3548" spans="1:6" ht="12.75" customHeight="1" x14ac:dyDescent="0.2">
      <c r="A3548" s="3"/>
      <c r="B3548" s="91" t="s">
        <v>70</v>
      </c>
      <c r="C3548" s="15">
        <f>$D$8</f>
        <v>0</v>
      </c>
      <c r="D3548" s="92"/>
      <c r="E3548" s="93"/>
      <c r="F3548" s="94">
        <f>ROUND(C3548*F3547,2)</f>
        <v>0</v>
      </c>
    </row>
    <row r="3549" spans="1:6" ht="12.75" customHeight="1" x14ac:dyDescent="0.2">
      <c r="A3549" s="95"/>
      <c r="B3549" s="424" t="s">
        <v>260</v>
      </c>
      <c r="C3549" s="425"/>
      <c r="D3549" s="425"/>
      <c r="E3549" s="426"/>
      <c r="F3549" s="96">
        <f>F3547+F3548</f>
        <v>0</v>
      </c>
    </row>
    <row r="3550" spans="1:6" ht="12.75" customHeight="1" x14ac:dyDescent="0.2">
      <c r="A3550" s="97" t="s">
        <v>54</v>
      </c>
      <c r="B3550" s="427" t="s">
        <v>268</v>
      </c>
      <c r="C3550" s="428" t="s">
        <v>263</v>
      </c>
      <c r="D3550" s="429" t="s">
        <v>264</v>
      </c>
      <c r="E3550" s="430" t="s">
        <v>265</v>
      </c>
      <c r="F3550" s="57" t="s">
        <v>266</v>
      </c>
    </row>
    <row r="3551" spans="1:6" ht="12.75" customHeight="1" x14ac:dyDescent="0.2">
      <c r="A3551" s="3" t="str">
        <f>'A VII.'!$A$198</f>
        <v>3.18</v>
      </c>
      <c r="B3551" s="74" t="s">
        <v>191</v>
      </c>
      <c r="C3551" s="114">
        <v>0.4</v>
      </c>
      <c r="D3551" s="759" t="str">
        <f>VLOOKUP(A3551,'A VII.'!$A$10:$D$199,3,FALSE)</f>
        <v>H</v>
      </c>
      <c r="E3551" s="85">
        <f>'A VII.'!$D$198</f>
        <v>0</v>
      </c>
      <c r="F3551" s="59">
        <f t="shared" ref="F3551:F3557" si="216">ROUND(C3551*E3551,2)</f>
        <v>0</v>
      </c>
    </row>
    <row r="3552" spans="1:6" ht="12.75" customHeight="1" x14ac:dyDescent="0.2">
      <c r="A3552" s="3" t="str">
        <f>'A VII.'!$A$196</f>
        <v>3.16</v>
      </c>
      <c r="B3552" s="74" t="s">
        <v>189</v>
      </c>
      <c r="C3552" s="114">
        <v>0.4</v>
      </c>
      <c r="D3552" s="759" t="str">
        <f>VLOOKUP(A3552,'A VII.'!$A$10:$D$199,3,FALSE)</f>
        <v>H</v>
      </c>
      <c r="E3552" s="85">
        <f>'A VII.'!$D$196</f>
        <v>0</v>
      </c>
      <c r="F3552" s="59">
        <f t="shared" si="216"/>
        <v>0</v>
      </c>
    </row>
    <row r="3553" spans="1:6" ht="12.75" customHeight="1" x14ac:dyDescent="0.2">
      <c r="A3553" s="3"/>
      <c r="C3553" s="114"/>
      <c r="D3553" s="759"/>
      <c r="E3553" s="85"/>
      <c r="F3553" s="59">
        <f t="shared" si="216"/>
        <v>0</v>
      </c>
    </row>
    <row r="3554" spans="1:6" ht="12.75" customHeight="1" x14ac:dyDescent="0.2">
      <c r="A3554" s="3"/>
      <c r="C3554" s="114"/>
      <c r="D3554" s="759"/>
      <c r="E3554" s="85"/>
      <c r="F3554" s="59">
        <f t="shared" si="216"/>
        <v>0</v>
      </c>
    </row>
    <row r="3555" spans="1:6" ht="12.75" customHeight="1" x14ac:dyDescent="0.2">
      <c r="A3555" s="3"/>
      <c r="C3555" s="114"/>
      <c r="D3555" s="759"/>
      <c r="E3555" s="85"/>
      <c r="F3555" s="59">
        <f t="shared" si="216"/>
        <v>0</v>
      </c>
    </row>
    <row r="3556" spans="1:6" ht="12.75" customHeight="1" x14ac:dyDescent="0.2">
      <c r="A3556" s="3"/>
      <c r="C3556" s="114"/>
      <c r="D3556" s="759"/>
      <c r="E3556" s="85"/>
      <c r="F3556" s="59">
        <f t="shared" si="216"/>
        <v>0</v>
      </c>
    </row>
    <row r="3557" spans="1:6" ht="12.75" customHeight="1" x14ac:dyDescent="0.2">
      <c r="A3557" s="3"/>
      <c r="C3557" s="114"/>
      <c r="D3557" s="759"/>
      <c r="E3557" s="85"/>
      <c r="F3557" s="59">
        <f t="shared" si="216"/>
        <v>0</v>
      </c>
    </row>
    <row r="3558" spans="1:6" ht="12.75" customHeight="1" x14ac:dyDescent="0.2">
      <c r="A3558" s="3"/>
      <c r="B3558" s="86" t="s">
        <v>258</v>
      </c>
      <c r="C3558" s="87"/>
      <c r="D3558" s="88"/>
      <c r="E3558" s="89"/>
      <c r="F3558" s="90">
        <f>SUM(F3551:F3557)</f>
        <v>0</v>
      </c>
    </row>
    <row r="3559" spans="1:6" ht="12.75" customHeight="1" x14ac:dyDescent="0.2">
      <c r="A3559" s="3"/>
      <c r="B3559" s="91" t="s">
        <v>261</v>
      </c>
      <c r="C3559" s="15">
        <f>'A IX.'!$C$45</f>
        <v>0</v>
      </c>
      <c r="D3559" s="92"/>
      <c r="E3559" s="93"/>
      <c r="F3559" s="94">
        <f>ROUND(F3558*C3559,2)</f>
        <v>0</v>
      </c>
    </row>
    <row r="3560" spans="1:6" ht="12.75" customHeight="1" x14ac:dyDescent="0.2">
      <c r="A3560" s="3"/>
      <c r="B3560" s="91" t="s">
        <v>70</v>
      </c>
      <c r="C3560" s="15">
        <f>$D$8</f>
        <v>0</v>
      </c>
      <c r="D3560" s="92"/>
      <c r="E3560" s="93"/>
      <c r="F3560" s="94">
        <f>ROUND(SUM(F3558:F3559)*C3560,2)</f>
        <v>0</v>
      </c>
    </row>
    <row r="3561" spans="1:6" ht="12.75" customHeight="1" thickBot="1" x14ac:dyDescent="0.25">
      <c r="A3561" s="98"/>
      <c r="B3561" s="99" t="s">
        <v>262</v>
      </c>
      <c r="C3561" s="100"/>
      <c r="D3561" s="100"/>
      <c r="E3561" s="101"/>
      <c r="F3561" s="102">
        <f>SUM(F3558:F3560)</f>
        <v>0</v>
      </c>
    </row>
    <row r="3562" spans="1:6" ht="12.75" customHeight="1" thickBot="1" x14ac:dyDescent="0.25">
      <c r="A3562" s="81"/>
      <c r="B3562" s="82"/>
      <c r="C3562" s="83"/>
      <c r="D3562" s="83"/>
      <c r="E3562" s="84"/>
      <c r="F3562" s="103"/>
    </row>
    <row r="3563" spans="1:6" ht="30" customHeight="1" x14ac:dyDescent="0.2">
      <c r="A3563" s="5" t="str">
        <f>'A IV.A'!$A$110</f>
        <v>3.11.3</v>
      </c>
      <c r="B3563" s="416" t="str">
        <f>'A IV.A'!B110</f>
        <v xml:space="preserve">REMOÇÃO DE VIDRO COMUM </v>
      </c>
      <c r="C3563" s="526" t="s">
        <v>269</v>
      </c>
      <c r="D3563" s="527"/>
      <c r="E3563" s="417" t="str">
        <f>'A IV.A'!$C$110</f>
        <v>M2</v>
      </c>
      <c r="F3563" s="58">
        <f>ROUND(F3583+F3597+F3609,2)</f>
        <v>0</v>
      </c>
    </row>
    <row r="3564" spans="1:6" ht="12.75" customHeight="1" x14ac:dyDescent="0.2">
      <c r="A3564" s="1" t="s">
        <v>17</v>
      </c>
      <c r="B3564" s="418" t="s">
        <v>162</v>
      </c>
      <c r="C3564" s="419" t="s">
        <v>263</v>
      </c>
      <c r="D3564" s="419" t="s">
        <v>264</v>
      </c>
      <c r="E3564" s="420" t="s">
        <v>265</v>
      </c>
      <c r="F3564" s="57" t="s">
        <v>266</v>
      </c>
    </row>
    <row r="3565" spans="1:6" ht="12.75" customHeight="1" x14ac:dyDescent="0.2">
      <c r="A3565" s="6"/>
      <c r="B3565" s="421"/>
      <c r="C3565" s="114"/>
      <c r="D3565" s="757"/>
      <c r="E3565" s="85"/>
      <c r="F3565" s="59">
        <f>ROUND(C3565*E3565,2)</f>
        <v>0</v>
      </c>
    </row>
    <row r="3566" spans="1:6" ht="12.75" customHeight="1" x14ac:dyDescent="0.2">
      <c r="A3566" s="6"/>
      <c r="B3566" s="421"/>
      <c r="C3566" s="114"/>
      <c r="D3566" s="757"/>
      <c r="E3566" s="85"/>
      <c r="F3566" s="59">
        <f t="shared" ref="F3566:F3580" si="217">ROUND(C3566*E3566,2)</f>
        <v>0</v>
      </c>
    </row>
    <row r="3567" spans="1:6" ht="12.75" customHeight="1" x14ac:dyDescent="0.2">
      <c r="A3567" s="6"/>
      <c r="B3567" s="421"/>
      <c r="C3567" s="114"/>
      <c r="D3567" s="757"/>
      <c r="E3567" s="85"/>
      <c r="F3567" s="59">
        <f t="shared" si="217"/>
        <v>0</v>
      </c>
    </row>
    <row r="3568" spans="1:6" ht="12.75" customHeight="1" x14ac:dyDescent="0.2">
      <c r="A3568" s="6"/>
      <c r="B3568" s="421"/>
      <c r="C3568" s="114"/>
      <c r="D3568" s="757"/>
      <c r="E3568" s="85"/>
      <c r="F3568" s="59">
        <f t="shared" si="217"/>
        <v>0</v>
      </c>
    </row>
    <row r="3569" spans="1:6" ht="12.75" customHeight="1" x14ac:dyDescent="0.2">
      <c r="A3569" s="6"/>
      <c r="B3569" s="421"/>
      <c r="C3569" s="114"/>
      <c r="D3569" s="757"/>
      <c r="E3569" s="85"/>
      <c r="F3569" s="59">
        <f t="shared" si="217"/>
        <v>0</v>
      </c>
    </row>
    <row r="3570" spans="1:6" ht="12.75" customHeight="1" x14ac:dyDescent="0.2">
      <c r="A3570" s="6"/>
      <c r="B3570" s="421"/>
      <c r="C3570" s="114"/>
      <c r="D3570" s="757"/>
      <c r="E3570" s="85"/>
      <c r="F3570" s="59">
        <f t="shared" si="217"/>
        <v>0</v>
      </c>
    </row>
    <row r="3571" spans="1:6" ht="12.75" customHeight="1" x14ac:dyDescent="0.2">
      <c r="A3571" s="6"/>
      <c r="B3571" s="421"/>
      <c r="C3571" s="114"/>
      <c r="D3571" s="757"/>
      <c r="E3571" s="85"/>
      <c r="F3571" s="59">
        <f t="shared" si="217"/>
        <v>0</v>
      </c>
    </row>
    <row r="3572" spans="1:6" ht="12.75" customHeight="1" x14ac:dyDescent="0.2">
      <c r="A3572" s="6"/>
      <c r="B3572" s="421"/>
      <c r="C3572" s="114"/>
      <c r="D3572" s="757"/>
      <c r="E3572" s="85"/>
      <c r="F3572" s="59">
        <f t="shared" si="217"/>
        <v>0</v>
      </c>
    </row>
    <row r="3573" spans="1:6" ht="12.75" customHeight="1" x14ac:dyDescent="0.2">
      <c r="A3573" s="6"/>
      <c r="B3573" s="421"/>
      <c r="C3573" s="114"/>
      <c r="D3573" s="757"/>
      <c r="E3573" s="85"/>
      <c r="F3573" s="59">
        <f t="shared" si="217"/>
        <v>0</v>
      </c>
    </row>
    <row r="3574" spans="1:6" ht="12.75" customHeight="1" x14ac:dyDescent="0.2">
      <c r="A3574" s="6"/>
      <c r="B3574" s="421"/>
      <c r="C3574" s="114"/>
      <c r="D3574" s="757"/>
      <c r="E3574" s="85"/>
      <c r="F3574" s="59">
        <f t="shared" si="217"/>
        <v>0</v>
      </c>
    </row>
    <row r="3575" spans="1:6" ht="12.75" customHeight="1" x14ac:dyDescent="0.2">
      <c r="A3575" s="6"/>
      <c r="B3575" s="421"/>
      <c r="C3575" s="114"/>
      <c r="D3575" s="757"/>
      <c r="E3575" s="85"/>
      <c r="F3575" s="59">
        <f t="shared" si="217"/>
        <v>0</v>
      </c>
    </row>
    <row r="3576" spans="1:6" ht="12.75" customHeight="1" x14ac:dyDescent="0.2">
      <c r="A3576" s="6"/>
      <c r="B3576" s="421"/>
      <c r="C3576" s="114"/>
      <c r="D3576" s="758"/>
      <c r="E3576" s="85"/>
      <c r="F3576" s="59">
        <f t="shared" si="217"/>
        <v>0</v>
      </c>
    </row>
    <row r="3577" spans="1:6" ht="12.75" customHeight="1" x14ac:dyDescent="0.2">
      <c r="A3577" s="6"/>
      <c r="B3577" s="421"/>
      <c r="C3577" s="114"/>
      <c r="D3577" s="758"/>
      <c r="E3577" s="85"/>
      <c r="F3577" s="59">
        <f t="shared" si="217"/>
        <v>0</v>
      </c>
    </row>
    <row r="3578" spans="1:6" ht="12.75" customHeight="1" x14ac:dyDescent="0.2">
      <c r="A3578" s="6"/>
      <c r="B3578" s="421"/>
      <c r="C3578" s="114"/>
      <c r="D3578" s="758"/>
      <c r="E3578" s="85"/>
      <c r="F3578" s="59">
        <f t="shared" si="217"/>
        <v>0</v>
      </c>
    </row>
    <row r="3579" spans="1:6" ht="12.75" customHeight="1" x14ac:dyDescent="0.2">
      <c r="A3579" s="3"/>
      <c r="C3579" s="114"/>
      <c r="D3579" s="759"/>
      <c r="E3579" s="85"/>
      <c r="F3579" s="59">
        <f t="shared" si="217"/>
        <v>0</v>
      </c>
    </row>
    <row r="3580" spans="1:6" ht="12.75" customHeight="1" x14ac:dyDescent="0.2">
      <c r="A3580" s="3"/>
      <c r="C3580" s="114"/>
      <c r="D3580" s="759"/>
      <c r="E3580" s="85"/>
      <c r="F3580" s="59">
        <f t="shared" si="217"/>
        <v>0</v>
      </c>
    </row>
    <row r="3581" spans="1:6" ht="12.75" customHeight="1" x14ac:dyDescent="0.2">
      <c r="A3581" s="3"/>
      <c r="B3581" s="86" t="s">
        <v>258</v>
      </c>
      <c r="C3581" s="87"/>
      <c r="D3581" s="88"/>
      <c r="E3581" s="89"/>
      <c r="F3581" s="90">
        <f>SUM(F3565:F3580)</f>
        <v>0</v>
      </c>
    </row>
    <row r="3582" spans="1:6" ht="12.75" customHeight="1" x14ac:dyDescent="0.2">
      <c r="A3582" s="3"/>
      <c r="B3582" s="91" t="s">
        <v>70</v>
      </c>
      <c r="C3582" s="15">
        <f>$D$8</f>
        <v>0</v>
      </c>
      <c r="D3582" s="92"/>
      <c r="E3582" s="93"/>
      <c r="F3582" s="94">
        <f>ROUND(F3581*C3582,2)</f>
        <v>0</v>
      </c>
    </row>
    <row r="3583" spans="1:6" ht="12.75" customHeight="1" x14ac:dyDescent="0.2">
      <c r="A3583" s="95"/>
      <c r="B3583" s="424" t="s">
        <v>259</v>
      </c>
      <c r="C3583" s="425"/>
      <c r="D3583" s="425"/>
      <c r="E3583" s="426"/>
      <c r="F3583" s="96">
        <f>F3581+F3582</f>
        <v>0</v>
      </c>
    </row>
    <row r="3584" spans="1:6" ht="12.75" customHeight="1" x14ac:dyDescent="0.2">
      <c r="A3584" s="1" t="s">
        <v>5</v>
      </c>
      <c r="B3584" s="418" t="s">
        <v>267</v>
      </c>
      <c r="C3584" s="419" t="s">
        <v>263</v>
      </c>
      <c r="D3584" s="419" t="s">
        <v>264</v>
      </c>
      <c r="E3584" s="420" t="s">
        <v>265</v>
      </c>
      <c r="F3584" s="57" t="s">
        <v>266</v>
      </c>
    </row>
    <row r="3585" spans="1:6" ht="12.75" customHeight="1" x14ac:dyDescent="0.2">
      <c r="A3585" s="3"/>
      <c r="B3585" s="71"/>
      <c r="C3585" s="114"/>
      <c r="D3585" s="759"/>
      <c r="E3585" s="85"/>
      <c r="F3585" s="59">
        <f t="shared" ref="F3585:F3594" si="218">ROUND(C3585*E3585,2)</f>
        <v>0</v>
      </c>
    </row>
    <row r="3586" spans="1:6" ht="12.75" customHeight="1" x14ac:dyDescent="0.2">
      <c r="A3586" s="3"/>
      <c r="C3586" s="114"/>
      <c r="D3586" s="759"/>
      <c r="E3586" s="85"/>
      <c r="F3586" s="59">
        <f t="shared" si="218"/>
        <v>0</v>
      </c>
    </row>
    <row r="3587" spans="1:6" ht="12.75" customHeight="1" x14ac:dyDescent="0.2">
      <c r="A3587" s="3"/>
      <c r="C3587" s="114"/>
      <c r="D3587" s="759"/>
      <c r="E3587" s="85"/>
      <c r="F3587" s="59">
        <f t="shared" si="218"/>
        <v>0</v>
      </c>
    </row>
    <row r="3588" spans="1:6" ht="12.75" customHeight="1" x14ac:dyDescent="0.2">
      <c r="A3588" s="3"/>
      <c r="C3588" s="114"/>
      <c r="D3588" s="759"/>
      <c r="E3588" s="85"/>
      <c r="F3588" s="59">
        <f t="shared" si="218"/>
        <v>0</v>
      </c>
    </row>
    <row r="3589" spans="1:6" ht="12.75" customHeight="1" x14ac:dyDescent="0.2">
      <c r="A3589" s="3"/>
      <c r="C3589" s="114"/>
      <c r="D3589" s="759"/>
      <c r="E3589" s="85"/>
      <c r="F3589" s="59">
        <f t="shared" si="218"/>
        <v>0</v>
      </c>
    </row>
    <row r="3590" spans="1:6" ht="12.75" customHeight="1" x14ac:dyDescent="0.2">
      <c r="A3590" s="3"/>
      <c r="C3590" s="114"/>
      <c r="D3590" s="759"/>
      <c r="E3590" s="85"/>
      <c r="F3590" s="59">
        <f t="shared" si="218"/>
        <v>0</v>
      </c>
    </row>
    <row r="3591" spans="1:6" ht="12.75" customHeight="1" x14ac:dyDescent="0.2">
      <c r="A3591" s="3"/>
      <c r="C3591" s="114"/>
      <c r="D3591" s="759"/>
      <c r="E3591" s="85"/>
      <c r="F3591" s="59">
        <f t="shared" si="218"/>
        <v>0</v>
      </c>
    </row>
    <row r="3592" spans="1:6" ht="12.75" customHeight="1" x14ac:dyDescent="0.2">
      <c r="A3592" s="3"/>
      <c r="C3592" s="114"/>
      <c r="D3592" s="759"/>
      <c r="E3592" s="85"/>
      <c r="F3592" s="59">
        <f t="shared" si="218"/>
        <v>0</v>
      </c>
    </row>
    <row r="3593" spans="1:6" ht="12.75" customHeight="1" x14ac:dyDescent="0.2">
      <c r="A3593" s="3"/>
      <c r="C3593" s="114"/>
      <c r="D3593" s="759"/>
      <c r="E3593" s="85"/>
      <c r="F3593" s="59">
        <f t="shared" si="218"/>
        <v>0</v>
      </c>
    </row>
    <row r="3594" spans="1:6" ht="12.75" customHeight="1" x14ac:dyDescent="0.2">
      <c r="A3594" s="3"/>
      <c r="C3594" s="114"/>
      <c r="D3594" s="759"/>
      <c r="E3594" s="85"/>
      <c r="F3594" s="59">
        <f t="shared" si="218"/>
        <v>0</v>
      </c>
    </row>
    <row r="3595" spans="1:6" ht="12.75" customHeight="1" x14ac:dyDescent="0.2">
      <c r="A3595" s="3"/>
      <c r="B3595" s="86" t="s">
        <v>258</v>
      </c>
      <c r="C3595" s="87"/>
      <c r="D3595" s="88"/>
      <c r="E3595" s="89"/>
      <c r="F3595" s="90">
        <f>SUM(F3585:F3594)</f>
        <v>0</v>
      </c>
    </row>
    <row r="3596" spans="1:6" ht="12.75" customHeight="1" x14ac:dyDescent="0.2">
      <c r="A3596" s="3"/>
      <c r="B3596" s="91" t="s">
        <v>70</v>
      </c>
      <c r="C3596" s="15">
        <f>$D$8</f>
        <v>0</v>
      </c>
      <c r="D3596" s="92"/>
      <c r="E3596" s="93"/>
      <c r="F3596" s="94">
        <f>ROUND(C3596*F3595,2)</f>
        <v>0</v>
      </c>
    </row>
    <row r="3597" spans="1:6" ht="12.75" customHeight="1" x14ac:dyDescent="0.2">
      <c r="A3597" s="95"/>
      <c r="B3597" s="424" t="s">
        <v>260</v>
      </c>
      <c r="C3597" s="425"/>
      <c r="D3597" s="425"/>
      <c r="E3597" s="426"/>
      <c r="F3597" s="96">
        <f>F3595+F3596</f>
        <v>0</v>
      </c>
    </row>
    <row r="3598" spans="1:6" ht="12.75" customHeight="1" x14ac:dyDescent="0.2">
      <c r="A3598" s="97" t="s">
        <v>54</v>
      </c>
      <c r="B3598" s="427" t="s">
        <v>268</v>
      </c>
      <c r="C3598" s="428" t="s">
        <v>263</v>
      </c>
      <c r="D3598" s="429" t="s">
        <v>264</v>
      </c>
      <c r="E3598" s="430" t="s">
        <v>265</v>
      </c>
      <c r="F3598" s="57" t="s">
        <v>266</v>
      </c>
    </row>
    <row r="3599" spans="1:6" ht="12.75" customHeight="1" x14ac:dyDescent="0.2">
      <c r="A3599" s="3" t="str">
        <f>'A VII.'!$A$196</f>
        <v>3.16</v>
      </c>
      <c r="B3599" s="74" t="s">
        <v>189</v>
      </c>
      <c r="C3599" s="114">
        <v>0.39</v>
      </c>
      <c r="D3599" s="759" t="str">
        <f>VLOOKUP(A3599,'A VII.'!$A$10:$D$199,3,FALSE)</f>
        <v>H</v>
      </c>
      <c r="E3599" s="85">
        <f>'A VII.'!D196</f>
        <v>0</v>
      </c>
      <c r="F3599" s="59">
        <f t="shared" ref="F3599:F3605" si="219">ROUND(C3599*E3599,2)</f>
        <v>0</v>
      </c>
    </row>
    <row r="3600" spans="1:6" ht="12.75" customHeight="1" x14ac:dyDescent="0.2">
      <c r="A3600" s="3" t="str">
        <f>'A VII.'!$A$198</f>
        <v>3.18</v>
      </c>
      <c r="B3600" s="74" t="s">
        <v>191</v>
      </c>
      <c r="C3600" s="114">
        <v>0.40100000000000002</v>
      </c>
      <c r="D3600" s="759" t="str">
        <f>VLOOKUP(A3600,'A VII.'!$A$10:$D$199,3,FALSE)</f>
        <v>H</v>
      </c>
      <c r="E3600" s="85">
        <f>'A VII.'!D198</f>
        <v>0</v>
      </c>
      <c r="F3600" s="59">
        <f>ROUND(C3600*E3600,2)</f>
        <v>0</v>
      </c>
    </row>
    <row r="3601" spans="1:6" ht="12.75" customHeight="1" x14ac:dyDescent="0.2">
      <c r="A3601" s="3"/>
      <c r="C3601" s="114"/>
      <c r="D3601" s="759"/>
      <c r="E3601" s="85"/>
      <c r="F3601" s="59">
        <f t="shared" si="219"/>
        <v>0</v>
      </c>
    </row>
    <row r="3602" spans="1:6" ht="12.75" customHeight="1" x14ac:dyDescent="0.2">
      <c r="A3602" s="3"/>
      <c r="C3602" s="114"/>
      <c r="D3602" s="759"/>
      <c r="E3602" s="85"/>
      <c r="F3602" s="59">
        <f t="shared" si="219"/>
        <v>0</v>
      </c>
    </row>
    <row r="3603" spans="1:6" ht="12.75" customHeight="1" x14ac:dyDescent="0.2">
      <c r="A3603" s="3"/>
      <c r="C3603" s="114"/>
      <c r="D3603" s="759"/>
      <c r="E3603" s="85"/>
      <c r="F3603" s="59">
        <f t="shared" si="219"/>
        <v>0</v>
      </c>
    </row>
    <row r="3604" spans="1:6" ht="12.75" customHeight="1" x14ac:dyDescent="0.2">
      <c r="A3604" s="3"/>
      <c r="C3604" s="114"/>
      <c r="D3604" s="759"/>
      <c r="E3604" s="85"/>
      <c r="F3604" s="59">
        <f t="shared" si="219"/>
        <v>0</v>
      </c>
    </row>
    <row r="3605" spans="1:6" ht="12.75" customHeight="1" x14ac:dyDescent="0.2">
      <c r="A3605" s="3"/>
      <c r="C3605" s="114"/>
      <c r="D3605" s="759"/>
      <c r="E3605" s="85"/>
      <c r="F3605" s="59">
        <f t="shared" si="219"/>
        <v>0</v>
      </c>
    </row>
    <row r="3606" spans="1:6" ht="12.75" customHeight="1" x14ac:dyDescent="0.2">
      <c r="A3606" s="3"/>
      <c r="B3606" s="86" t="s">
        <v>258</v>
      </c>
      <c r="C3606" s="87"/>
      <c r="D3606" s="88"/>
      <c r="E3606" s="89"/>
      <c r="F3606" s="90">
        <f>SUM(F3599:F3605)</f>
        <v>0</v>
      </c>
    </row>
    <row r="3607" spans="1:6" ht="12.75" customHeight="1" x14ac:dyDescent="0.2">
      <c r="A3607" s="3"/>
      <c r="B3607" s="91" t="s">
        <v>261</v>
      </c>
      <c r="C3607" s="15">
        <f>'A IX.'!$C$45</f>
        <v>0</v>
      </c>
      <c r="D3607" s="92"/>
      <c r="E3607" s="93"/>
      <c r="F3607" s="94">
        <f>ROUND(F3606*C3607,2)</f>
        <v>0</v>
      </c>
    </row>
    <row r="3608" spans="1:6" ht="12.75" customHeight="1" x14ac:dyDescent="0.2">
      <c r="A3608" s="3"/>
      <c r="B3608" s="91" t="s">
        <v>70</v>
      </c>
      <c r="C3608" s="15">
        <f>$D$8</f>
        <v>0</v>
      </c>
      <c r="D3608" s="92"/>
      <c r="E3608" s="93"/>
      <c r="F3608" s="94">
        <f>ROUND(SUM(F3606:F3607)*C3608,2)</f>
        <v>0</v>
      </c>
    </row>
    <row r="3609" spans="1:6" ht="12.75" customHeight="1" thickBot="1" x14ac:dyDescent="0.25">
      <c r="A3609" s="98"/>
      <c r="B3609" s="99" t="s">
        <v>262</v>
      </c>
      <c r="C3609" s="100"/>
      <c r="D3609" s="100"/>
      <c r="E3609" s="101"/>
      <c r="F3609" s="102">
        <f>SUM(F3606:F3608)</f>
        <v>0</v>
      </c>
    </row>
    <row r="3610" spans="1:6" ht="12.75" customHeight="1" thickBot="1" x14ac:dyDescent="0.25">
      <c r="A3610" s="252"/>
      <c r="B3610" s="253"/>
      <c r="C3610" s="254"/>
      <c r="D3610" s="254"/>
      <c r="E3610" s="255"/>
      <c r="F3610" s="256"/>
    </row>
    <row r="3611" spans="1:6" ht="30" customHeight="1" x14ac:dyDescent="0.2">
      <c r="A3611" s="5" t="str">
        <f>'A IV.A'!A114</f>
        <v>4.1</v>
      </c>
      <c r="B3611" s="416" t="str">
        <f>'A IV.A'!B114</f>
        <v>RALO SECO DE PVC RÍGIDO, ALTURA 50MM, DIÂMETRO DE ENTRADA 40MM, COM GRELHA QUADRADA DE PVC BRANCO, DIMENSÕES 100X100MM</v>
      </c>
      <c r="C3611" s="526" t="s">
        <v>269</v>
      </c>
      <c r="D3611" s="527"/>
      <c r="E3611" s="417" t="str">
        <f>'A IV.A'!$C$114</f>
        <v>UN</v>
      </c>
      <c r="F3611" s="58">
        <f>ROUND(F3631+F3645+F3657,2)</f>
        <v>0</v>
      </c>
    </row>
    <row r="3612" spans="1:6" ht="12.75" customHeight="1" x14ac:dyDescent="0.2">
      <c r="A3612" s="1" t="s">
        <v>17</v>
      </c>
      <c r="B3612" s="418" t="s">
        <v>162</v>
      </c>
      <c r="C3612" s="419" t="s">
        <v>263</v>
      </c>
      <c r="D3612" s="419" t="s">
        <v>264</v>
      </c>
      <c r="E3612" s="420" t="s">
        <v>265</v>
      </c>
      <c r="F3612" s="57" t="s">
        <v>266</v>
      </c>
    </row>
    <row r="3613" spans="1:6" ht="12.75" customHeight="1" x14ac:dyDescent="0.2">
      <c r="A3613" s="6" t="str">
        <f>'A VII.'!$A$92</f>
        <v>1.82</v>
      </c>
      <c r="B3613" s="421" t="str">
        <f>VLOOKUP(A3613,'A VII.'!$A$10:$D$199,2,FALSE)</f>
        <v>RALO SECO DE PVC COM GRELHA QUADRADA DE PVC (50MM / 40MM / 100MM)</v>
      </c>
      <c r="C3613" s="114">
        <v>1</v>
      </c>
      <c r="D3613" s="757" t="str">
        <f>VLOOKUP(A3613,'A VII.'!$A$10:$D$199,3,FALSE)</f>
        <v>UN</v>
      </c>
      <c r="E3613" s="85">
        <f>'A VII.'!D92</f>
        <v>0</v>
      </c>
      <c r="F3613" s="59">
        <f>ROUND(C3613*E3613,2)</f>
        <v>0</v>
      </c>
    </row>
    <row r="3614" spans="1:6" ht="12.75" customHeight="1" x14ac:dyDescent="0.2">
      <c r="A3614" s="6" t="str">
        <f>'A VII.'!$A$11</f>
        <v>1.2</v>
      </c>
      <c r="B3614" s="421" t="str">
        <f>VLOOKUP(A3614,'A VII.'!$A$10:$D$199,2,FALSE)</f>
        <v>ADESIVO PARA TUBO EM PVC - FRASCO 850 GR.</v>
      </c>
      <c r="C3614" s="114">
        <v>4.8999999999999998E-3</v>
      </c>
      <c r="D3614" s="757" t="str">
        <f>VLOOKUP(A3614,'A VII.'!$A$10:$D$199,3,FALSE)</f>
        <v>UN</v>
      </c>
      <c r="E3614" s="85">
        <f>'A VII.'!D11</f>
        <v>0</v>
      </c>
      <c r="F3614" s="59">
        <f t="shared" ref="F3614:F3628" si="220">ROUND(C3614*E3614,2)</f>
        <v>0</v>
      </c>
    </row>
    <row r="3615" spans="1:6" ht="12.75" customHeight="1" x14ac:dyDescent="0.2">
      <c r="A3615" s="6" t="str">
        <f>'A VII.'!$A$100</f>
        <v>1.90</v>
      </c>
      <c r="B3615" s="421" t="str">
        <f>VLOOKUP(A3615,'A VII.'!$A$10:$D$199,2,FALSE)</f>
        <v>SOLUCAO LIMPADORA PARA PVC, FRASCO COM 1000 CM3</v>
      </c>
      <c r="C3615" s="114">
        <v>7.4999999999999997E-3</v>
      </c>
      <c r="D3615" s="757" t="str">
        <f>VLOOKUP(A3615,'A VII.'!$A$10:$D$199,3,FALSE)</f>
        <v xml:space="preserve">UN </v>
      </c>
      <c r="E3615" s="85">
        <f>'A VII.'!D100</f>
        <v>0</v>
      </c>
      <c r="F3615" s="59">
        <f t="shared" si="220"/>
        <v>0</v>
      </c>
    </row>
    <row r="3616" spans="1:6" ht="12.75" customHeight="1" x14ac:dyDescent="0.2">
      <c r="A3616" s="6" t="str">
        <f>'A VII.'!$A$67</f>
        <v>1.58</v>
      </c>
      <c r="B3616" s="421" t="str">
        <f>VLOOKUP(A3616,'A VII.'!$A$10:$D$199,2,FALSE)</f>
        <v>LIXA D'AGUA EM FOLHA, GRAO 100</v>
      </c>
      <c r="C3616" s="114">
        <v>1.7000000000000001E-2</v>
      </c>
      <c r="D3616" s="757" t="str">
        <f>VLOOKUP(A3616,'A VII.'!$A$10:$D$199,3,FALSE)</f>
        <v>UN</v>
      </c>
      <c r="E3616" s="85">
        <f>'A VII.'!$D$67</f>
        <v>0</v>
      </c>
      <c r="F3616" s="59">
        <f t="shared" si="220"/>
        <v>0</v>
      </c>
    </row>
    <row r="3617" spans="1:6" ht="12.75" customHeight="1" x14ac:dyDescent="0.2">
      <c r="A3617" s="6"/>
      <c r="B3617" s="421"/>
      <c r="C3617" s="114"/>
      <c r="D3617" s="757"/>
      <c r="E3617" s="85"/>
      <c r="F3617" s="59">
        <f t="shared" si="220"/>
        <v>0</v>
      </c>
    </row>
    <row r="3618" spans="1:6" ht="12.75" customHeight="1" x14ac:dyDescent="0.2">
      <c r="A3618" s="6"/>
      <c r="B3618" s="421"/>
      <c r="C3618" s="114"/>
      <c r="D3618" s="757"/>
      <c r="E3618" s="85"/>
      <c r="F3618" s="59">
        <f t="shared" si="220"/>
        <v>0</v>
      </c>
    </row>
    <row r="3619" spans="1:6" ht="12.75" customHeight="1" x14ac:dyDescent="0.2">
      <c r="A3619" s="6"/>
      <c r="B3619" s="421"/>
      <c r="C3619" s="114"/>
      <c r="D3619" s="757"/>
      <c r="E3619" s="85"/>
      <c r="F3619" s="59">
        <f t="shared" si="220"/>
        <v>0</v>
      </c>
    </row>
    <row r="3620" spans="1:6" ht="12.75" customHeight="1" x14ac:dyDescent="0.2">
      <c r="A3620" s="6"/>
      <c r="B3620" s="421"/>
      <c r="C3620" s="114"/>
      <c r="D3620" s="757"/>
      <c r="E3620" s="85"/>
      <c r="F3620" s="59">
        <f t="shared" si="220"/>
        <v>0</v>
      </c>
    </row>
    <row r="3621" spans="1:6" ht="12.75" customHeight="1" x14ac:dyDescent="0.2">
      <c r="A3621" s="6"/>
      <c r="B3621" s="421"/>
      <c r="C3621" s="114"/>
      <c r="D3621" s="757"/>
      <c r="E3621" s="85"/>
      <c r="F3621" s="59">
        <f t="shared" si="220"/>
        <v>0</v>
      </c>
    </row>
    <row r="3622" spans="1:6" ht="12.75" customHeight="1" x14ac:dyDescent="0.2">
      <c r="A3622" s="6"/>
      <c r="B3622" s="421"/>
      <c r="C3622" s="114"/>
      <c r="D3622" s="757"/>
      <c r="E3622" s="85"/>
      <c r="F3622" s="59">
        <f t="shared" si="220"/>
        <v>0</v>
      </c>
    </row>
    <row r="3623" spans="1:6" ht="12.75" customHeight="1" x14ac:dyDescent="0.2">
      <c r="A3623" s="6"/>
      <c r="B3623" s="421"/>
      <c r="C3623" s="114"/>
      <c r="D3623" s="757"/>
      <c r="E3623" s="85"/>
      <c r="F3623" s="59">
        <f t="shared" si="220"/>
        <v>0</v>
      </c>
    </row>
    <row r="3624" spans="1:6" ht="12.75" customHeight="1" x14ac:dyDescent="0.2">
      <c r="A3624" s="6"/>
      <c r="B3624" s="421"/>
      <c r="C3624" s="114"/>
      <c r="D3624" s="758"/>
      <c r="E3624" s="85"/>
      <c r="F3624" s="59">
        <f t="shared" si="220"/>
        <v>0</v>
      </c>
    </row>
    <row r="3625" spans="1:6" ht="12.75" customHeight="1" x14ac:dyDescent="0.2">
      <c r="A3625" s="6"/>
      <c r="B3625" s="421"/>
      <c r="C3625" s="114"/>
      <c r="D3625" s="758"/>
      <c r="E3625" s="85"/>
      <c r="F3625" s="59">
        <f t="shared" si="220"/>
        <v>0</v>
      </c>
    </row>
    <row r="3626" spans="1:6" ht="12.75" customHeight="1" x14ac:dyDescent="0.2">
      <c r="A3626" s="6"/>
      <c r="B3626" s="421"/>
      <c r="C3626" s="114"/>
      <c r="D3626" s="758"/>
      <c r="E3626" s="85"/>
      <c r="F3626" s="59">
        <f t="shared" si="220"/>
        <v>0</v>
      </c>
    </row>
    <row r="3627" spans="1:6" ht="12.75" customHeight="1" x14ac:dyDescent="0.2">
      <c r="A3627" s="3"/>
      <c r="C3627" s="114"/>
      <c r="D3627" s="759"/>
      <c r="E3627" s="85"/>
      <c r="F3627" s="59">
        <f t="shared" si="220"/>
        <v>0</v>
      </c>
    </row>
    <row r="3628" spans="1:6" ht="12.75" customHeight="1" x14ac:dyDescent="0.2">
      <c r="A3628" s="3"/>
      <c r="C3628" s="114"/>
      <c r="D3628" s="759"/>
      <c r="E3628" s="85"/>
      <c r="F3628" s="59">
        <f t="shared" si="220"/>
        <v>0</v>
      </c>
    </row>
    <row r="3629" spans="1:6" ht="12.75" customHeight="1" x14ac:dyDescent="0.2">
      <c r="A3629" s="3"/>
      <c r="B3629" s="86" t="s">
        <v>258</v>
      </c>
      <c r="C3629" s="87"/>
      <c r="D3629" s="88"/>
      <c r="E3629" s="89"/>
      <c r="F3629" s="90">
        <f>SUM(F3613:F3628)</f>
        <v>0</v>
      </c>
    </row>
    <row r="3630" spans="1:6" ht="12.75" customHeight="1" x14ac:dyDescent="0.2">
      <c r="A3630" s="3"/>
      <c r="B3630" s="91" t="s">
        <v>70</v>
      </c>
      <c r="C3630" s="15">
        <f>$D$8</f>
        <v>0</v>
      </c>
      <c r="D3630" s="92"/>
      <c r="E3630" s="93"/>
      <c r="F3630" s="94">
        <f>ROUND(F3629*C3630,2)</f>
        <v>0</v>
      </c>
    </row>
    <row r="3631" spans="1:6" ht="12.75" customHeight="1" x14ac:dyDescent="0.2">
      <c r="A3631" s="95"/>
      <c r="B3631" s="424" t="s">
        <v>259</v>
      </c>
      <c r="C3631" s="425"/>
      <c r="D3631" s="425"/>
      <c r="E3631" s="426"/>
      <c r="F3631" s="96">
        <f>F3629+F3630</f>
        <v>0</v>
      </c>
    </row>
    <row r="3632" spans="1:6" ht="12.75" customHeight="1" x14ac:dyDescent="0.2">
      <c r="A3632" s="1" t="s">
        <v>5</v>
      </c>
      <c r="B3632" s="418" t="s">
        <v>267</v>
      </c>
      <c r="C3632" s="419" t="s">
        <v>263</v>
      </c>
      <c r="D3632" s="419" t="s">
        <v>264</v>
      </c>
      <c r="E3632" s="420" t="s">
        <v>265</v>
      </c>
      <c r="F3632" s="57" t="s">
        <v>266</v>
      </c>
    </row>
    <row r="3633" spans="1:6" ht="12.75" customHeight="1" x14ac:dyDescent="0.2">
      <c r="A3633" s="3"/>
      <c r="B3633" s="71"/>
      <c r="C3633" s="114"/>
      <c r="D3633" s="759"/>
      <c r="E3633" s="85"/>
      <c r="F3633" s="59">
        <f t="shared" ref="F3633:F3642" si="221">ROUND(C3633*E3633,2)</f>
        <v>0</v>
      </c>
    </row>
    <row r="3634" spans="1:6" ht="12.75" customHeight="1" x14ac:dyDescent="0.2">
      <c r="A3634" s="3"/>
      <c r="C3634" s="114"/>
      <c r="D3634" s="759"/>
      <c r="E3634" s="85"/>
      <c r="F3634" s="59">
        <f t="shared" si="221"/>
        <v>0</v>
      </c>
    </row>
    <row r="3635" spans="1:6" ht="12.75" customHeight="1" x14ac:dyDescent="0.2">
      <c r="A3635" s="3"/>
      <c r="C3635" s="114"/>
      <c r="D3635" s="759"/>
      <c r="E3635" s="85"/>
      <c r="F3635" s="59">
        <f t="shared" si="221"/>
        <v>0</v>
      </c>
    </row>
    <row r="3636" spans="1:6" ht="12.75" customHeight="1" x14ac:dyDescent="0.2">
      <c r="A3636" s="3"/>
      <c r="C3636" s="114"/>
      <c r="D3636" s="759"/>
      <c r="E3636" s="85"/>
      <c r="F3636" s="59">
        <f t="shared" si="221"/>
        <v>0</v>
      </c>
    </row>
    <row r="3637" spans="1:6" ht="12.75" customHeight="1" x14ac:dyDescent="0.2">
      <c r="A3637" s="3"/>
      <c r="C3637" s="114"/>
      <c r="D3637" s="759"/>
      <c r="E3637" s="85"/>
      <c r="F3637" s="59">
        <f t="shared" si="221"/>
        <v>0</v>
      </c>
    </row>
    <row r="3638" spans="1:6" ht="12.75" customHeight="1" x14ac:dyDescent="0.2">
      <c r="A3638" s="3"/>
      <c r="C3638" s="114"/>
      <c r="D3638" s="759"/>
      <c r="E3638" s="85"/>
      <c r="F3638" s="59">
        <f t="shared" si="221"/>
        <v>0</v>
      </c>
    </row>
    <row r="3639" spans="1:6" ht="12.75" customHeight="1" x14ac:dyDescent="0.2">
      <c r="A3639" s="3"/>
      <c r="C3639" s="114"/>
      <c r="D3639" s="759"/>
      <c r="E3639" s="85"/>
      <c r="F3639" s="59">
        <f t="shared" si="221"/>
        <v>0</v>
      </c>
    </row>
    <row r="3640" spans="1:6" ht="12.75" customHeight="1" x14ac:dyDescent="0.2">
      <c r="A3640" s="3"/>
      <c r="C3640" s="114"/>
      <c r="D3640" s="759"/>
      <c r="E3640" s="85"/>
      <c r="F3640" s="59">
        <f t="shared" si="221"/>
        <v>0</v>
      </c>
    </row>
    <row r="3641" spans="1:6" ht="12.75" customHeight="1" x14ac:dyDescent="0.2">
      <c r="A3641" s="3"/>
      <c r="C3641" s="114"/>
      <c r="D3641" s="759"/>
      <c r="E3641" s="85"/>
      <c r="F3641" s="59">
        <f t="shared" si="221"/>
        <v>0</v>
      </c>
    </row>
    <row r="3642" spans="1:6" ht="12.75" customHeight="1" x14ac:dyDescent="0.2">
      <c r="A3642" s="3"/>
      <c r="C3642" s="114"/>
      <c r="D3642" s="759"/>
      <c r="E3642" s="85"/>
      <c r="F3642" s="59">
        <f t="shared" si="221"/>
        <v>0</v>
      </c>
    </row>
    <row r="3643" spans="1:6" ht="12.75" customHeight="1" x14ac:dyDescent="0.2">
      <c r="A3643" s="3"/>
      <c r="B3643" s="86" t="s">
        <v>258</v>
      </c>
      <c r="C3643" s="87"/>
      <c r="D3643" s="88"/>
      <c r="E3643" s="89"/>
      <c r="F3643" s="90">
        <f>SUM(F3633:F3642)</f>
        <v>0</v>
      </c>
    </row>
    <row r="3644" spans="1:6" ht="12.75" customHeight="1" x14ac:dyDescent="0.2">
      <c r="A3644" s="3"/>
      <c r="B3644" s="91" t="s">
        <v>70</v>
      </c>
      <c r="C3644" s="15">
        <f>$D$8</f>
        <v>0</v>
      </c>
      <c r="D3644" s="92"/>
      <c r="E3644" s="93"/>
      <c r="F3644" s="94">
        <f>ROUND(C3644*F3643,2)</f>
        <v>0</v>
      </c>
    </row>
    <row r="3645" spans="1:6" ht="12.75" customHeight="1" x14ac:dyDescent="0.2">
      <c r="A3645" s="95"/>
      <c r="B3645" s="424" t="s">
        <v>260</v>
      </c>
      <c r="C3645" s="425"/>
      <c r="D3645" s="425"/>
      <c r="E3645" s="426"/>
      <c r="F3645" s="96">
        <f>F3643+F3644</f>
        <v>0</v>
      </c>
    </row>
    <row r="3646" spans="1:6" ht="12.75" customHeight="1" x14ac:dyDescent="0.2">
      <c r="A3646" s="97" t="s">
        <v>54</v>
      </c>
      <c r="B3646" s="427" t="s">
        <v>268</v>
      </c>
      <c r="C3646" s="428" t="s">
        <v>263</v>
      </c>
      <c r="D3646" s="429" t="s">
        <v>264</v>
      </c>
      <c r="E3646" s="430" t="s">
        <v>265</v>
      </c>
      <c r="F3646" s="57" t="s">
        <v>266</v>
      </c>
    </row>
    <row r="3647" spans="1:6" ht="12.75" customHeight="1" x14ac:dyDescent="0.2">
      <c r="A3647" s="3" t="str">
        <f>'A VII.'!$A$181</f>
        <v>3.1</v>
      </c>
      <c r="B3647" s="74" t="s">
        <v>174</v>
      </c>
      <c r="C3647" s="114">
        <v>7.0000000000000007E-2</v>
      </c>
      <c r="D3647" s="759" t="str">
        <f>VLOOKUP(A3647,'A VII.'!$A$10:$D$199,3,FALSE)</f>
        <v>H</v>
      </c>
      <c r="E3647" s="85">
        <f>'A VII.'!D181</f>
        <v>0</v>
      </c>
      <c r="F3647" s="59">
        <f t="shared" ref="F3647:F3653" si="222">ROUND(C3647*E3647,2)</f>
        <v>0</v>
      </c>
    </row>
    <row r="3648" spans="1:6" ht="12.75" customHeight="1" x14ac:dyDescent="0.2">
      <c r="A3648" s="3" t="str">
        <f>'A VII.'!$A$187</f>
        <v>3.7</v>
      </c>
      <c r="B3648" s="74" t="s">
        <v>180</v>
      </c>
      <c r="C3648" s="114">
        <v>7.0000000000000007E-2</v>
      </c>
      <c r="D3648" s="759" t="str">
        <f>VLOOKUP(A3648,'A VII.'!$A$10:$D$199,3,FALSE)</f>
        <v>H</v>
      </c>
      <c r="E3648" s="85">
        <f>'A VII.'!D187</f>
        <v>0</v>
      </c>
      <c r="F3648" s="59">
        <f t="shared" si="222"/>
        <v>0</v>
      </c>
    </row>
    <row r="3649" spans="1:6" ht="12.75" customHeight="1" x14ac:dyDescent="0.2">
      <c r="A3649" s="3"/>
      <c r="C3649" s="114"/>
      <c r="D3649" s="759"/>
      <c r="E3649" s="85"/>
      <c r="F3649" s="59">
        <f t="shared" si="222"/>
        <v>0</v>
      </c>
    </row>
    <row r="3650" spans="1:6" ht="12.75" customHeight="1" x14ac:dyDescent="0.2">
      <c r="A3650" s="3"/>
      <c r="C3650" s="114"/>
      <c r="D3650" s="759"/>
      <c r="E3650" s="85"/>
      <c r="F3650" s="59">
        <f t="shared" si="222"/>
        <v>0</v>
      </c>
    </row>
    <row r="3651" spans="1:6" ht="12.75" customHeight="1" x14ac:dyDescent="0.2">
      <c r="A3651" s="3"/>
      <c r="C3651" s="114"/>
      <c r="D3651" s="759"/>
      <c r="E3651" s="85"/>
      <c r="F3651" s="59">
        <f t="shared" si="222"/>
        <v>0</v>
      </c>
    </row>
    <row r="3652" spans="1:6" ht="12.75" customHeight="1" x14ac:dyDescent="0.2">
      <c r="A3652" s="3"/>
      <c r="C3652" s="114"/>
      <c r="D3652" s="759"/>
      <c r="E3652" s="85"/>
      <c r="F3652" s="59">
        <f t="shared" si="222"/>
        <v>0</v>
      </c>
    </row>
    <row r="3653" spans="1:6" ht="12.75" customHeight="1" x14ac:dyDescent="0.2">
      <c r="A3653" s="3"/>
      <c r="C3653" s="114"/>
      <c r="D3653" s="759"/>
      <c r="E3653" s="85"/>
      <c r="F3653" s="59">
        <f t="shared" si="222"/>
        <v>0</v>
      </c>
    </row>
    <row r="3654" spans="1:6" ht="12.75" customHeight="1" x14ac:dyDescent="0.2">
      <c r="A3654" s="3"/>
      <c r="B3654" s="86" t="s">
        <v>258</v>
      </c>
      <c r="C3654" s="87"/>
      <c r="D3654" s="88"/>
      <c r="E3654" s="89"/>
      <c r="F3654" s="90">
        <f>SUM(F3647:F3653)</f>
        <v>0</v>
      </c>
    </row>
    <row r="3655" spans="1:6" ht="12.75" customHeight="1" x14ac:dyDescent="0.2">
      <c r="A3655" s="3"/>
      <c r="B3655" s="91" t="s">
        <v>261</v>
      </c>
      <c r="C3655" s="15">
        <f>'A IX.'!$C$45</f>
        <v>0</v>
      </c>
      <c r="D3655" s="92"/>
      <c r="E3655" s="93"/>
      <c r="F3655" s="94">
        <f>ROUND(F3654*C3655,2)</f>
        <v>0</v>
      </c>
    </row>
    <row r="3656" spans="1:6" ht="12.75" customHeight="1" x14ac:dyDescent="0.2">
      <c r="A3656" s="3"/>
      <c r="B3656" s="91" t="s">
        <v>70</v>
      </c>
      <c r="C3656" s="15">
        <f>$D$8</f>
        <v>0</v>
      </c>
      <c r="D3656" s="92"/>
      <c r="E3656" s="93"/>
      <c r="F3656" s="94">
        <f>ROUND(SUM(F3654:F3655)*C3656,2)</f>
        <v>0</v>
      </c>
    </row>
    <row r="3657" spans="1:6" ht="12.75" customHeight="1" thickBot="1" x14ac:dyDescent="0.25">
      <c r="A3657" s="98"/>
      <c r="B3657" s="99" t="s">
        <v>262</v>
      </c>
      <c r="C3657" s="100"/>
      <c r="D3657" s="100"/>
      <c r="E3657" s="101"/>
      <c r="F3657" s="102">
        <f>SUM(F3654:F3656)</f>
        <v>0</v>
      </c>
    </row>
    <row r="3658" spans="1:6" ht="12.75" customHeight="1" thickBot="1" x14ac:dyDescent="0.25">
      <c r="A3658" s="81"/>
      <c r="B3658" s="82"/>
      <c r="C3658" s="83"/>
      <c r="D3658" s="83"/>
      <c r="E3658" s="84"/>
      <c r="F3658" s="103"/>
    </row>
    <row r="3659" spans="1:6" ht="30" customHeight="1" x14ac:dyDescent="0.2">
      <c r="A3659" s="5" t="str">
        <f>'A IV.A'!A115</f>
        <v>4.2</v>
      </c>
      <c r="B3659" s="416" t="str">
        <f>'A IV.A'!B115</f>
        <v>RALO SECO DE PVC RÍGIDO, ALTURA 50MM, DIÂMETRO DE ENTRADA 40MM, COM GRELHA QUADRADA METÁLICA, DIMENSÕES 100X100MM</v>
      </c>
      <c r="C3659" s="526" t="s">
        <v>269</v>
      </c>
      <c r="D3659" s="527"/>
      <c r="E3659" s="417" t="str">
        <f>'A IV.A'!C115</f>
        <v>UN</v>
      </c>
      <c r="F3659" s="58">
        <f>ROUND(F3679+F3693+F3705,2)</f>
        <v>0</v>
      </c>
    </row>
    <row r="3660" spans="1:6" ht="12.75" customHeight="1" x14ac:dyDescent="0.2">
      <c r="A3660" s="1" t="s">
        <v>17</v>
      </c>
      <c r="B3660" s="418" t="s">
        <v>162</v>
      </c>
      <c r="C3660" s="419" t="s">
        <v>263</v>
      </c>
      <c r="D3660" s="419" t="s">
        <v>264</v>
      </c>
      <c r="E3660" s="420" t="s">
        <v>265</v>
      </c>
      <c r="F3660" s="57" t="s">
        <v>266</v>
      </c>
    </row>
    <row r="3661" spans="1:6" ht="12.75" customHeight="1" x14ac:dyDescent="0.2">
      <c r="A3661" s="6" t="str">
        <f>'A VII.'!$A$91</f>
        <v>1.81</v>
      </c>
      <c r="B3661" s="421" t="str">
        <f>VLOOKUP(A3661,'A VII.'!$A$10:$D$199,2,FALSE)</f>
        <v>RALO SECO DE PVC RÍGIDO, 100 X 40 MM</v>
      </c>
      <c r="C3661" s="114">
        <v>1</v>
      </c>
      <c r="D3661" s="757" t="str">
        <f>VLOOKUP(A3661,'A VII.'!$A$10:$D$199,3,FALSE)</f>
        <v>UN</v>
      </c>
      <c r="E3661" s="85">
        <f>'A VII.'!D91</f>
        <v>0</v>
      </c>
      <c r="F3661" s="59">
        <f>ROUND(C3661*E3661,2)</f>
        <v>0</v>
      </c>
    </row>
    <row r="3662" spans="1:6" ht="12.75" customHeight="1" x14ac:dyDescent="0.2">
      <c r="A3662" s="6" t="str">
        <f>'A VII.'!$A$60</f>
        <v>1.51</v>
      </c>
      <c r="B3662" s="421" t="str">
        <f>'A VII.'!B60</f>
        <v>GRELHA METÁLICA DE 100 X 100 MM, PARA CAIXA SIFONADA OU RALO</v>
      </c>
      <c r="C3662" s="114">
        <v>1</v>
      </c>
      <c r="D3662" s="757" t="str">
        <f>'A VII.'!C60</f>
        <v>UN</v>
      </c>
      <c r="E3662" s="85">
        <f>'A VII.'!D60</f>
        <v>0</v>
      </c>
      <c r="F3662" s="59">
        <f>ROUND(C3662*E3662,2)</f>
        <v>0</v>
      </c>
    </row>
    <row r="3663" spans="1:6" ht="12.75" customHeight="1" x14ac:dyDescent="0.2">
      <c r="A3663" s="6" t="str">
        <f>'A VII.'!$A$11</f>
        <v>1.2</v>
      </c>
      <c r="B3663" s="421" t="str">
        <f>VLOOKUP(A3663,'A VII.'!$A$10:$D$199,2,FALSE)</f>
        <v>ADESIVO PARA TUBO EM PVC - FRASCO 850 GR.</v>
      </c>
      <c r="C3663" s="114">
        <v>4.8999999999999998E-3</v>
      </c>
      <c r="D3663" s="757" t="str">
        <f>VLOOKUP(A3663,'A VII.'!$A$10:$D$199,3,FALSE)</f>
        <v>UN</v>
      </c>
      <c r="E3663" s="85">
        <f>'A VII.'!D11</f>
        <v>0</v>
      </c>
      <c r="F3663" s="59">
        <f t="shared" ref="F3663:F3676" si="223">ROUND(C3663*E3663,2)</f>
        <v>0</v>
      </c>
    </row>
    <row r="3664" spans="1:6" ht="12.75" customHeight="1" x14ac:dyDescent="0.2">
      <c r="A3664" s="6" t="str">
        <f>'A VII.'!$A$100</f>
        <v>1.90</v>
      </c>
      <c r="B3664" s="421" t="str">
        <f>VLOOKUP(A3664,'A VII.'!$A$10:$D$199,2,FALSE)</f>
        <v>SOLUCAO LIMPADORA PARA PVC, FRASCO COM 1000 CM3</v>
      </c>
      <c r="C3664" s="114">
        <v>7.4999999999999997E-3</v>
      </c>
      <c r="D3664" s="757" t="str">
        <f>VLOOKUP(A3664,'A VII.'!$A$10:$D$199,3,FALSE)</f>
        <v xml:space="preserve">UN </v>
      </c>
      <c r="E3664" s="85">
        <f>'A VII.'!D100</f>
        <v>0</v>
      </c>
      <c r="F3664" s="59">
        <f t="shared" si="223"/>
        <v>0</v>
      </c>
    </row>
    <row r="3665" spans="1:6" ht="12.75" customHeight="1" x14ac:dyDescent="0.2">
      <c r="A3665" s="6" t="str">
        <f>'A VII.'!$A$67</f>
        <v>1.58</v>
      </c>
      <c r="B3665" s="421" t="str">
        <f>VLOOKUP(A3665,'A VII.'!$A$10:$D$199,2,FALSE)</f>
        <v>LIXA D'AGUA EM FOLHA, GRAO 100</v>
      </c>
      <c r="C3665" s="114">
        <v>1.7000000000000001E-2</v>
      </c>
      <c r="D3665" s="757" t="str">
        <f>VLOOKUP(A3665,'A VII.'!$A$10:$D$199,3,FALSE)</f>
        <v>UN</v>
      </c>
      <c r="E3665" s="85">
        <f>'A VII.'!$D$67</f>
        <v>0</v>
      </c>
      <c r="F3665" s="59">
        <f t="shared" si="223"/>
        <v>0</v>
      </c>
    </row>
    <row r="3666" spans="1:6" ht="12.75" customHeight="1" x14ac:dyDescent="0.2">
      <c r="A3666" s="6"/>
      <c r="B3666" s="421"/>
      <c r="C3666" s="114"/>
      <c r="D3666" s="757"/>
      <c r="E3666" s="85"/>
      <c r="F3666" s="59">
        <f t="shared" si="223"/>
        <v>0</v>
      </c>
    </row>
    <row r="3667" spans="1:6" ht="12.75" customHeight="1" x14ac:dyDescent="0.2">
      <c r="A3667" s="6"/>
      <c r="B3667" s="421"/>
      <c r="C3667" s="114"/>
      <c r="D3667" s="757"/>
      <c r="E3667" s="85"/>
      <c r="F3667" s="59">
        <f t="shared" si="223"/>
        <v>0</v>
      </c>
    </row>
    <row r="3668" spans="1:6" ht="12.75" customHeight="1" x14ac:dyDescent="0.2">
      <c r="A3668" s="6"/>
      <c r="B3668" s="421"/>
      <c r="C3668" s="114"/>
      <c r="D3668" s="757"/>
      <c r="E3668" s="85"/>
      <c r="F3668" s="59">
        <f t="shared" si="223"/>
        <v>0</v>
      </c>
    </row>
    <row r="3669" spans="1:6" ht="12.75" customHeight="1" x14ac:dyDescent="0.2">
      <c r="A3669" s="6"/>
      <c r="B3669" s="421"/>
      <c r="C3669" s="114"/>
      <c r="D3669" s="757"/>
      <c r="E3669" s="85"/>
      <c r="F3669" s="59">
        <f t="shared" si="223"/>
        <v>0</v>
      </c>
    </row>
    <row r="3670" spans="1:6" ht="12.75" customHeight="1" x14ac:dyDescent="0.2">
      <c r="A3670" s="6"/>
      <c r="B3670" s="421"/>
      <c r="C3670" s="114"/>
      <c r="D3670" s="757"/>
      <c r="E3670" s="85"/>
      <c r="F3670" s="59">
        <f t="shared" si="223"/>
        <v>0</v>
      </c>
    </row>
    <row r="3671" spans="1:6" ht="12.75" customHeight="1" x14ac:dyDescent="0.2">
      <c r="A3671" s="6"/>
      <c r="B3671" s="421"/>
      <c r="C3671" s="114"/>
      <c r="D3671" s="757"/>
      <c r="E3671" s="85"/>
      <c r="F3671" s="59">
        <f t="shared" si="223"/>
        <v>0</v>
      </c>
    </row>
    <row r="3672" spans="1:6" ht="12.75" customHeight="1" x14ac:dyDescent="0.2">
      <c r="A3672" s="6"/>
      <c r="B3672" s="421"/>
      <c r="C3672" s="114"/>
      <c r="D3672" s="758"/>
      <c r="E3672" s="85"/>
      <c r="F3672" s="59">
        <f t="shared" si="223"/>
        <v>0</v>
      </c>
    </row>
    <row r="3673" spans="1:6" ht="12.75" customHeight="1" x14ac:dyDescent="0.2">
      <c r="A3673" s="6"/>
      <c r="B3673" s="421"/>
      <c r="C3673" s="114"/>
      <c r="D3673" s="758"/>
      <c r="E3673" s="85"/>
      <c r="F3673" s="59">
        <f t="shared" si="223"/>
        <v>0</v>
      </c>
    </row>
    <row r="3674" spans="1:6" ht="12.75" customHeight="1" x14ac:dyDescent="0.2">
      <c r="A3674" s="6"/>
      <c r="B3674" s="421"/>
      <c r="C3674" s="114"/>
      <c r="D3674" s="758"/>
      <c r="E3674" s="85"/>
      <c r="F3674" s="59">
        <f t="shared" si="223"/>
        <v>0</v>
      </c>
    </row>
    <row r="3675" spans="1:6" ht="12.75" customHeight="1" x14ac:dyDescent="0.2">
      <c r="A3675" s="3"/>
      <c r="C3675" s="114"/>
      <c r="D3675" s="759"/>
      <c r="E3675" s="85"/>
      <c r="F3675" s="59">
        <f t="shared" si="223"/>
        <v>0</v>
      </c>
    </row>
    <row r="3676" spans="1:6" ht="12.75" customHeight="1" x14ac:dyDescent="0.2">
      <c r="A3676" s="3"/>
      <c r="C3676" s="114"/>
      <c r="D3676" s="759"/>
      <c r="E3676" s="85"/>
      <c r="F3676" s="59">
        <f t="shared" si="223"/>
        <v>0</v>
      </c>
    </row>
    <row r="3677" spans="1:6" ht="12.75" customHeight="1" x14ac:dyDescent="0.2">
      <c r="A3677" s="3"/>
      <c r="B3677" s="86" t="s">
        <v>258</v>
      </c>
      <c r="C3677" s="87"/>
      <c r="D3677" s="88"/>
      <c r="E3677" s="89"/>
      <c r="F3677" s="90">
        <f>SUM(F3661:F3676)</f>
        <v>0</v>
      </c>
    </row>
    <row r="3678" spans="1:6" ht="12.75" customHeight="1" x14ac:dyDescent="0.2">
      <c r="A3678" s="3"/>
      <c r="B3678" s="91" t="s">
        <v>70</v>
      </c>
      <c r="C3678" s="15">
        <f>$D$8</f>
        <v>0</v>
      </c>
      <c r="D3678" s="92"/>
      <c r="E3678" s="93"/>
      <c r="F3678" s="94">
        <f>ROUND(F3677*C3678,2)</f>
        <v>0</v>
      </c>
    </row>
    <row r="3679" spans="1:6" ht="12.75" customHeight="1" x14ac:dyDescent="0.2">
      <c r="A3679" s="95"/>
      <c r="B3679" s="424" t="s">
        <v>259</v>
      </c>
      <c r="C3679" s="425"/>
      <c r="D3679" s="425"/>
      <c r="E3679" s="426"/>
      <c r="F3679" s="96">
        <f>F3677+F3678</f>
        <v>0</v>
      </c>
    </row>
    <row r="3680" spans="1:6" ht="12.75" customHeight="1" x14ac:dyDescent="0.2">
      <c r="A3680" s="1" t="s">
        <v>5</v>
      </c>
      <c r="B3680" s="418" t="s">
        <v>267</v>
      </c>
      <c r="C3680" s="419" t="s">
        <v>263</v>
      </c>
      <c r="D3680" s="419" t="s">
        <v>264</v>
      </c>
      <c r="E3680" s="420" t="s">
        <v>265</v>
      </c>
      <c r="F3680" s="57" t="s">
        <v>266</v>
      </c>
    </row>
    <row r="3681" spans="1:6" ht="12.75" customHeight="1" x14ac:dyDescent="0.2">
      <c r="A3681" s="3"/>
      <c r="B3681" s="71"/>
      <c r="C3681" s="114"/>
      <c r="D3681" s="759"/>
      <c r="E3681" s="85"/>
      <c r="F3681" s="59">
        <f t="shared" ref="F3681:F3690" si="224">ROUND(C3681*E3681,2)</f>
        <v>0</v>
      </c>
    </row>
    <row r="3682" spans="1:6" ht="12.75" customHeight="1" x14ac:dyDescent="0.2">
      <c r="A3682" s="3"/>
      <c r="C3682" s="114"/>
      <c r="D3682" s="759"/>
      <c r="E3682" s="85"/>
      <c r="F3682" s="59">
        <f t="shared" si="224"/>
        <v>0</v>
      </c>
    </row>
    <row r="3683" spans="1:6" ht="12.75" customHeight="1" x14ac:dyDescent="0.2">
      <c r="A3683" s="3"/>
      <c r="C3683" s="114"/>
      <c r="D3683" s="759"/>
      <c r="E3683" s="85"/>
      <c r="F3683" s="59">
        <f t="shared" si="224"/>
        <v>0</v>
      </c>
    </row>
    <row r="3684" spans="1:6" x14ac:dyDescent="0.2">
      <c r="A3684" s="3"/>
      <c r="C3684" s="114"/>
      <c r="D3684" s="759"/>
      <c r="E3684" s="85"/>
      <c r="F3684" s="59">
        <f>ROUND(C3684*E3684,2)</f>
        <v>0</v>
      </c>
    </row>
    <row r="3685" spans="1:6" x14ac:dyDescent="0.2">
      <c r="A3685" s="3"/>
      <c r="C3685" s="114"/>
      <c r="D3685" s="759"/>
      <c r="E3685" s="85"/>
      <c r="F3685" s="59">
        <f t="shared" si="224"/>
        <v>0</v>
      </c>
    </row>
    <row r="3686" spans="1:6" ht="12.75" customHeight="1" x14ac:dyDescent="0.2">
      <c r="A3686" s="3"/>
      <c r="C3686" s="114"/>
      <c r="D3686" s="759"/>
      <c r="E3686" s="85"/>
      <c r="F3686" s="59">
        <f t="shared" si="224"/>
        <v>0</v>
      </c>
    </row>
    <row r="3687" spans="1:6" ht="12.75" customHeight="1" x14ac:dyDescent="0.2">
      <c r="A3687" s="3"/>
      <c r="C3687" s="114"/>
      <c r="D3687" s="759"/>
      <c r="E3687" s="85"/>
      <c r="F3687" s="59">
        <f t="shared" si="224"/>
        <v>0</v>
      </c>
    </row>
    <row r="3688" spans="1:6" ht="12.75" customHeight="1" x14ac:dyDescent="0.2">
      <c r="A3688" s="3"/>
      <c r="C3688" s="114"/>
      <c r="D3688" s="759"/>
      <c r="E3688" s="85"/>
      <c r="F3688" s="59">
        <f t="shared" si="224"/>
        <v>0</v>
      </c>
    </row>
    <row r="3689" spans="1:6" ht="12.75" customHeight="1" x14ac:dyDescent="0.2">
      <c r="A3689" s="3"/>
      <c r="C3689" s="114"/>
      <c r="D3689" s="759"/>
      <c r="E3689" s="85"/>
      <c r="F3689" s="59">
        <f t="shared" si="224"/>
        <v>0</v>
      </c>
    </row>
    <row r="3690" spans="1:6" ht="12.75" customHeight="1" x14ac:dyDescent="0.2">
      <c r="A3690" s="3"/>
      <c r="C3690" s="114"/>
      <c r="D3690" s="759"/>
      <c r="E3690" s="85"/>
      <c r="F3690" s="59">
        <f t="shared" si="224"/>
        <v>0</v>
      </c>
    </row>
    <row r="3691" spans="1:6" ht="12.75" customHeight="1" x14ac:dyDescent="0.2">
      <c r="A3691" s="3"/>
      <c r="B3691" s="86" t="s">
        <v>258</v>
      </c>
      <c r="C3691" s="87"/>
      <c r="D3691" s="88"/>
      <c r="E3691" s="89"/>
      <c r="F3691" s="90">
        <f>SUM(F3681:F3690)</f>
        <v>0</v>
      </c>
    </row>
    <row r="3692" spans="1:6" ht="12.75" customHeight="1" x14ac:dyDescent="0.2">
      <c r="A3692" s="3"/>
      <c r="B3692" s="91" t="s">
        <v>70</v>
      </c>
      <c r="C3692" s="15">
        <f>$D$8</f>
        <v>0</v>
      </c>
      <c r="D3692" s="92"/>
      <c r="E3692" s="93"/>
      <c r="F3692" s="94">
        <f>ROUND(C3692*F3691,2)</f>
        <v>0</v>
      </c>
    </row>
    <row r="3693" spans="1:6" ht="12.75" customHeight="1" x14ac:dyDescent="0.2">
      <c r="A3693" s="95"/>
      <c r="B3693" s="424" t="s">
        <v>260</v>
      </c>
      <c r="C3693" s="425"/>
      <c r="D3693" s="425"/>
      <c r="E3693" s="426"/>
      <c r="F3693" s="96">
        <f>F3691+F3692</f>
        <v>0</v>
      </c>
    </row>
    <row r="3694" spans="1:6" ht="12.75" customHeight="1" x14ac:dyDescent="0.2">
      <c r="A3694" s="97" t="s">
        <v>54</v>
      </c>
      <c r="B3694" s="427" t="s">
        <v>268</v>
      </c>
      <c r="C3694" s="428" t="s">
        <v>263</v>
      </c>
      <c r="D3694" s="429" t="s">
        <v>264</v>
      </c>
      <c r="E3694" s="430" t="s">
        <v>265</v>
      </c>
      <c r="F3694" s="57" t="s">
        <v>266</v>
      </c>
    </row>
    <row r="3695" spans="1:6" ht="12.75" customHeight="1" x14ac:dyDescent="0.2">
      <c r="A3695" s="3" t="str">
        <f>'A VII.'!$A$181</f>
        <v>3.1</v>
      </c>
      <c r="B3695" s="74" t="s">
        <v>174</v>
      </c>
      <c r="C3695" s="114">
        <v>7.0000000000000007E-2</v>
      </c>
      <c r="D3695" s="759" t="str">
        <f>VLOOKUP(A3695,'A VII.'!$A$10:$D$199,3,FALSE)</f>
        <v>H</v>
      </c>
      <c r="E3695" s="85">
        <f>'A VII.'!D181</f>
        <v>0</v>
      </c>
      <c r="F3695" s="59">
        <f t="shared" ref="F3695:F3701" si="225">ROUND(C3695*E3695,2)</f>
        <v>0</v>
      </c>
    </row>
    <row r="3696" spans="1:6" ht="12.75" customHeight="1" x14ac:dyDescent="0.2">
      <c r="A3696" s="3" t="str">
        <f>'A VII.'!$A$187</f>
        <v>3.7</v>
      </c>
      <c r="B3696" s="74" t="s">
        <v>180</v>
      </c>
      <c r="C3696" s="114">
        <v>7.0000000000000007E-2</v>
      </c>
      <c r="D3696" s="759" t="str">
        <f>VLOOKUP(A3696,'A VII.'!$A$10:$D$199,3,FALSE)</f>
        <v>H</v>
      </c>
      <c r="E3696" s="85">
        <f>'A VII.'!D187</f>
        <v>0</v>
      </c>
      <c r="F3696" s="59">
        <f t="shared" si="225"/>
        <v>0</v>
      </c>
    </row>
    <row r="3697" spans="1:6" ht="12.75" customHeight="1" x14ac:dyDescent="0.2">
      <c r="A3697" s="3"/>
      <c r="C3697" s="114"/>
      <c r="D3697" s="759"/>
      <c r="E3697" s="85"/>
      <c r="F3697" s="59">
        <f t="shared" si="225"/>
        <v>0</v>
      </c>
    </row>
    <row r="3698" spans="1:6" ht="12.75" customHeight="1" x14ac:dyDescent="0.2">
      <c r="A3698" s="3"/>
      <c r="C3698" s="114"/>
      <c r="D3698" s="759"/>
      <c r="E3698" s="85"/>
      <c r="F3698" s="59">
        <f t="shared" si="225"/>
        <v>0</v>
      </c>
    </row>
    <row r="3699" spans="1:6" ht="12.75" customHeight="1" x14ac:dyDescent="0.2">
      <c r="A3699" s="3"/>
      <c r="C3699" s="114"/>
      <c r="D3699" s="759"/>
      <c r="E3699" s="85"/>
      <c r="F3699" s="59">
        <f t="shared" si="225"/>
        <v>0</v>
      </c>
    </row>
    <row r="3700" spans="1:6" ht="12.75" customHeight="1" x14ac:dyDescent="0.2">
      <c r="A3700" s="3"/>
      <c r="C3700" s="114"/>
      <c r="D3700" s="759"/>
      <c r="E3700" s="85"/>
      <c r="F3700" s="59">
        <f t="shared" si="225"/>
        <v>0</v>
      </c>
    </row>
    <row r="3701" spans="1:6" ht="12.75" customHeight="1" x14ac:dyDescent="0.2">
      <c r="A3701" s="3"/>
      <c r="C3701" s="114"/>
      <c r="D3701" s="759"/>
      <c r="E3701" s="85"/>
      <c r="F3701" s="59">
        <f t="shared" si="225"/>
        <v>0</v>
      </c>
    </row>
    <row r="3702" spans="1:6" ht="12.75" customHeight="1" x14ac:dyDescent="0.2">
      <c r="A3702" s="3"/>
      <c r="B3702" s="86" t="s">
        <v>258</v>
      </c>
      <c r="C3702" s="87"/>
      <c r="D3702" s="88"/>
      <c r="E3702" s="89"/>
      <c r="F3702" s="90">
        <f>SUM(F3695:F3701)</f>
        <v>0</v>
      </c>
    </row>
    <row r="3703" spans="1:6" ht="12.75" customHeight="1" x14ac:dyDescent="0.2">
      <c r="A3703" s="3"/>
      <c r="B3703" s="91" t="s">
        <v>261</v>
      </c>
      <c r="C3703" s="15">
        <f>'A IX.'!$C$45</f>
        <v>0</v>
      </c>
      <c r="D3703" s="92"/>
      <c r="E3703" s="93"/>
      <c r="F3703" s="94">
        <f>ROUND(F3702*C3703,2)</f>
        <v>0</v>
      </c>
    </row>
    <row r="3704" spans="1:6" ht="12.75" customHeight="1" x14ac:dyDescent="0.2">
      <c r="A3704" s="3"/>
      <c r="B3704" s="91" t="s">
        <v>70</v>
      </c>
      <c r="C3704" s="15">
        <f>$D$8</f>
        <v>0</v>
      </c>
      <c r="D3704" s="92"/>
      <c r="E3704" s="93"/>
      <c r="F3704" s="94">
        <f>ROUND(SUM(F3702:F3703)*C3704,2)</f>
        <v>0</v>
      </c>
    </row>
    <row r="3705" spans="1:6" ht="12.75" customHeight="1" thickBot="1" x14ac:dyDescent="0.25">
      <c r="A3705" s="98"/>
      <c r="B3705" s="99" t="s">
        <v>262</v>
      </c>
      <c r="C3705" s="100"/>
      <c r="D3705" s="100"/>
      <c r="E3705" s="101"/>
      <c r="F3705" s="102">
        <f>SUM(F3702:F3704)</f>
        <v>0</v>
      </c>
    </row>
    <row r="3706" spans="1:6" ht="12.75" customHeight="1" thickBot="1" x14ac:dyDescent="0.25">
      <c r="A3706" s="81"/>
      <c r="B3706" s="82"/>
      <c r="C3706" s="83"/>
      <c r="D3706" s="83"/>
      <c r="E3706" s="84"/>
      <c r="F3706" s="103"/>
    </row>
    <row r="3707" spans="1:6" ht="30" customHeight="1" x14ac:dyDescent="0.2">
      <c r="A3707" s="5" t="str">
        <f>'A IV.A'!A116</f>
        <v>4.3</v>
      </c>
      <c r="B3707" s="416" t="str">
        <f>'A IV.A'!B116</f>
        <v xml:space="preserve">CAIXA SIFONADA DE PVC RÍGIDO, ALTURA DE 50MM, COM GRELHA REDONDA DE PVC BRANCO, NAS DIMENSÕES DN = 150MM </v>
      </c>
      <c r="C3707" s="526" t="s">
        <v>269</v>
      </c>
      <c r="D3707" s="527"/>
      <c r="E3707" s="417" t="str">
        <f>'A IV.A'!C116</f>
        <v>UN</v>
      </c>
      <c r="F3707" s="58">
        <f>ROUND(F3727+F3741+F3753,2)</f>
        <v>0</v>
      </c>
    </row>
    <row r="3708" spans="1:6" ht="12.75" customHeight="1" x14ac:dyDescent="0.2">
      <c r="A3708" s="1" t="s">
        <v>17</v>
      </c>
      <c r="B3708" s="418" t="s">
        <v>162</v>
      </c>
      <c r="C3708" s="419" t="s">
        <v>263</v>
      </c>
      <c r="D3708" s="419" t="s">
        <v>264</v>
      </c>
      <c r="E3708" s="420" t="s">
        <v>265</v>
      </c>
      <c r="F3708" s="57" t="s">
        <v>266</v>
      </c>
    </row>
    <row r="3709" spans="1:6" ht="12.75" customHeight="1" x14ac:dyDescent="0.2">
      <c r="A3709" s="6" t="str">
        <f>'A VII.'!$A$11</f>
        <v>1.2</v>
      </c>
      <c r="B3709" s="421" t="str">
        <f>'A VII.'!B11</f>
        <v>ADESIVO PARA TUBO EM PVC - FRASCO 850 GR.</v>
      </c>
      <c r="C3709" s="114">
        <v>1.4800000000000001E-2</v>
      </c>
      <c r="D3709" s="757" t="str">
        <f>'A VII.'!C11</f>
        <v>UN</v>
      </c>
      <c r="E3709" s="85">
        <f>'A VII.'!D11</f>
        <v>0</v>
      </c>
      <c r="F3709" s="59">
        <f>ROUND(C3709*E3709,2)</f>
        <v>0</v>
      </c>
    </row>
    <row r="3710" spans="1:6" ht="12.75" customHeight="1" x14ac:dyDescent="0.2">
      <c r="A3710" s="6" t="str">
        <f>'A VII.'!$A$28</f>
        <v>1.19</v>
      </c>
      <c r="B3710" s="421" t="str">
        <f>'A VII.'!B28</f>
        <v>CAIXA SIFONADA PVC, 150 X 150 X 50 MM, COM GRELHA REDONDA BRANCA</v>
      </c>
      <c r="C3710" s="114">
        <v>1</v>
      </c>
      <c r="D3710" s="757" t="str">
        <f>'A VII.'!C28</f>
        <v>UN</v>
      </c>
      <c r="E3710" s="85">
        <f>'A VII.'!D28</f>
        <v>0</v>
      </c>
      <c r="F3710" s="59">
        <f>ROUND(C3710*E3710,2)</f>
        <v>0</v>
      </c>
    </row>
    <row r="3711" spans="1:6" ht="12.75" customHeight="1" x14ac:dyDescent="0.2">
      <c r="A3711" s="6" t="str">
        <f>'A VII.'!$A$67</f>
        <v>1.58</v>
      </c>
      <c r="B3711" s="421" t="str">
        <f>'A VII.'!B67</f>
        <v>LIXA D'AGUA EM FOLHA, GRAO 100</v>
      </c>
      <c r="C3711" s="114">
        <v>5.7000000000000002E-2</v>
      </c>
      <c r="D3711" s="757" t="str">
        <f>'A VII.'!C67</f>
        <v>UN</v>
      </c>
      <c r="E3711" s="85">
        <f>'A VII.'!D67</f>
        <v>0</v>
      </c>
      <c r="F3711" s="59">
        <f t="shared" ref="F3711:F3724" si="226">ROUND(C3711*E3711,2)</f>
        <v>0</v>
      </c>
    </row>
    <row r="3712" spans="1:6" ht="12.75" customHeight="1" x14ac:dyDescent="0.2">
      <c r="A3712" s="6" t="str">
        <f>'A VII.'!$A$100</f>
        <v>1.90</v>
      </c>
      <c r="B3712" s="421" t="str">
        <f>'A VII.'!B100</f>
        <v>SOLUCAO LIMPADORA PARA PVC, FRASCO COM 1000 CM3</v>
      </c>
      <c r="C3712" s="114">
        <v>2.2499999999999999E-2</v>
      </c>
      <c r="D3712" s="757" t="str">
        <f>'A VII.'!C100</f>
        <v xml:space="preserve">UN </v>
      </c>
      <c r="E3712" s="85">
        <f>'A VII.'!D100</f>
        <v>0</v>
      </c>
      <c r="F3712" s="59">
        <f t="shared" si="226"/>
        <v>0</v>
      </c>
    </row>
    <row r="3713" spans="1:6" ht="12.75" customHeight="1" x14ac:dyDescent="0.2">
      <c r="A3713" s="6"/>
      <c r="B3713" s="421"/>
      <c r="C3713" s="114"/>
      <c r="D3713" s="757"/>
      <c r="E3713" s="85"/>
      <c r="F3713" s="59">
        <f t="shared" si="226"/>
        <v>0</v>
      </c>
    </row>
    <row r="3714" spans="1:6" ht="12.75" customHeight="1" x14ac:dyDescent="0.2">
      <c r="A3714" s="6"/>
      <c r="B3714" s="421"/>
      <c r="C3714" s="114"/>
      <c r="D3714" s="757"/>
      <c r="E3714" s="85"/>
      <c r="F3714" s="59">
        <f t="shared" si="226"/>
        <v>0</v>
      </c>
    </row>
    <row r="3715" spans="1:6" ht="12.75" customHeight="1" x14ac:dyDescent="0.2">
      <c r="A3715" s="6"/>
      <c r="B3715" s="421"/>
      <c r="C3715" s="114"/>
      <c r="D3715" s="757"/>
      <c r="E3715" s="85"/>
      <c r="F3715" s="59">
        <f t="shared" si="226"/>
        <v>0</v>
      </c>
    </row>
    <row r="3716" spans="1:6" ht="12.75" customHeight="1" x14ac:dyDescent="0.2">
      <c r="A3716" s="6"/>
      <c r="B3716" s="421"/>
      <c r="C3716" s="114"/>
      <c r="D3716" s="757"/>
      <c r="E3716" s="85"/>
      <c r="F3716" s="59">
        <f t="shared" si="226"/>
        <v>0</v>
      </c>
    </row>
    <row r="3717" spans="1:6" ht="12.75" customHeight="1" x14ac:dyDescent="0.2">
      <c r="A3717" s="6"/>
      <c r="B3717" s="421"/>
      <c r="C3717" s="114"/>
      <c r="D3717" s="757"/>
      <c r="E3717" s="85"/>
      <c r="F3717" s="59">
        <f t="shared" si="226"/>
        <v>0</v>
      </c>
    </row>
    <row r="3718" spans="1:6" ht="12.75" customHeight="1" x14ac:dyDescent="0.2">
      <c r="A3718" s="6"/>
      <c r="B3718" s="421"/>
      <c r="C3718" s="114"/>
      <c r="D3718" s="757"/>
      <c r="E3718" s="85"/>
      <c r="F3718" s="59">
        <f t="shared" si="226"/>
        <v>0</v>
      </c>
    </row>
    <row r="3719" spans="1:6" ht="12.75" customHeight="1" x14ac:dyDescent="0.2">
      <c r="A3719" s="6"/>
      <c r="B3719" s="421"/>
      <c r="C3719" s="114"/>
      <c r="D3719" s="757"/>
      <c r="E3719" s="85"/>
      <c r="F3719" s="59">
        <f t="shared" si="226"/>
        <v>0</v>
      </c>
    </row>
    <row r="3720" spans="1:6" ht="12.75" customHeight="1" x14ac:dyDescent="0.2">
      <c r="A3720" s="6"/>
      <c r="B3720" s="421"/>
      <c r="C3720" s="114"/>
      <c r="D3720" s="758"/>
      <c r="E3720" s="85"/>
      <c r="F3720" s="59">
        <f t="shared" si="226"/>
        <v>0</v>
      </c>
    </row>
    <row r="3721" spans="1:6" ht="12.75" customHeight="1" x14ac:dyDescent="0.2">
      <c r="A3721" s="6"/>
      <c r="B3721" s="421"/>
      <c r="C3721" s="114"/>
      <c r="D3721" s="758"/>
      <c r="E3721" s="85"/>
      <c r="F3721" s="59">
        <f t="shared" si="226"/>
        <v>0</v>
      </c>
    </row>
    <row r="3722" spans="1:6" ht="12.75" customHeight="1" x14ac:dyDescent="0.2">
      <c r="A3722" s="6"/>
      <c r="B3722" s="421"/>
      <c r="C3722" s="114"/>
      <c r="D3722" s="758"/>
      <c r="E3722" s="85"/>
      <c r="F3722" s="59">
        <f t="shared" si="226"/>
        <v>0</v>
      </c>
    </row>
    <row r="3723" spans="1:6" ht="12.75" customHeight="1" x14ac:dyDescent="0.2">
      <c r="A3723" s="3"/>
      <c r="C3723" s="114"/>
      <c r="D3723" s="759"/>
      <c r="E3723" s="85"/>
      <c r="F3723" s="59">
        <f t="shared" si="226"/>
        <v>0</v>
      </c>
    </row>
    <row r="3724" spans="1:6" ht="12.75" customHeight="1" x14ac:dyDescent="0.2">
      <c r="A3724" s="3"/>
      <c r="C3724" s="114"/>
      <c r="D3724" s="759"/>
      <c r="E3724" s="85"/>
      <c r="F3724" s="59">
        <f t="shared" si="226"/>
        <v>0</v>
      </c>
    </row>
    <row r="3725" spans="1:6" ht="12.75" customHeight="1" x14ac:dyDescent="0.2">
      <c r="A3725" s="3"/>
      <c r="B3725" s="86" t="s">
        <v>258</v>
      </c>
      <c r="C3725" s="87"/>
      <c r="D3725" s="88"/>
      <c r="E3725" s="89"/>
      <c r="F3725" s="90">
        <f>SUM(F3709:F3724)</f>
        <v>0</v>
      </c>
    </row>
    <row r="3726" spans="1:6" ht="12.75" customHeight="1" x14ac:dyDescent="0.2">
      <c r="A3726" s="3"/>
      <c r="B3726" s="91" t="s">
        <v>70</v>
      </c>
      <c r="C3726" s="15">
        <f>$D$8</f>
        <v>0</v>
      </c>
      <c r="D3726" s="92"/>
      <c r="E3726" s="93"/>
      <c r="F3726" s="94">
        <f>ROUND(F3725*C3726,2)</f>
        <v>0</v>
      </c>
    </row>
    <row r="3727" spans="1:6" ht="12.75" customHeight="1" x14ac:dyDescent="0.2">
      <c r="A3727" s="95"/>
      <c r="B3727" s="424" t="s">
        <v>259</v>
      </c>
      <c r="C3727" s="425"/>
      <c r="D3727" s="425"/>
      <c r="E3727" s="426"/>
      <c r="F3727" s="96">
        <f>F3725+F3726</f>
        <v>0</v>
      </c>
    </row>
    <row r="3728" spans="1:6" ht="12.75" customHeight="1" x14ac:dyDescent="0.2">
      <c r="A3728" s="1" t="s">
        <v>5</v>
      </c>
      <c r="B3728" s="418" t="s">
        <v>267</v>
      </c>
      <c r="C3728" s="419" t="s">
        <v>263</v>
      </c>
      <c r="D3728" s="419" t="s">
        <v>264</v>
      </c>
      <c r="E3728" s="420" t="s">
        <v>265</v>
      </c>
      <c r="F3728" s="57" t="s">
        <v>266</v>
      </c>
    </row>
    <row r="3729" spans="1:6" ht="12.75" customHeight="1" x14ac:dyDescent="0.2">
      <c r="A3729" s="3"/>
      <c r="B3729" s="71"/>
      <c r="C3729" s="114"/>
      <c r="D3729" s="759"/>
      <c r="E3729" s="85"/>
      <c r="F3729" s="59">
        <f t="shared" ref="F3729:F3738" si="227">ROUND(C3729*E3729,2)</f>
        <v>0</v>
      </c>
    </row>
    <row r="3730" spans="1:6" ht="12.75" customHeight="1" x14ac:dyDescent="0.2">
      <c r="A3730" s="3"/>
      <c r="C3730" s="114"/>
      <c r="D3730" s="759"/>
      <c r="E3730" s="85"/>
      <c r="F3730" s="59">
        <f t="shared" si="227"/>
        <v>0</v>
      </c>
    </row>
    <row r="3731" spans="1:6" ht="12.75" customHeight="1" x14ac:dyDescent="0.2">
      <c r="A3731" s="3"/>
      <c r="C3731" s="114"/>
      <c r="D3731" s="759"/>
      <c r="E3731" s="85"/>
      <c r="F3731" s="59">
        <f t="shared" si="227"/>
        <v>0</v>
      </c>
    </row>
    <row r="3732" spans="1:6" ht="12.75" customHeight="1" x14ac:dyDescent="0.2">
      <c r="A3732" s="3"/>
      <c r="C3732" s="114"/>
      <c r="D3732" s="759"/>
      <c r="E3732" s="85"/>
      <c r="F3732" s="59">
        <f>ROUND(C3732*E3732,2)</f>
        <v>0</v>
      </c>
    </row>
    <row r="3733" spans="1:6" ht="12.75" customHeight="1" x14ac:dyDescent="0.2">
      <c r="A3733" s="3"/>
      <c r="C3733" s="114"/>
      <c r="D3733" s="759"/>
      <c r="E3733" s="85"/>
      <c r="F3733" s="59">
        <f t="shared" si="227"/>
        <v>0</v>
      </c>
    </row>
    <row r="3734" spans="1:6" ht="12.75" customHeight="1" x14ac:dyDescent="0.2">
      <c r="A3734" s="3"/>
      <c r="C3734" s="114"/>
      <c r="D3734" s="759"/>
      <c r="E3734" s="85"/>
      <c r="F3734" s="59">
        <f t="shared" si="227"/>
        <v>0</v>
      </c>
    </row>
    <row r="3735" spans="1:6" ht="12.75" customHeight="1" x14ac:dyDescent="0.2">
      <c r="A3735" s="3"/>
      <c r="C3735" s="114"/>
      <c r="D3735" s="759"/>
      <c r="E3735" s="85"/>
      <c r="F3735" s="59">
        <f t="shared" si="227"/>
        <v>0</v>
      </c>
    </row>
    <row r="3736" spans="1:6" ht="12.75" customHeight="1" x14ac:dyDescent="0.2">
      <c r="A3736" s="3"/>
      <c r="C3736" s="114"/>
      <c r="D3736" s="759"/>
      <c r="E3736" s="85"/>
      <c r="F3736" s="59">
        <f t="shared" si="227"/>
        <v>0</v>
      </c>
    </row>
    <row r="3737" spans="1:6" ht="12.75" customHeight="1" x14ac:dyDescent="0.2">
      <c r="A3737" s="3"/>
      <c r="C3737" s="114"/>
      <c r="D3737" s="759"/>
      <c r="E3737" s="85"/>
      <c r="F3737" s="59">
        <f t="shared" si="227"/>
        <v>0</v>
      </c>
    </row>
    <row r="3738" spans="1:6" ht="12.75" customHeight="1" x14ac:dyDescent="0.2">
      <c r="A3738" s="3"/>
      <c r="C3738" s="114"/>
      <c r="D3738" s="759"/>
      <c r="E3738" s="85"/>
      <c r="F3738" s="59">
        <f t="shared" si="227"/>
        <v>0</v>
      </c>
    </row>
    <row r="3739" spans="1:6" ht="12.75" customHeight="1" x14ac:dyDescent="0.2">
      <c r="A3739" s="3"/>
      <c r="B3739" s="86" t="s">
        <v>258</v>
      </c>
      <c r="C3739" s="87"/>
      <c r="D3739" s="88"/>
      <c r="E3739" s="89"/>
      <c r="F3739" s="90">
        <f>SUM(F3729:F3738)</f>
        <v>0</v>
      </c>
    </row>
    <row r="3740" spans="1:6" ht="12.75" customHeight="1" x14ac:dyDescent="0.2">
      <c r="A3740" s="3"/>
      <c r="B3740" s="91" t="s">
        <v>70</v>
      </c>
      <c r="C3740" s="15">
        <f>$D$8</f>
        <v>0</v>
      </c>
      <c r="D3740" s="92"/>
      <c r="E3740" s="93"/>
      <c r="F3740" s="94">
        <f>ROUND(C3740*F3739,2)</f>
        <v>0</v>
      </c>
    </row>
    <row r="3741" spans="1:6" ht="12.75" customHeight="1" x14ac:dyDescent="0.2">
      <c r="A3741" s="95"/>
      <c r="B3741" s="424" t="s">
        <v>260</v>
      </c>
      <c r="C3741" s="425"/>
      <c r="D3741" s="425"/>
      <c r="E3741" s="426"/>
      <c r="F3741" s="96">
        <f>F3739+F3740</f>
        <v>0</v>
      </c>
    </row>
    <row r="3742" spans="1:6" ht="12.75" customHeight="1" x14ac:dyDescent="0.2">
      <c r="A3742" s="97" t="s">
        <v>54</v>
      </c>
      <c r="B3742" s="427" t="s">
        <v>268</v>
      </c>
      <c r="C3742" s="428" t="s">
        <v>263</v>
      </c>
      <c r="D3742" s="429" t="s">
        <v>264</v>
      </c>
      <c r="E3742" s="430" t="s">
        <v>265</v>
      </c>
      <c r="F3742" s="57" t="s">
        <v>266</v>
      </c>
    </row>
    <row r="3743" spans="1:6" ht="12.75" customHeight="1" x14ac:dyDescent="0.2">
      <c r="A3743" s="3" t="str">
        <f>'A VII.'!$A$181</f>
        <v>3.1</v>
      </c>
      <c r="B3743" s="74" t="str">
        <f>'A VII.'!B181</f>
        <v>AJUDANTE COM ENCARGOS COMPLEMENTARES</v>
      </c>
      <c r="C3743" s="114">
        <v>0.38</v>
      </c>
      <c r="D3743" s="759" t="str">
        <f>'A VII.'!C181</f>
        <v>H</v>
      </c>
      <c r="E3743" s="85">
        <f>'A VII.'!D181</f>
        <v>0</v>
      </c>
      <c r="F3743" s="59">
        <f t="shared" ref="F3743:F3749" si="228">ROUND(C3743*E3743,2)</f>
        <v>0</v>
      </c>
    </row>
    <row r="3744" spans="1:6" ht="12.75" customHeight="1" x14ac:dyDescent="0.2">
      <c r="A3744" s="3" t="str">
        <f>'A VII.'!$A$187</f>
        <v>3.7</v>
      </c>
      <c r="B3744" s="74" t="str">
        <f>'A VII.'!B187</f>
        <v>ENCANADOR COM ENCARGOS COMPLEMENTARES</v>
      </c>
      <c r="C3744" s="114">
        <v>0.38</v>
      </c>
      <c r="D3744" s="759" t="str">
        <f>'A VII.'!C187</f>
        <v>H</v>
      </c>
      <c r="E3744" s="85">
        <f>'A VII.'!D187</f>
        <v>0</v>
      </c>
      <c r="F3744" s="59">
        <f t="shared" si="228"/>
        <v>0</v>
      </c>
    </row>
    <row r="3745" spans="1:6" ht="12.75" customHeight="1" x14ac:dyDescent="0.2">
      <c r="A3745" s="3"/>
      <c r="C3745" s="114"/>
      <c r="D3745" s="759"/>
      <c r="E3745" s="85"/>
      <c r="F3745" s="59">
        <f t="shared" si="228"/>
        <v>0</v>
      </c>
    </row>
    <row r="3746" spans="1:6" ht="12.75" customHeight="1" x14ac:dyDescent="0.2">
      <c r="A3746" s="3"/>
      <c r="C3746" s="114"/>
      <c r="D3746" s="759"/>
      <c r="E3746" s="85"/>
      <c r="F3746" s="59">
        <f t="shared" si="228"/>
        <v>0</v>
      </c>
    </row>
    <row r="3747" spans="1:6" ht="12.75" customHeight="1" x14ac:dyDescent="0.2">
      <c r="A3747" s="3"/>
      <c r="C3747" s="114"/>
      <c r="D3747" s="759"/>
      <c r="E3747" s="85"/>
      <c r="F3747" s="59">
        <f t="shared" si="228"/>
        <v>0</v>
      </c>
    </row>
    <row r="3748" spans="1:6" ht="12.75" customHeight="1" x14ac:dyDescent="0.2">
      <c r="A3748" s="3"/>
      <c r="C3748" s="114"/>
      <c r="D3748" s="759"/>
      <c r="E3748" s="85"/>
      <c r="F3748" s="59">
        <f t="shared" si="228"/>
        <v>0</v>
      </c>
    </row>
    <row r="3749" spans="1:6" ht="12.75" customHeight="1" x14ac:dyDescent="0.2">
      <c r="A3749" s="3"/>
      <c r="C3749" s="114"/>
      <c r="D3749" s="759"/>
      <c r="E3749" s="85"/>
      <c r="F3749" s="59">
        <f t="shared" si="228"/>
        <v>0</v>
      </c>
    </row>
    <row r="3750" spans="1:6" ht="12.75" customHeight="1" x14ac:dyDescent="0.2">
      <c r="A3750" s="3"/>
      <c r="B3750" s="86" t="s">
        <v>258</v>
      </c>
      <c r="C3750" s="87"/>
      <c r="D3750" s="88"/>
      <c r="E3750" s="89"/>
      <c r="F3750" s="90">
        <f>SUM(F3743:F3749)</f>
        <v>0</v>
      </c>
    </row>
    <row r="3751" spans="1:6" ht="12.75" customHeight="1" x14ac:dyDescent="0.2">
      <c r="A3751" s="3"/>
      <c r="B3751" s="91" t="s">
        <v>261</v>
      </c>
      <c r="C3751" s="15">
        <f>'A IX.'!$C$45</f>
        <v>0</v>
      </c>
      <c r="D3751" s="92"/>
      <c r="E3751" s="93"/>
      <c r="F3751" s="94">
        <f>ROUND(F3750*C3751,2)</f>
        <v>0</v>
      </c>
    </row>
    <row r="3752" spans="1:6" ht="12.75" customHeight="1" x14ac:dyDescent="0.2">
      <c r="A3752" s="3"/>
      <c r="B3752" s="91" t="s">
        <v>70</v>
      </c>
      <c r="C3752" s="15">
        <f>$D$8</f>
        <v>0</v>
      </c>
      <c r="D3752" s="92"/>
      <c r="E3752" s="93"/>
      <c r="F3752" s="94">
        <f>ROUND(SUM(F3750:F3751)*C3752,2)</f>
        <v>0</v>
      </c>
    </row>
    <row r="3753" spans="1:6" ht="12.75" customHeight="1" thickBot="1" x14ac:dyDescent="0.25">
      <c r="A3753" s="98"/>
      <c r="B3753" s="99" t="s">
        <v>262</v>
      </c>
      <c r="C3753" s="100"/>
      <c r="D3753" s="100"/>
      <c r="E3753" s="101"/>
      <c r="F3753" s="102">
        <f>SUM(F3750:F3752)</f>
        <v>0</v>
      </c>
    </row>
    <row r="3754" spans="1:6" ht="12.75" customHeight="1" thickBot="1" x14ac:dyDescent="0.25">
      <c r="A3754" s="81"/>
      <c r="B3754" s="82"/>
      <c r="C3754" s="83"/>
      <c r="D3754" s="83"/>
      <c r="E3754" s="84"/>
      <c r="F3754" s="103"/>
    </row>
    <row r="3755" spans="1:6" ht="30" customHeight="1" x14ac:dyDescent="0.2">
      <c r="A3755" s="5" t="str">
        <f>'A IV.A'!A117</f>
        <v>4.4</v>
      </c>
      <c r="B3755" s="416" t="str">
        <f>'A IV.A'!B117</f>
        <v>TUBO PVC RÍGIDO SOLDÁVEL MARROM, DN = 25 MM (3/4'), INCLUSE CONEXÕES</v>
      </c>
      <c r="C3755" s="526" t="s">
        <v>269</v>
      </c>
      <c r="D3755" s="527"/>
      <c r="E3755" s="417" t="str">
        <f>'A IV.A'!C117</f>
        <v>M</v>
      </c>
      <c r="F3755" s="58">
        <f>ROUND(F3775+F3789+F3801,2)</f>
        <v>0</v>
      </c>
    </row>
    <row r="3756" spans="1:6" ht="12.75" customHeight="1" x14ac:dyDescent="0.2">
      <c r="A3756" s="1" t="s">
        <v>17</v>
      </c>
      <c r="B3756" s="418" t="s">
        <v>162</v>
      </c>
      <c r="C3756" s="419" t="s">
        <v>263</v>
      </c>
      <c r="D3756" s="419" t="s">
        <v>264</v>
      </c>
      <c r="E3756" s="420" t="s">
        <v>265</v>
      </c>
      <c r="F3756" s="57" t="s">
        <v>266</v>
      </c>
    </row>
    <row r="3757" spans="1:6" ht="12.75" customHeight="1" x14ac:dyDescent="0.2">
      <c r="A3757" s="6" t="str">
        <f>'A VII.'!$A$11</f>
        <v>1.2</v>
      </c>
      <c r="B3757" s="421" t="str">
        <f>'A VII.'!B11</f>
        <v>ADESIVO PARA TUBO EM PVC - FRASCO 850 GR.</v>
      </c>
      <c r="C3757" s="114">
        <f>0.003*0.85</f>
        <v>2.5500000000000002E-3</v>
      </c>
      <c r="D3757" s="757" t="str">
        <f>'A VII.'!C11</f>
        <v>UN</v>
      </c>
      <c r="E3757" s="85">
        <f>'A VII.'!D11</f>
        <v>0</v>
      </c>
      <c r="F3757" s="59">
        <f>ROUND(C3757*E3757,2)</f>
        <v>0</v>
      </c>
    </row>
    <row r="3758" spans="1:6" ht="12.75" customHeight="1" x14ac:dyDescent="0.2">
      <c r="A3758" s="6" t="str">
        <f>'A VII.'!$A$67</f>
        <v>1.58</v>
      </c>
      <c r="B3758" s="421" t="str">
        <f>'A VII.'!B67</f>
        <v>LIXA D'AGUA EM FOLHA, GRAO 100</v>
      </c>
      <c r="C3758" s="114">
        <v>0.05</v>
      </c>
      <c r="D3758" s="757" t="str">
        <f>'A VII.'!C67</f>
        <v>UN</v>
      </c>
      <c r="E3758" s="85">
        <f>'A VII.'!D67</f>
        <v>0</v>
      </c>
      <c r="F3758" s="59">
        <f>ROUND(C3758*E3758,2)</f>
        <v>0</v>
      </c>
    </row>
    <row r="3759" spans="1:6" ht="12.75" customHeight="1" x14ac:dyDescent="0.2">
      <c r="A3759" s="6" t="str">
        <f>'A VII.'!$A$100</f>
        <v>1.90</v>
      </c>
      <c r="B3759" s="421" t="str">
        <f>'A VII.'!B100</f>
        <v>SOLUCAO LIMPADORA PARA PVC, FRASCO COM 1000 CM3</v>
      </c>
      <c r="C3759" s="114">
        <v>4.0000000000000001E-3</v>
      </c>
      <c r="D3759" s="757" t="str">
        <f>'A VII.'!C100</f>
        <v xml:space="preserve">UN </v>
      </c>
      <c r="E3759" s="85">
        <f>'A VII.'!D100</f>
        <v>0</v>
      </c>
      <c r="F3759" s="59">
        <f t="shared" ref="F3759:F3772" si="229">ROUND(C3759*E3759,2)</f>
        <v>0</v>
      </c>
    </row>
    <row r="3760" spans="1:6" ht="12.75" customHeight="1" x14ac:dyDescent="0.2">
      <c r="A3760" s="6" t="str">
        <f>'A VII.'!$A$115</f>
        <v>1.105</v>
      </c>
      <c r="B3760" s="421" t="str">
        <f>'A VII.'!B115</f>
        <v>TUBO DE PVC RÍGIDO SOLDÁVEL MARROM, DN = 25MM (3/4') - NBR 5648</v>
      </c>
      <c r="C3760" s="114">
        <v>1.5</v>
      </c>
      <c r="D3760" s="757" t="str">
        <f>'A VII.'!C115</f>
        <v>M</v>
      </c>
      <c r="E3760" s="85">
        <f>'A VII.'!D115</f>
        <v>0</v>
      </c>
      <c r="F3760" s="59">
        <f t="shared" si="229"/>
        <v>0</v>
      </c>
    </row>
    <row r="3761" spans="1:6" ht="12.75" customHeight="1" x14ac:dyDescent="0.2">
      <c r="A3761" s="6"/>
      <c r="B3761" s="421"/>
      <c r="C3761" s="114"/>
      <c r="D3761" s="757"/>
      <c r="E3761" s="85"/>
      <c r="F3761" s="59">
        <f t="shared" si="229"/>
        <v>0</v>
      </c>
    </row>
    <row r="3762" spans="1:6" ht="12.75" customHeight="1" x14ac:dyDescent="0.2">
      <c r="A3762" s="6"/>
      <c r="B3762" s="421"/>
      <c r="C3762" s="114"/>
      <c r="D3762" s="757"/>
      <c r="E3762" s="85"/>
      <c r="F3762" s="59">
        <f t="shared" si="229"/>
        <v>0</v>
      </c>
    </row>
    <row r="3763" spans="1:6" ht="12.75" customHeight="1" x14ac:dyDescent="0.2">
      <c r="A3763" s="6"/>
      <c r="B3763" s="421"/>
      <c r="C3763" s="114"/>
      <c r="D3763" s="757"/>
      <c r="E3763" s="85"/>
      <c r="F3763" s="59">
        <f t="shared" si="229"/>
        <v>0</v>
      </c>
    </row>
    <row r="3764" spans="1:6" ht="12.75" customHeight="1" x14ac:dyDescent="0.2">
      <c r="A3764" s="6"/>
      <c r="B3764" s="421"/>
      <c r="C3764" s="114"/>
      <c r="D3764" s="757"/>
      <c r="E3764" s="85"/>
      <c r="F3764" s="59">
        <f t="shared" si="229"/>
        <v>0</v>
      </c>
    </row>
    <row r="3765" spans="1:6" ht="12.75" customHeight="1" x14ac:dyDescent="0.2">
      <c r="A3765" s="6"/>
      <c r="B3765" s="421"/>
      <c r="C3765" s="114"/>
      <c r="D3765" s="757"/>
      <c r="E3765" s="85"/>
      <c r="F3765" s="59">
        <f t="shared" si="229"/>
        <v>0</v>
      </c>
    </row>
    <row r="3766" spans="1:6" ht="12.75" customHeight="1" x14ac:dyDescent="0.2">
      <c r="A3766" s="6"/>
      <c r="B3766" s="421"/>
      <c r="C3766" s="114"/>
      <c r="D3766" s="757"/>
      <c r="E3766" s="85"/>
      <c r="F3766" s="59">
        <f t="shared" si="229"/>
        <v>0</v>
      </c>
    </row>
    <row r="3767" spans="1:6" ht="12.75" customHeight="1" x14ac:dyDescent="0.2">
      <c r="A3767" s="6"/>
      <c r="B3767" s="421"/>
      <c r="C3767" s="114"/>
      <c r="D3767" s="757"/>
      <c r="E3767" s="85"/>
      <c r="F3767" s="59">
        <f t="shared" si="229"/>
        <v>0</v>
      </c>
    </row>
    <row r="3768" spans="1:6" ht="12.75" customHeight="1" x14ac:dyDescent="0.2">
      <c r="A3768" s="6"/>
      <c r="B3768" s="421"/>
      <c r="C3768" s="114"/>
      <c r="D3768" s="758"/>
      <c r="E3768" s="85"/>
      <c r="F3768" s="59">
        <f t="shared" si="229"/>
        <v>0</v>
      </c>
    </row>
    <row r="3769" spans="1:6" ht="12.75" customHeight="1" x14ac:dyDescent="0.2">
      <c r="A3769" s="6"/>
      <c r="B3769" s="421"/>
      <c r="C3769" s="114"/>
      <c r="D3769" s="758"/>
      <c r="E3769" s="85"/>
      <c r="F3769" s="59">
        <f t="shared" si="229"/>
        <v>0</v>
      </c>
    </row>
    <row r="3770" spans="1:6" ht="12.75" customHeight="1" x14ac:dyDescent="0.2">
      <c r="A3770" s="6"/>
      <c r="B3770" s="421"/>
      <c r="C3770" s="114"/>
      <c r="D3770" s="758"/>
      <c r="E3770" s="85"/>
      <c r="F3770" s="59">
        <f t="shared" si="229"/>
        <v>0</v>
      </c>
    </row>
    <row r="3771" spans="1:6" ht="12.75" customHeight="1" x14ac:dyDescent="0.2">
      <c r="A3771" s="3"/>
      <c r="C3771" s="114"/>
      <c r="D3771" s="759"/>
      <c r="E3771" s="85"/>
      <c r="F3771" s="59">
        <f t="shared" si="229"/>
        <v>0</v>
      </c>
    </row>
    <row r="3772" spans="1:6" ht="12.75" customHeight="1" x14ac:dyDescent="0.2">
      <c r="A3772" s="3"/>
      <c r="C3772" s="114"/>
      <c r="D3772" s="759"/>
      <c r="E3772" s="85"/>
      <c r="F3772" s="59">
        <f t="shared" si="229"/>
        <v>0</v>
      </c>
    </row>
    <row r="3773" spans="1:6" ht="12.75" customHeight="1" x14ac:dyDescent="0.2">
      <c r="A3773" s="3"/>
      <c r="B3773" s="86" t="s">
        <v>258</v>
      </c>
      <c r="C3773" s="87"/>
      <c r="D3773" s="88"/>
      <c r="E3773" s="89"/>
      <c r="F3773" s="90">
        <f>SUM(F3757:F3772)</f>
        <v>0</v>
      </c>
    </row>
    <row r="3774" spans="1:6" ht="12.75" customHeight="1" x14ac:dyDescent="0.2">
      <c r="A3774" s="3"/>
      <c r="B3774" s="91" t="s">
        <v>70</v>
      </c>
      <c r="C3774" s="15">
        <f>$D$8</f>
        <v>0</v>
      </c>
      <c r="D3774" s="92"/>
      <c r="E3774" s="93"/>
      <c r="F3774" s="94">
        <f>ROUND(F3773*C3774,2)</f>
        <v>0</v>
      </c>
    </row>
    <row r="3775" spans="1:6" ht="12.75" customHeight="1" x14ac:dyDescent="0.2">
      <c r="A3775" s="95"/>
      <c r="B3775" s="424" t="s">
        <v>259</v>
      </c>
      <c r="C3775" s="425"/>
      <c r="D3775" s="425"/>
      <c r="E3775" s="426"/>
      <c r="F3775" s="96">
        <f>F3773+F3774</f>
        <v>0</v>
      </c>
    </row>
    <row r="3776" spans="1:6" ht="12.75" customHeight="1" x14ac:dyDescent="0.2">
      <c r="A3776" s="1" t="s">
        <v>5</v>
      </c>
      <c r="B3776" s="418" t="s">
        <v>267</v>
      </c>
      <c r="C3776" s="419" t="s">
        <v>263</v>
      </c>
      <c r="D3776" s="419" t="s">
        <v>264</v>
      </c>
      <c r="E3776" s="420" t="s">
        <v>265</v>
      </c>
      <c r="F3776" s="57" t="s">
        <v>266</v>
      </c>
    </row>
    <row r="3777" spans="1:6" ht="12.75" customHeight="1" x14ac:dyDescent="0.2">
      <c r="A3777" s="3"/>
      <c r="B3777" s="71"/>
      <c r="C3777" s="114"/>
      <c r="D3777" s="759"/>
      <c r="E3777" s="85"/>
      <c r="F3777" s="59">
        <f t="shared" ref="F3777:F3786" si="230">ROUND(C3777*E3777,2)</f>
        <v>0</v>
      </c>
    </row>
    <row r="3778" spans="1:6" ht="12.75" customHeight="1" x14ac:dyDescent="0.2">
      <c r="A3778" s="3"/>
      <c r="C3778" s="114"/>
      <c r="D3778" s="759"/>
      <c r="E3778" s="85"/>
      <c r="F3778" s="59">
        <f t="shared" si="230"/>
        <v>0</v>
      </c>
    </row>
    <row r="3779" spans="1:6" ht="12.75" customHeight="1" x14ac:dyDescent="0.2">
      <c r="A3779" s="3"/>
      <c r="C3779" s="114"/>
      <c r="D3779" s="759"/>
      <c r="E3779" s="85"/>
      <c r="F3779" s="59">
        <f t="shared" si="230"/>
        <v>0</v>
      </c>
    </row>
    <row r="3780" spans="1:6" ht="12.75" customHeight="1" x14ac:dyDescent="0.2">
      <c r="A3780" s="3"/>
      <c r="C3780" s="114"/>
      <c r="D3780" s="759"/>
      <c r="E3780" s="85"/>
      <c r="F3780" s="59">
        <f t="shared" si="230"/>
        <v>0</v>
      </c>
    </row>
    <row r="3781" spans="1:6" ht="12.75" customHeight="1" x14ac:dyDescent="0.2">
      <c r="A3781" s="3"/>
      <c r="C3781" s="114"/>
      <c r="D3781" s="759"/>
      <c r="E3781" s="85"/>
      <c r="F3781" s="59">
        <f>ROUND(C3781*E3781,2)</f>
        <v>0</v>
      </c>
    </row>
    <row r="3782" spans="1:6" ht="12.75" customHeight="1" x14ac:dyDescent="0.2">
      <c r="A3782" s="3"/>
      <c r="C3782" s="114"/>
      <c r="D3782" s="759"/>
      <c r="E3782" s="85"/>
      <c r="F3782" s="59">
        <f t="shared" si="230"/>
        <v>0</v>
      </c>
    </row>
    <row r="3783" spans="1:6" ht="12.75" customHeight="1" x14ac:dyDescent="0.2">
      <c r="A3783" s="3"/>
      <c r="C3783" s="114"/>
      <c r="D3783" s="759"/>
      <c r="E3783" s="85"/>
      <c r="F3783" s="59">
        <f t="shared" si="230"/>
        <v>0</v>
      </c>
    </row>
    <row r="3784" spans="1:6" ht="12.75" customHeight="1" x14ac:dyDescent="0.2">
      <c r="A3784" s="3"/>
      <c r="C3784" s="114"/>
      <c r="D3784" s="759"/>
      <c r="E3784" s="85"/>
      <c r="F3784" s="59">
        <f t="shared" si="230"/>
        <v>0</v>
      </c>
    </row>
    <row r="3785" spans="1:6" ht="12.75" customHeight="1" x14ac:dyDescent="0.2">
      <c r="A3785" s="3"/>
      <c r="C3785" s="114"/>
      <c r="D3785" s="759"/>
      <c r="E3785" s="85"/>
      <c r="F3785" s="59">
        <f t="shared" si="230"/>
        <v>0</v>
      </c>
    </row>
    <row r="3786" spans="1:6" ht="12.75" customHeight="1" x14ac:dyDescent="0.2">
      <c r="A3786" s="3"/>
      <c r="C3786" s="114"/>
      <c r="D3786" s="759"/>
      <c r="E3786" s="85"/>
      <c r="F3786" s="59">
        <f t="shared" si="230"/>
        <v>0</v>
      </c>
    </row>
    <row r="3787" spans="1:6" ht="12.75" customHeight="1" x14ac:dyDescent="0.2">
      <c r="A3787" s="3"/>
      <c r="B3787" s="86" t="s">
        <v>258</v>
      </c>
      <c r="C3787" s="87"/>
      <c r="D3787" s="88"/>
      <c r="E3787" s="89"/>
      <c r="F3787" s="90">
        <f>SUM(F3777:F3786)</f>
        <v>0</v>
      </c>
    </row>
    <row r="3788" spans="1:6" ht="12.75" customHeight="1" x14ac:dyDescent="0.2">
      <c r="A3788" s="3"/>
      <c r="B3788" s="91" t="s">
        <v>70</v>
      </c>
      <c r="C3788" s="15">
        <f>$D$8</f>
        <v>0</v>
      </c>
      <c r="D3788" s="92"/>
      <c r="E3788" s="93"/>
      <c r="F3788" s="94">
        <f>ROUND(C3788*F3787,2)</f>
        <v>0</v>
      </c>
    </row>
    <row r="3789" spans="1:6" ht="12.75" customHeight="1" x14ac:dyDescent="0.2">
      <c r="A3789" s="95"/>
      <c r="B3789" s="424" t="s">
        <v>260</v>
      </c>
      <c r="C3789" s="425"/>
      <c r="D3789" s="425"/>
      <c r="E3789" s="426"/>
      <c r="F3789" s="96">
        <f>F3787+F3788</f>
        <v>0</v>
      </c>
    </row>
    <row r="3790" spans="1:6" ht="12.75" customHeight="1" x14ac:dyDescent="0.2">
      <c r="A3790" s="97" t="s">
        <v>54</v>
      </c>
      <c r="B3790" s="427" t="s">
        <v>268</v>
      </c>
      <c r="C3790" s="428" t="s">
        <v>263</v>
      </c>
      <c r="D3790" s="429" t="s">
        <v>264</v>
      </c>
      <c r="E3790" s="430" t="s">
        <v>265</v>
      </c>
      <c r="F3790" s="57" t="s">
        <v>266</v>
      </c>
    </row>
    <row r="3791" spans="1:6" ht="12.75" customHeight="1" x14ac:dyDescent="0.2">
      <c r="A3791" s="3" t="str">
        <f>'A VII.'!$A$181</f>
        <v>3.1</v>
      </c>
      <c r="B3791" s="74" t="str">
        <f>'A VII.'!B181</f>
        <v>AJUDANTE COM ENCARGOS COMPLEMENTARES</v>
      </c>
      <c r="C3791" s="114">
        <v>0.5</v>
      </c>
      <c r="D3791" s="759" t="str">
        <f>'A VII.'!C181</f>
        <v>H</v>
      </c>
      <c r="E3791" s="85">
        <f>'A VII.'!D181</f>
        <v>0</v>
      </c>
      <c r="F3791" s="59">
        <f t="shared" ref="F3791:F3797" si="231">ROUND(C3791*E3791,2)</f>
        <v>0</v>
      </c>
    </row>
    <row r="3792" spans="1:6" ht="12.75" customHeight="1" x14ac:dyDescent="0.2">
      <c r="A3792" s="3" t="str">
        <f>'A VII.'!$A$187</f>
        <v>3.7</v>
      </c>
      <c r="B3792" s="74" t="str">
        <f>'A VII.'!B187</f>
        <v>ENCANADOR COM ENCARGOS COMPLEMENTARES</v>
      </c>
      <c r="C3792" s="114">
        <v>0.5</v>
      </c>
      <c r="D3792" s="759" t="str">
        <f>'A VII.'!C187</f>
        <v>H</v>
      </c>
      <c r="E3792" s="85">
        <f>'A VII.'!D187</f>
        <v>0</v>
      </c>
      <c r="F3792" s="59">
        <f t="shared" si="231"/>
        <v>0</v>
      </c>
    </row>
    <row r="3793" spans="1:6" ht="12.75" customHeight="1" x14ac:dyDescent="0.2">
      <c r="A3793" s="3"/>
      <c r="C3793" s="114"/>
      <c r="D3793" s="759"/>
      <c r="E3793" s="85"/>
      <c r="F3793" s="59">
        <f t="shared" si="231"/>
        <v>0</v>
      </c>
    </row>
    <row r="3794" spans="1:6" ht="12.75" customHeight="1" x14ac:dyDescent="0.2">
      <c r="A3794" s="3"/>
      <c r="C3794" s="114"/>
      <c r="D3794" s="759"/>
      <c r="E3794" s="85"/>
      <c r="F3794" s="59">
        <f t="shared" si="231"/>
        <v>0</v>
      </c>
    </row>
    <row r="3795" spans="1:6" ht="12.75" customHeight="1" x14ac:dyDescent="0.2">
      <c r="A3795" s="3"/>
      <c r="C3795" s="114"/>
      <c r="D3795" s="759"/>
      <c r="E3795" s="85"/>
      <c r="F3795" s="59">
        <f t="shared" si="231"/>
        <v>0</v>
      </c>
    </row>
    <row r="3796" spans="1:6" ht="12.75" customHeight="1" x14ac:dyDescent="0.2">
      <c r="A3796" s="3"/>
      <c r="C3796" s="114"/>
      <c r="D3796" s="759"/>
      <c r="E3796" s="85"/>
      <c r="F3796" s="59">
        <f t="shared" si="231"/>
        <v>0</v>
      </c>
    </row>
    <row r="3797" spans="1:6" ht="12.75" customHeight="1" x14ac:dyDescent="0.2">
      <c r="A3797" s="3"/>
      <c r="C3797" s="114"/>
      <c r="D3797" s="759"/>
      <c r="E3797" s="85"/>
      <c r="F3797" s="59">
        <f t="shared" si="231"/>
        <v>0</v>
      </c>
    </row>
    <row r="3798" spans="1:6" ht="12.75" customHeight="1" x14ac:dyDescent="0.2">
      <c r="A3798" s="3"/>
      <c r="B3798" s="86" t="s">
        <v>258</v>
      </c>
      <c r="C3798" s="87"/>
      <c r="D3798" s="88"/>
      <c r="E3798" s="89"/>
      <c r="F3798" s="90">
        <f>SUM(F3791:F3797)</f>
        <v>0</v>
      </c>
    </row>
    <row r="3799" spans="1:6" ht="12.75" customHeight="1" x14ac:dyDescent="0.2">
      <c r="A3799" s="3"/>
      <c r="B3799" s="91" t="s">
        <v>261</v>
      </c>
      <c r="C3799" s="15">
        <f>'A IX.'!$C$45</f>
        <v>0</v>
      </c>
      <c r="D3799" s="92"/>
      <c r="E3799" s="93"/>
      <c r="F3799" s="94">
        <f>ROUND(F3798*C3799,2)</f>
        <v>0</v>
      </c>
    </row>
    <row r="3800" spans="1:6" ht="12.75" customHeight="1" x14ac:dyDescent="0.2">
      <c r="A3800" s="3"/>
      <c r="B3800" s="91" t="s">
        <v>70</v>
      </c>
      <c r="C3800" s="15">
        <f>$D$8</f>
        <v>0</v>
      </c>
      <c r="D3800" s="92"/>
      <c r="E3800" s="93"/>
      <c r="F3800" s="94">
        <f>ROUND(SUM(F3798:F3799)*C3800,2)</f>
        <v>0</v>
      </c>
    </row>
    <row r="3801" spans="1:6" ht="12.75" customHeight="1" thickBot="1" x14ac:dyDescent="0.25">
      <c r="A3801" s="98"/>
      <c r="B3801" s="99" t="s">
        <v>262</v>
      </c>
      <c r="C3801" s="100"/>
      <c r="D3801" s="100"/>
      <c r="E3801" s="101"/>
      <c r="F3801" s="102">
        <f>SUM(F3798:F3800)</f>
        <v>0</v>
      </c>
    </row>
    <row r="3802" spans="1:6" ht="12.75" customHeight="1" thickBot="1" x14ac:dyDescent="0.25">
      <c r="A3802" s="81"/>
      <c r="B3802" s="82"/>
      <c r="C3802" s="83"/>
      <c r="D3802" s="83"/>
      <c r="E3802" s="84"/>
      <c r="F3802" s="103"/>
    </row>
    <row r="3803" spans="1:6" ht="30" customHeight="1" x14ac:dyDescent="0.2">
      <c r="A3803" s="5" t="str">
        <f>'A IV.A'!A118</f>
        <v>4.5</v>
      </c>
      <c r="B3803" s="416" t="str">
        <f>'A IV.A'!B118</f>
        <v>TUBO PVC RÍGIDO SOLDÁVEL MARROM, DN = 40 MM (1.1/4'), INCLUSE CONEXÕES</v>
      </c>
      <c r="C3803" s="526" t="s">
        <v>269</v>
      </c>
      <c r="D3803" s="527"/>
      <c r="E3803" s="417" t="str">
        <f>'A IV.A'!C118</f>
        <v>M</v>
      </c>
      <c r="F3803" s="58">
        <f>ROUND(F3823+F3837+F3849,2)</f>
        <v>0</v>
      </c>
    </row>
    <row r="3804" spans="1:6" ht="12.75" customHeight="1" x14ac:dyDescent="0.2">
      <c r="A3804" s="1" t="s">
        <v>17</v>
      </c>
      <c r="B3804" s="418" t="s">
        <v>162</v>
      </c>
      <c r="C3804" s="419" t="s">
        <v>263</v>
      </c>
      <c r="D3804" s="419" t="s">
        <v>264</v>
      </c>
      <c r="E3804" s="420" t="s">
        <v>265</v>
      </c>
      <c r="F3804" s="57" t="s">
        <v>266</v>
      </c>
    </row>
    <row r="3805" spans="1:6" ht="12.75" customHeight="1" x14ac:dyDescent="0.2">
      <c r="A3805" s="6" t="str">
        <f>'A VII.'!$A$11</f>
        <v>1.2</v>
      </c>
      <c r="B3805" s="421" t="str">
        <f>'A VII.'!B11</f>
        <v>ADESIVO PARA TUBO EM PVC - FRASCO 850 GR.</v>
      </c>
      <c r="C3805" s="114">
        <f>0.005*0.85</f>
        <v>4.2500000000000003E-3</v>
      </c>
      <c r="D3805" s="757" t="str">
        <f>'A VII.'!C11</f>
        <v>UN</v>
      </c>
      <c r="E3805" s="85">
        <f>'A VII.'!D11</f>
        <v>0</v>
      </c>
      <c r="F3805" s="59">
        <f>ROUND(C3805*E3805,2)</f>
        <v>0</v>
      </c>
    </row>
    <row r="3806" spans="1:6" ht="12.75" customHeight="1" x14ac:dyDescent="0.2">
      <c r="A3806" s="6" t="str">
        <f>'A VII.'!$A$67</f>
        <v>1.58</v>
      </c>
      <c r="B3806" s="421" t="str">
        <f>'A VII.'!B67</f>
        <v>LIXA D'AGUA EM FOLHA, GRAO 100</v>
      </c>
      <c r="C3806" s="114">
        <v>7.0000000000000007E-2</v>
      </c>
      <c r="D3806" s="757" t="str">
        <f>'A VII.'!C67</f>
        <v>UN</v>
      </c>
      <c r="E3806" s="85">
        <f>'A VII.'!D67</f>
        <v>0</v>
      </c>
      <c r="F3806" s="59">
        <f>ROUND(C3806*E3806,2)</f>
        <v>0</v>
      </c>
    </row>
    <row r="3807" spans="1:6" ht="12.75" customHeight="1" x14ac:dyDescent="0.2">
      <c r="A3807" s="6" t="str">
        <f>'A VII.'!$A$100</f>
        <v>1.90</v>
      </c>
      <c r="B3807" s="421" t="str">
        <f>'A VII.'!B100</f>
        <v>SOLUCAO LIMPADORA PARA PVC, FRASCO COM 1000 CM3</v>
      </c>
      <c r="C3807" s="114">
        <v>7.0000000000000001E-3</v>
      </c>
      <c r="D3807" s="757" t="str">
        <f>'A VII.'!C100</f>
        <v xml:space="preserve">UN </v>
      </c>
      <c r="E3807" s="85">
        <f>'A VII.'!D100</f>
        <v>0</v>
      </c>
      <c r="F3807" s="59">
        <f t="shared" ref="F3807:F3820" si="232">ROUND(C3807*E3807,2)</f>
        <v>0</v>
      </c>
    </row>
    <row r="3808" spans="1:6" ht="12.75" customHeight="1" x14ac:dyDescent="0.2">
      <c r="A3808" s="6" t="str">
        <f>'A VII.'!$A$116</f>
        <v>1.106</v>
      </c>
      <c r="B3808" s="421" t="str">
        <f>'A VII.'!B116</f>
        <v>TUBO DE PVC RÍGIDO SOLDÁVEL MARROM, DN = 40MM (1.1/4') - NBR 5648</v>
      </c>
      <c r="C3808" s="114">
        <v>1.5</v>
      </c>
      <c r="D3808" s="757" t="str">
        <f>'A VII.'!C116</f>
        <v>M</v>
      </c>
      <c r="E3808" s="85">
        <f>'A VII.'!D116</f>
        <v>0</v>
      </c>
      <c r="F3808" s="59">
        <f t="shared" si="232"/>
        <v>0</v>
      </c>
    </row>
    <row r="3809" spans="1:6" ht="12.75" customHeight="1" x14ac:dyDescent="0.2">
      <c r="A3809" s="6"/>
      <c r="B3809" s="421"/>
      <c r="C3809" s="114"/>
      <c r="D3809" s="757"/>
      <c r="E3809" s="85"/>
      <c r="F3809" s="59">
        <f t="shared" si="232"/>
        <v>0</v>
      </c>
    </row>
    <row r="3810" spans="1:6" ht="12.75" customHeight="1" x14ac:dyDescent="0.2">
      <c r="A3810" s="6"/>
      <c r="B3810" s="421"/>
      <c r="C3810" s="114"/>
      <c r="D3810" s="757"/>
      <c r="E3810" s="85"/>
      <c r="F3810" s="59">
        <f t="shared" si="232"/>
        <v>0</v>
      </c>
    </row>
    <row r="3811" spans="1:6" ht="12.75" customHeight="1" x14ac:dyDescent="0.2">
      <c r="A3811" s="6"/>
      <c r="B3811" s="421"/>
      <c r="C3811" s="114"/>
      <c r="D3811" s="757"/>
      <c r="E3811" s="85"/>
      <c r="F3811" s="59">
        <f t="shared" si="232"/>
        <v>0</v>
      </c>
    </row>
    <row r="3812" spans="1:6" ht="12.75" customHeight="1" x14ac:dyDescent="0.2">
      <c r="A3812" s="6"/>
      <c r="B3812" s="421"/>
      <c r="C3812" s="114"/>
      <c r="D3812" s="757"/>
      <c r="E3812" s="85"/>
      <c r="F3812" s="59">
        <f t="shared" si="232"/>
        <v>0</v>
      </c>
    </row>
    <row r="3813" spans="1:6" ht="12.75" customHeight="1" x14ac:dyDescent="0.2">
      <c r="A3813" s="6"/>
      <c r="B3813" s="421"/>
      <c r="C3813" s="114"/>
      <c r="D3813" s="757"/>
      <c r="E3813" s="85"/>
      <c r="F3813" s="59">
        <f t="shared" si="232"/>
        <v>0</v>
      </c>
    </row>
    <row r="3814" spans="1:6" ht="12.75" customHeight="1" x14ac:dyDescent="0.2">
      <c r="A3814" s="6"/>
      <c r="B3814" s="421"/>
      <c r="C3814" s="114"/>
      <c r="D3814" s="757"/>
      <c r="E3814" s="85"/>
      <c r="F3814" s="59">
        <f t="shared" si="232"/>
        <v>0</v>
      </c>
    </row>
    <row r="3815" spans="1:6" ht="12.75" customHeight="1" x14ac:dyDescent="0.2">
      <c r="A3815" s="6"/>
      <c r="B3815" s="421"/>
      <c r="C3815" s="114"/>
      <c r="D3815" s="757"/>
      <c r="E3815" s="85"/>
      <c r="F3815" s="59">
        <f t="shared" si="232"/>
        <v>0</v>
      </c>
    </row>
    <row r="3816" spans="1:6" ht="12.75" customHeight="1" x14ac:dyDescent="0.2">
      <c r="A3816" s="6"/>
      <c r="B3816" s="421"/>
      <c r="C3816" s="114"/>
      <c r="D3816" s="758"/>
      <c r="E3816" s="85"/>
      <c r="F3816" s="59">
        <f t="shared" si="232"/>
        <v>0</v>
      </c>
    </row>
    <row r="3817" spans="1:6" ht="12.75" customHeight="1" x14ac:dyDescent="0.2">
      <c r="A3817" s="6"/>
      <c r="B3817" s="421"/>
      <c r="C3817" s="114"/>
      <c r="D3817" s="758"/>
      <c r="E3817" s="85"/>
      <c r="F3817" s="59">
        <f t="shared" si="232"/>
        <v>0</v>
      </c>
    </row>
    <row r="3818" spans="1:6" ht="12.75" customHeight="1" x14ac:dyDescent="0.2">
      <c r="A3818" s="6"/>
      <c r="B3818" s="421"/>
      <c r="C3818" s="114"/>
      <c r="D3818" s="758"/>
      <c r="E3818" s="85"/>
      <c r="F3818" s="59">
        <f t="shared" si="232"/>
        <v>0</v>
      </c>
    </row>
    <row r="3819" spans="1:6" ht="12.75" customHeight="1" x14ac:dyDescent="0.2">
      <c r="A3819" s="3"/>
      <c r="C3819" s="114"/>
      <c r="D3819" s="759"/>
      <c r="E3819" s="85"/>
      <c r="F3819" s="59">
        <f t="shared" si="232"/>
        <v>0</v>
      </c>
    </row>
    <row r="3820" spans="1:6" ht="12.75" customHeight="1" x14ac:dyDescent="0.2">
      <c r="A3820" s="3"/>
      <c r="C3820" s="114"/>
      <c r="D3820" s="759"/>
      <c r="E3820" s="85"/>
      <c r="F3820" s="59">
        <f t="shared" si="232"/>
        <v>0</v>
      </c>
    </row>
    <row r="3821" spans="1:6" ht="12.75" customHeight="1" x14ac:dyDescent="0.2">
      <c r="A3821" s="3"/>
      <c r="B3821" s="86" t="s">
        <v>258</v>
      </c>
      <c r="C3821" s="87"/>
      <c r="D3821" s="88"/>
      <c r="E3821" s="89"/>
      <c r="F3821" s="90">
        <f>SUM(F3805:F3820)</f>
        <v>0</v>
      </c>
    </row>
    <row r="3822" spans="1:6" ht="12.75" customHeight="1" x14ac:dyDescent="0.2">
      <c r="A3822" s="3"/>
      <c r="B3822" s="91" t="s">
        <v>70</v>
      </c>
      <c r="C3822" s="15">
        <f>$D$8</f>
        <v>0</v>
      </c>
      <c r="D3822" s="92"/>
      <c r="E3822" s="93"/>
      <c r="F3822" s="94">
        <f>ROUND(F3821*C3822,2)</f>
        <v>0</v>
      </c>
    </row>
    <row r="3823" spans="1:6" ht="12.75" customHeight="1" x14ac:dyDescent="0.2">
      <c r="A3823" s="95"/>
      <c r="B3823" s="424" t="s">
        <v>259</v>
      </c>
      <c r="C3823" s="425"/>
      <c r="D3823" s="425"/>
      <c r="E3823" s="426"/>
      <c r="F3823" s="96">
        <f>F3821+F3822</f>
        <v>0</v>
      </c>
    </row>
    <row r="3824" spans="1:6" ht="12.75" customHeight="1" x14ac:dyDescent="0.2">
      <c r="A3824" s="1" t="s">
        <v>5</v>
      </c>
      <c r="B3824" s="418" t="s">
        <v>267</v>
      </c>
      <c r="C3824" s="419" t="s">
        <v>263</v>
      </c>
      <c r="D3824" s="419" t="s">
        <v>264</v>
      </c>
      <c r="E3824" s="420" t="s">
        <v>265</v>
      </c>
      <c r="F3824" s="57" t="s">
        <v>266</v>
      </c>
    </row>
    <row r="3825" spans="1:6" ht="12.75" customHeight="1" x14ac:dyDescent="0.2">
      <c r="A3825" s="3"/>
      <c r="B3825" s="71"/>
      <c r="C3825" s="114"/>
      <c r="D3825" s="759"/>
      <c r="E3825" s="85"/>
      <c r="F3825" s="59">
        <f t="shared" ref="F3825:F3834" si="233">ROUND(C3825*E3825,2)</f>
        <v>0</v>
      </c>
    </row>
    <row r="3826" spans="1:6" ht="12.75" customHeight="1" x14ac:dyDescent="0.2">
      <c r="A3826" s="3"/>
      <c r="C3826" s="114"/>
      <c r="D3826" s="759"/>
      <c r="E3826" s="85"/>
      <c r="F3826" s="59">
        <f t="shared" si="233"/>
        <v>0</v>
      </c>
    </row>
    <row r="3827" spans="1:6" ht="12.75" customHeight="1" x14ac:dyDescent="0.2">
      <c r="A3827" s="3"/>
      <c r="C3827" s="114"/>
      <c r="D3827" s="759"/>
      <c r="E3827" s="85"/>
      <c r="F3827" s="59">
        <f t="shared" si="233"/>
        <v>0</v>
      </c>
    </row>
    <row r="3828" spans="1:6" ht="12.75" customHeight="1" x14ac:dyDescent="0.2">
      <c r="A3828" s="3"/>
      <c r="C3828" s="114"/>
      <c r="D3828" s="759"/>
      <c r="E3828" s="85"/>
      <c r="F3828" s="59">
        <f t="shared" si="233"/>
        <v>0</v>
      </c>
    </row>
    <row r="3829" spans="1:6" ht="12.75" customHeight="1" x14ac:dyDescent="0.2">
      <c r="A3829" s="3"/>
      <c r="C3829" s="114"/>
      <c r="D3829" s="759"/>
      <c r="E3829" s="85"/>
      <c r="F3829" s="59">
        <f t="shared" si="233"/>
        <v>0</v>
      </c>
    </row>
    <row r="3830" spans="1:6" ht="12.75" customHeight="1" x14ac:dyDescent="0.2">
      <c r="A3830" s="3"/>
      <c r="C3830" s="114"/>
      <c r="D3830" s="759"/>
      <c r="E3830" s="85"/>
      <c r="F3830" s="59">
        <f>ROUND(C3830*E3830,2)</f>
        <v>0</v>
      </c>
    </row>
    <row r="3831" spans="1:6" ht="12.75" customHeight="1" x14ac:dyDescent="0.2">
      <c r="A3831" s="3"/>
      <c r="C3831" s="114"/>
      <c r="D3831" s="759"/>
      <c r="E3831" s="85"/>
      <c r="F3831" s="59">
        <f t="shared" si="233"/>
        <v>0</v>
      </c>
    </row>
    <row r="3832" spans="1:6" ht="12.75" customHeight="1" x14ac:dyDescent="0.2">
      <c r="A3832" s="3"/>
      <c r="C3832" s="114"/>
      <c r="D3832" s="759"/>
      <c r="E3832" s="85"/>
      <c r="F3832" s="59">
        <f t="shared" si="233"/>
        <v>0</v>
      </c>
    </row>
    <row r="3833" spans="1:6" ht="12.75" customHeight="1" x14ac:dyDescent="0.2">
      <c r="A3833" s="3"/>
      <c r="C3833" s="114"/>
      <c r="D3833" s="759"/>
      <c r="E3833" s="85"/>
      <c r="F3833" s="59">
        <f t="shared" si="233"/>
        <v>0</v>
      </c>
    </row>
    <row r="3834" spans="1:6" ht="12.75" customHeight="1" x14ac:dyDescent="0.2">
      <c r="A3834" s="3"/>
      <c r="C3834" s="114"/>
      <c r="D3834" s="759"/>
      <c r="E3834" s="85"/>
      <c r="F3834" s="59">
        <f t="shared" si="233"/>
        <v>0</v>
      </c>
    </row>
    <row r="3835" spans="1:6" ht="12.75" customHeight="1" x14ac:dyDescent="0.2">
      <c r="A3835" s="3"/>
      <c r="B3835" s="86" t="s">
        <v>258</v>
      </c>
      <c r="C3835" s="87"/>
      <c r="D3835" s="88"/>
      <c r="E3835" s="89"/>
      <c r="F3835" s="90">
        <f>SUM(F3825:F3834)</f>
        <v>0</v>
      </c>
    </row>
    <row r="3836" spans="1:6" ht="12.75" customHeight="1" x14ac:dyDescent="0.2">
      <c r="A3836" s="3"/>
      <c r="B3836" s="91" t="s">
        <v>70</v>
      </c>
      <c r="C3836" s="15">
        <f>$D$8</f>
        <v>0</v>
      </c>
      <c r="D3836" s="92"/>
      <c r="E3836" s="93"/>
      <c r="F3836" s="94">
        <f>ROUND(C3836*F3835,2)</f>
        <v>0</v>
      </c>
    </row>
    <row r="3837" spans="1:6" ht="12.75" customHeight="1" x14ac:dyDescent="0.2">
      <c r="A3837" s="95"/>
      <c r="B3837" s="424" t="s">
        <v>260</v>
      </c>
      <c r="C3837" s="425"/>
      <c r="D3837" s="425"/>
      <c r="E3837" s="426"/>
      <c r="F3837" s="96">
        <f>F3835+F3836</f>
        <v>0</v>
      </c>
    </row>
    <row r="3838" spans="1:6" ht="12.75" customHeight="1" x14ac:dyDescent="0.2">
      <c r="A3838" s="97" t="s">
        <v>54</v>
      </c>
      <c r="B3838" s="427" t="s">
        <v>268</v>
      </c>
      <c r="C3838" s="428" t="s">
        <v>263</v>
      </c>
      <c r="D3838" s="429" t="s">
        <v>264</v>
      </c>
      <c r="E3838" s="430" t="s">
        <v>265</v>
      </c>
      <c r="F3838" s="57" t="s">
        <v>266</v>
      </c>
    </row>
    <row r="3839" spans="1:6" ht="12.75" customHeight="1" x14ac:dyDescent="0.2">
      <c r="A3839" s="3" t="str">
        <f>'A VII.'!$A$181</f>
        <v>3.1</v>
      </c>
      <c r="B3839" s="74" t="str">
        <f>'A VII.'!B181</f>
        <v>AJUDANTE COM ENCARGOS COMPLEMENTARES</v>
      </c>
      <c r="C3839" s="114">
        <v>0.5</v>
      </c>
      <c r="D3839" s="759" t="str">
        <f>'A VII.'!C181</f>
        <v>H</v>
      </c>
      <c r="E3839" s="85">
        <f>'A VII.'!D181</f>
        <v>0</v>
      </c>
      <c r="F3839" s="59">
        <f t="shared" ref="F3839:F3845" si="234">ROUND(C3839*E3839,2)</f>
        <v>0</v>
      </c>
    </row>
    <row r="3840" spans="1:6" ht="12.75" customHeight="1" x14ac:dyDescent="0.2">
      <c r="A3840" s="3" t="str">
        <f>'A VII.'!$A$187</f>
        <v>3.7</v>
      </c>
      <c r="B3840" s="74" t="str">
        <f>'A VII.'!B187</f>
        <v>ENCANADOR COM ENCARGOS COMPLEMENTARES</v>
      </c>
      <c r="C3840" s="114">
        <v>0.5</v>
      </c>
      <c r="D3840" s="759" t="str">
        <f>'A VII.'!C187</f>
        <v>H</v>
      </c>
      <c r="E3840" s="85">
        <f>'A VII.'!D187</f>
        <v>0</v>
      </c>
      <c r="F3840" s="59">
        <f t="shared" si="234"/>
        <v>0</v>
      </c>
    </row>
    <row r="3841" spans="1:6" ht="12.75" customHeight="1" x14ac:dyDescent="0.2">
      <c r="A3841" s="3"/>
      <c r="C3841" s="114"/>
      <c r="D3841" s="759"/>
      <c r="E3841" s="85"/>
      <c r="F3841" s="59">
        <f t="shared" si="234"/>
        <v>0</v>
      </c>
    </row>
    <row r="3842" spans="1:6" ht="12.75" customHeight="1" x14ac:dyDescent="0.2">
      <c r="A3842" s="3"/>
      <c r="C3842" s="114"/>
      <c r="D3842" s="759"/>
      <c r="E3842" s="85"/>
      <c r="F3842" s="59">
        <f t="shared" si="234"/>
        <v>0</v>
      </c>
    </row>
    <row r="3843" spans="1:6" ht="12.75" customHeight="1" x14ac:dyDescent="0.2">
      <c r="A3843" s="3"/>
      <c r="C3843" s="114"/>
      <c r="D3843" s="759"/>
      <c r="E3843" s="85"/>
      <c r="F3843" s="59">
        <f t="shared" si="234"/>
        <v>0</v>
      </c>
    </row>
    <row r="3844" spans="1:6" ht="12.75" customHeight="1" x14ac:dyDescent="0.2">
      <c r="A3844" s="3"/>
      <c r="C3844" s="114"/>
      <c r="D3844" s="759"/>
      <c r="E3844" s="85"/>
      <c r="F3844" s="59">
        <f t="shared" si="234"/>
        <v>0</v>
      </c>
    </row>
    <row r="3845" spans="1:6" ht="12.75" customHeight="1" x14ac:dyDescent="0.2">
      <c r="A3845" s="3"/>
      <c r="C3845" s="114"/>
      <c r="D3845" s="759"/>
      <c r="E3845" s="85"/>
      <c r="F3845" s="59">
        <f t="shared" si="234"/>
        <v>0</v>
      </c>
    </row>
    <row r="3846" spans="1:6" ht="12.75" customHeight="1" x14ac:dyDescent="0.2">
      <c r="A3846" s="3"/>
      <c r="B3846" s="86" t="s">
        <v>258</v>
      </c>
      <c r="C3846" s="87"/>
      <c r="D3846" s="88"/>
      <c r="E3846" s="89"/>
      <c r="F3846" s="90">
        <f>SUM(F3839:F3845)</f>
        <v>0</v>
      </c>
    </row>
    <row r="3847" spans="1:6" ht="12.75" customHeight="1" x14ac:dyDescent="0.2">
      <c r="A3847" s="3"/>
      <c r="B3847" s="91" t="s">
        <v>261</v>
      </c>
      <c r="C3847" s="15">
        <f>'A IX.'!$C$45</f>
        <v>0</v>
      </c>
      <c r="D3847" s="92"/>
      <c r="E3847" s="93"/>
      <c r="F3847" s="94">
        <f>ROUND(F3846*C3847,2)</f>
        <v>0</v>
      </c>
    </row>
    <row r="3848" spans="1:6" ht="12.75" customHeight="1" x14ac:dyDescent="0.2">
      <c r="A3848" s="3"/>
      <c r="B3848" s="91" t="s">
        <v>70</v>
      </c>
      <c r="C3848" s="15">
        <f>$D$8</f>
        <v>0</v>
      </c>
      <c r="D3848" s="92"/>
      <c r="E3848" s="93"/>
      <c r="F3848" s="94">
        <f>ROUND(SUM(F3846:F3847)*C3848,2)</f>
        <v>0</v>
      </c>
    </row>
    <row r="3849" spans="1:6" ht="12.75" customHeight="1" thickBot="1" x14ac:dyDescent="0.25">
      <c r="A3849" s="98"/>
      <c r="B3849" s="99" t="s">
        <v>262</v>
      </c>
      <c r="C3849" s="100"/>
      <c r="D3849" s="100"/>
      <c r="E3849" s="101"/>
      <c r="F3849" s="102">
        <f>SUM(F3846:F3848)</f>
        <v>0</v>
      </c>
    </row>
    <row r="3850" spans="1:6" ht="12.75" customHeight="1" thickBot="1" x14ac:dyDescent="0.25">
      <c r="A3850" s="81"/>
      <c r="B3850" s="82"/>
      <c r="C3850" s="83"/>
      <c r="D3850" s="83"/>
      <c r="E3850" s="84"/>
      <c r="F3850" s="103"/>
    </row>
    <row r="3851" spans="1:6" ht="30" customHeight="1" x14ac:dyDescent="0.2">
      <c r="A3851" s="5" t="str">
        <f>'A IV.A'!A119</f>
        <v>4.6</v>
      </c>
      <c r="B3851" s="416" t="str">
        <f>'A IV.A'!B119</f>
        <v>TUBO PVC RÍGIDO SOLDÁVEL MARROM, DN = 50 MM (1.1/2'), INCLUSE CONEXÕES</v>
      </c>
      <c r="C3851" s="526" t="s">
        <v>269</v>
      </c>
      <c r="D3851" s="527"/>
      <c r="E3851" s="417" t="str">
        <f>'A IV.A'!C119</f>
        <v>M</v>
      </c>
      <c r="F3851" s="58">
        <f>ROUND(F3871+F3885+F3897,2)</f>
        <v>0</v>
      </c>
    </row>
    <row r="3852" spans="1:6" ht="12.75" customHeight="1" x14ac:dyDescent="0.2">
      <c r="A3852" s="1" t="s">
        <v>17</v>
      </c>
      <c r="B3852" s="418" t="s">
        <v>162</v>
      </c>
      <c r="C3852" s="419" t="s">
        <v>263</v>
      </c>
      <c r="D3852" s="419" t="s">
        <v>264</v>
      </c>
      <c r="E3852" s="420" t="s">
        <v>265</v>
      </c>
      <c r="F3852" s="57" t="s">
        <v>266</v>
      </c>
    </row>
    <row r="3853" spans="1:6" ht="12.75" customHeight="1" x14ac:dyDescent="0.2">
      <c r="A3853" s="6" t="str">
        <f>'A VII.'!$A$11</f>
        <v>1.2</v>
      </c>
      <c r="B3853" s="421" t="str">
        <f>'A VII.'!B11</f>
        <v>ADESIVO PARA TUBO EM PVC - FRASCO 850 GR.</v>
      </c>
      <c r="C3853" s="114">
        <f>0.0075*0.85</f>
        <v>6.3749999999999996E-3</v>
      </c>
      <c r="D3853" s="757" t="str">
        <f>'A VII.'!C11</f>
        <v>UN</v>
      </c>
      <c r="E3853" s="85">
        <f>'A VII.'!D11</f>
        <v>0</v>
      </c>
      <c r="F3853" s="59">
        <f>ROUND(C3853*E3853,2)</f>
        <v>0</v>
      </c>
    </row>
    <row r="3854" spans="1:6" ht="12.75" customHeight="1" x14ac:dyDescent="0.2">
      <c r="A3854" s="6" t="str">
        <f>'A VII.'!$A$67</f>
        <v>1.58</v>
      </c>
      <c r="B3854" s="421" t="str">
        <f>'A VII.'!B67</f>
        <v>LIXA D'AGUA EM FOLHA, GRAO 100</v>
      </c>
      <c r="C3854" s="114">
        <v>0.08</v>
      </c>
      <c r="D3854" s="757" t="str">
        <f>'A VII.'!C67</f>
        <v>UN</v>
      </c>
      <c r="E3854" s="85">
        <f>'A VII.'!D67</f>
        <v>0</v>
      </c>
      <c r="F3854" s="59">
        <f>ROUND(C3854*E3854,2)</f>
        <v>0</v>
      </c>
    </row>
    <row r="3855" spans="1:6" ht="12.75" customHeight="1" x14ac:dyDescent="0.2">
      <c r="A3855" s="6" t="str">
        <f>'A VII.'!$A$100</f>
        <v>1.90</v>
      </c>
      <c r="B3855" s="421" t="str">
        <f>'A VII.'!B100</f>
        <v>SOLUCAO LIMPADORA PARA PVC, FRASCO COM 1000 CM3</v>
      </c>
      <c r="C3855" s="114">
        <v>1.0999999999999999E-2</v>
      </c>
      <c r="D3855" s="757" t="str">
        <f>'A VII.'!C100</f>
        <v xml:space="preserve">UN </v>
      </c>
      <c r="E3855" s="85">
        <f>'A VII.'!D100</f>
        <v>0</v>
      </c>
      <c r="F3855" s="59">
        <f t="shared" ref="F3855:F3868" si="235">ROUND(C3855*E3855,2)</f>
        <v>0</v>
      </c>
    </row>
    <row r="3856" spans="1:6" ht="12.75" customHeight="1" x14ac:dyDescent="0.2">
      <c r="A3856" s="6" t="str">
        <f>'A VII.'!$A$117</f>
        <v>1.107</v>
      </c>
      <c r="B3856" s="421" t="str">
        <f>'A VII.'!B117</f>
        <v>TUBO DE PVC RÍGIDO SOLDÁVEL MARROM, DN = 50MM (1.1/2') - NBR 5648</v>
      </c>
      <c r="C3856" s="114">
        <v>1.4</v>
      </c>
      <c r="D3856" s="757" t="str">
        <f>'A VII.'!C117</f>
        <v>M</v>
      </c>
      <c r="E3856" s="85">
        <f>'A VII.'!D117</f>
        <v>0</v>
      </c>
      <c r="F3856" s="59">
        <f t="shared" si="235"/>
        <v>0</v>
      </c>
    </row>
    <row r="3857" spans="1:6" ht="12.75" customHeight="1" x14ac:dyDescent="0.2">
      <c r="A3857" s="6"/>
      <c r="B3857" s="421"/>
      <c r="C3857" s="114"/>
      <c r="D3857" s="757"/>
      <c r="E3857" s="85"/>
      <c r="F3857" s="59">
        <f t="shared" si="235"/>
        <v>0</v>
      </c>
    </row>
    <row r="3858" spans="1:6" ht="12.75" customHeight="1" x14ac:dyDescent="0.2">
      <c r="A3858" s="6"/>
      <c r="B3858" s="421"/>
      <c r="C3858" s="114"/>
      <c r="D3858" s="757"/>
      <c r="E3858" s="85"/>
      <c r="F3858" s="59">
        <f t="shared" si="235"/>
        <v>0</v>
      </c>
    </row>
    <row r="3859" spans="1:6" ht="12.75" customHeight="1" x14ac:dyDescent="0.2">
      <c r="A3859" s="6"/>
      <c r="B3859" s="421"/>
      <c r="C3859" s="114"/>
      <c r="D3859" s="757"/>
      <c r="E3859" s="85"/>
      <c r="F3859" s="59">
        <f t="shared" si="235"/>
        <v>0</v>
      </c>
    </row>
    <row r="3860" spans="1:6" ht="12.75" customHeight="1" x14ac:dyDescent="0.2">
      <c r="A3860" s="6"/>
      <c r="B3860" s="421"/>
      <c r="C3860" s="114"/>
      <c r="D3860" s="757"/>
      <c r="E3860" s="85"/>
      <c r="F3860" s="59">
        <f t="shared" si="235"/>
        <v>0</v>
      </c>
    </row>
    <row r="3861" spans="1:6" ht="12.75" customHeight="1" x14ac:dyDescent="0.2">
      <c r="A3861" s="6"/>
      <c r="B3861" s="421"/>
      <c r="C3861" s="114"/>
      <c r="D3861" s="757"/>
      <c r="E3861" s="85"/>
      <c r="F3861" s="59">
        <f t="shared" si="235"/>
        <v>0</v>
      </c>
    </row>
    <row r="3862" spans="1:6" ht="12.75" customHeight="1" x14ac:dyDescent="0.2">
      <c r="A3862" s="6"/>
      <c r="B3862" s="421"/>
      <c r="C3862" s="114"/>
      <c r="D3862" s="757"/>
      <c r="E3862" s="85"/>
      <c r="F3862" s="59">
        <f t="shared" si="235"/>
        <v>0</v>
      </c>
    </row>
    <row r="3863" spans="1:6" ht="12.75" customHeight="1" x14ac:dyDescent="0.2">
      <c r="A3863" s="6"/>
      <c r="B3863" s="421"/>
      <c r="C3863" s="114"/>
      <c r="D3863" s="757"/>
      <c r="E3863" s="85"/>
      <c r="F3863" s="59">
        <f t="shared" si="235"/>
        <v>0</v>
      </c>
    </row>
    <row r="3864" spans="1:6" ht="12.75" customHeight="1" x14ac:dyDescent="0.2">
      <c r="A3864" s="6"/>
      <c r="B3864" s="421"/>
      <c r="C3864" s="114"/>
      <c r="D3864" s="758"/>
      <c r="E3864" s="85"/>
      <c r="F3864" s="59">
        <f t="shared" si="235"/>
        <v>0</v>
      </c>
    </row>
    <row r="3865" spans="1:6" ht="12.75" customHeight="1" x14ac:dyDescent="0.2">
      <c r="A3865" s="6"/>
      <c r="B3865" s="421"/>
      <c r="C3865" s="114"/>
      <c r="D3865" s="758"/>
      <c r="E3865" s="85"/>
      <c r="F3865" s="59">
        <f t="shared" si="235"/>
        <v>0</v>
      </c>
    </row>
    <row r="3866" spans="1:6" ht="12.75" customHeight="1" x14ac:dyDescent="0.2">
      <c r="A3866" s="6"/>
      <c r="B3866" s="421"/>
      <c r="C3866" s="114"/>
      <c r="D3866" s="758"/>
      <c r="E3866" s="85"/>
      <c r="F3866" s="59">
        <f t="shared" si="235"/>
        <v>0</v>
      </c>
    </row>
    <row r="3867" spans="1:6" ht="12.75" customHeight="1" x14ac:dyDescent="0.2">
      <c r="A3867" s="3"/>
      <c r="C3867" s="114"/>
      <c r="D3867" s="759"/>
      <c r="E3867" s="85"/>
      <c r="F3867" s="59">
        <f t="shared" si="235"/>
        <v>0</v>
      </c>
    </row>
    <row r="3868" spans="1:6" ht="12.75" customHeight="1" x14ac:dyDescent="0.2">
      <c r="A3868" s="3"/>
      <c r="C3868" s="114"/>
      <c r="D3868" s="759"/>
      <c r="E3868" s="85"/>
      <c r="F3868" s="59">
        <f t="shared" si="235"/>
        <v>0</v>
      </c>
    </row>
    <row r="3869" spans="1:6" ht="12.75" customHeight="1" x14ac:dyDescent="0.2">
      <c r="A3869" s="3"/>
      <c r="B3869" s="86" t="s">
        <v>258</v>
      </c>
      <c r="C3869" s="87"/>
      <c r="D3869" s="88"/>
      <c r="E3869" s="89"/>
      <c r="F3869" s="90">
        <f>SUM(F3853:F3868)</f>
        <v>0</v>
      </c>
    </row>
    <row r="3870" spans="1:6" ht="12.75" customHeight="1" x14ac:dyDescent="0.2">
      <c r="A3870" s="3"/>
      <c r="B3870" s="91" t="s">
        <v>70</v>
      </c>
      <c r="C3870" s="15">
        <f>$D$8</f>
        <v>0</v>
      </c>
      <c r="D3870" s="92"/>
      <c r="E3870" s="93"/>
      <c r="F3870" s="94">
        <f>ROUND(F3869*C3870,2)</f>
        <v>0</v>
      </c>
    </row>
    <row r="3871" spans="1:6" ht="12.75" customHeight="1" x14ac:dyDescent="0.2">
      <c r="A3871" s="95"/>
      <c r="B3871" s="424" t="s">
        <v>259</v>
      </c>
      <c r="C3871" s="425"/>
      <c r="D3871" s="425"/>
      <c r="E3871" s="426"/>
      <c r="F3871" s="96">
        <f>F3869+F3870</f>
        <v>0</v>
      </c>
    </row>
    <row r="3872" spans="1:6" ht="12.75" customHeight="1" x14ac:dyDescent="0.2">
      <c r="A3872" s="1" t="s">
        <v>5</v>
      </c>
      <c r="B3872" s="418" t="s">
        <v>267</v>
      </c>
      <c r="C3872" s="419" t="s">
        <v>263</v>
      </c>
      <c r="D3872" s="419" t="s">
        <v>264</v>
      </c>
      <c r="E3872" s="420" t="s">
        <v>265</v>
      </c>
      <c r="F3872" s="57" t="s">
        <v>266</v>
      </c>
    </row>
    <row r="3873" spans="1:6" ht="12.75" customHeight="1" x14ac:dyDescent="0.2">
      <c r="A3873" s="3"/>
      <c r="B3873" s="71"/>
      <c r="C3873" s="114"/>
      <c r="D3873" s="759"/>
      <c r="E3873" s="85"/>
      <c r="F3873" s="59">
        <f t="shared" ref="F3873:F3882" si="236">ROUND(C3873*E3873,2)</f>
        <v>0</v>
      </c>
    </row>
    <row r="3874" spans="1:6" ht="12.75" customHeight="1" x14ac:dyDescent="0.2">
      <c r="A3874" s="3"/>
      <c r="C3874" s="114"/>
      <c r="D3874" s="759"/>
      <c r="E3874" s="85"/>
      <c r="F3874" s="59">
        <f t="shared" si="236"/>
        <v>0</v>
      </c>
    </row>
    <row r="3875" spans="1:6" ht="12.75" customHeight="1" x14ac:dyDescent="0.2">
      <c r="A3875" s="3"/>
      <c r="C3875" s="114"/>
      <c r="D3875" s="759"/>
      <c r="E3875" s="85"/>
      <c r="F3875" s="59">
        <f t="shared" si="236"/>
        <v>0</v>
      </c>
    </row>
    <row r="3876" spans="1:6" ht="12.75" customHeight="1" x14ac:dyDescent="0.2">
      <c r="A3876" s="3"/>
      <c r="C3876" s="114"/>
      <c r="D3876" s="759"/>
      <c r="E3876" s="85"/>
      <c r="F3876" s="59">
        <f>ROUND(C3876*E3876,2)</f>
        <v>0</v>
      </c>
    </row>
    <row r="3877" spans="1:6" ht="12.75" customHeight="1" x14ac:dyDescent="0.2">
      <c r="A3877" s="3"/>
      <c r="C3877" s="114"/>
      <c r="D3877" s="759"/>
      <c r="E3877" s="85"/>
      <c r="F3877" s="59">
        <f t="shared" si="236"/>
        <v>0</v>
      </c>
    </row>
    <row r="3878" spans="1:6" ht="12.75" customHeight="1" x14ac:dyDescent="0.2">
      <c r="A3878" s="3"/>
      <c r="C3878" s="114"/>
      <c r="D3878" s="759"/>
      <c r="E3878" s="85"/>
      <c r="F3878" s="59">
        <f t="shared" si="236"/>
        <v>0</v>
      </c>
    </row>
    <row r="3879" spans="1:6" ht="12.75" customHeight="1" x14ac:dyDescent="0.2">
      <c r="A3879" s="3"/>
      <c r="C3879" s="114"/>
      <c r="D3879" s="759"/>
      <c r="E3879" s="85"/>
      <c r="F3879" s="59">
        <f t="shared" si="236"/>
        <v>0</v>
      </c>
    </row>
    <row r="3880" spans="1:6" ht="12.75" customHeight="1" x14ac:dyDescent="0.2">
      <c r="A3880" s="3"/>
      <c r="C3880" s="114"/>
      <c r="D3880" s="759"/>
      <c r="E3880" s="85"/>
      <c r="F3880" s="59">
        <f t="shared" si="236"/>
        <v>0</v>
      </c>
    </row>
    <row r="3881" spans="1:6" ht="12.75" customHeight="1" x14ac:dyDescent="0.2">
      <c r="A3881" s="3"/>
      <c r="C3881" s="114"/>
      <c r="D3881" s="759"/>
      <c r="E3881" s="85"/>
      <c r="F3881" s="59">
        <f t="shared" si="236"/>
        <v>0</v>
      </c>
    </row>
    <row r="3882" spans="1:6" ht="12.75" customHeight="1" x14ac:dyDescent="0.2">
      <c r="A3882" s="3"/>
      <c r="C3882" s="114"/>
      <c r="D3882" s="759"/>
      <c r="E3882" s="85"/>
      <c r="F3882" s="59">
        <f t="shared" si="236"/>
        <v>0</v>
      </c>
    </row>
    <row r="3883" spans="1:6" ht="12.75" customHeight="1" x14ac:dyDescent="0.2">
      <c r="A3883" s="3"/>
      <c r="B3883" s="86" t="s">
        <v>258</v>
      </c>
      <c r="C3883" s="87"/>
      <c r="D3883" s="88"/>
      <c r="E3883" s="89"/>
      <c r="F3883" s="90">
        <f>SUM(F3873:F3882)</f>
        <v>0</v>
      </c>
    </row>
    <row r="3884" spans="1:6" ht="12.75" customHeight="1" x14ac:dyDescent="0.2">
      <c r="A3884" s="3"/>
      <c r="B3884" s="91" t="s">
        <v>70</v>
      </c>
      <c r="C3884" s="15">
        <f>$D$8</f>
        <v>0</v>
      </c>
      <c r="D3884" s="92"/>
      <c r="E3884" s="93"/>
      <c r="F3884" s="94">
        <f>ROUND(C3884*F3883,2)</f>
        <v>0</v>
      </c>
    </row>
    <row r="3885" spans="1:6" ht="12.75" customHeight="1" x14ac:dyDescent="0.2">
      <c r="A3885" s="95"/>
      <c r="B3885" s="424" t="s">
        <v>260</v>
      </c>
      <c r="C3885" s="425"/>
      <c r="D3885" s="425"/>
      <c r="E3885" s="426"/>
      <c r="F3885" s="96">
        <f>F3883+F3884</f>
        <v>0</v>
      </c>
    </row>
    <row r="3886" spans="1:6" ht="12.75" customHeight="1" x14ac:dyDescent="0.2">
      <c r="A3886" s="97" t="s">
        <v>54</v>
      </c>
      <c r="B3886" s="427" t="s">
        <v>268</v>
      </c>
      <c r="C3886" s="428" t="s">
        <v>263</v>
      </c>
      <c r="D3886" s="429" t="s">
        <v>264</v>
      </c>
      <c r="E3886" s="430" t="s">
        <v>265</v>
      </c>
      <c r="F3886" s="57" t="s">
        <v>266</v>
      </c>
    </row>
    <row r="3887" spans="1:6" ht="12.75" customHeight="1" x14ac:dyDescent="0.2">
      <c r="A3887" s="3" t="str">
        <f>'A VII.'!$A$181</f>
        <v>3.1</v>
      </c>
      <c r="B3887" s="74" t="str">
        <f>'A VII.'!B181</f>
        <v>AJUDANTE COM ENCARGOS COMPLEMENTARES</v>
      </c>
      <c r="C3887" s="114">
        <v>0.6</v>
      </c>
      <c r="D3887" s="759" t="str">
        <f>'A VII.'!C181</f>
        <v>H</v>
      </c>
      <c r="E3887" s="85">
        <f>'A VII.'!D181</f>
        <v>0</v>
      </c>
      <c r="F3887" s="59">
        <f t="shared" ref="F3887:F3893" si="237">ROUND(C3887*E3887,2)</f>
        <v>0</v>
      </c>
    </row>
    <row r="3888" spans="1:6" ht="12.75" customHeight="1" x14ac:dyDescent="0.2">
      <c r="A3888" s="3" t="str">
        <f>'A VII.'!$A$187</f>
        <v>3.7</v>
      </c>
      <c r="B3888" s="74" t="str">
        <f>'A VII.'!B187</f>
        <v>ENCANADOR COM ENCARGOS COMPLEMENTARES</v>
      </c>
      <c r="C3888" s="114">
        <v>0.6</v>
      </c>
      <c r="D3888" s="759" t="str">
        <f>'A VII.'!C187</f>
        <v>H</v>
      </c>
      <c r="E3888" s="85">
        <f>'A VII.'!D187</f>
        <v>0</v>
      </c>
      <c r="F3888" s="59">
        <f t="shared" si="237"/>
        <v>0</v>
      </c>
    </row>
    <row r="3889" spans="1:6" ht="12.75" customHeight="1" x14ac:dyDescent="0.2">
      <c r="A3889" s="3"/>
      <c r="C3889" s="114"/>
      <c r="D3889" s="759"/>
      <c r="E3889" s="85"/>
      <c r="F3889" s="59">
        <f t="shared" si="237"/>
        <v>0</v>
      </c>
    </row>
    <row r="3890" spans="1:6" ht="12.75" customHeight="1" x14ac:dyDescent="0.2">
      <c r="A3890" s="3"/>
      <c r="C3890" s="114"/>
      <c r="D3890" s="759"/>
      <c r="E3890" s="85"/>
      <c r="F3890" s="59">
        <f t="shared" si="237"/>
        <v>0</v>
      </c>
    </row>
    <row r="3891" spans="1:6" ht="12.75" customHeight="1" x14ac:dyDescent="0.2">
      <c r="A3891" s="3"/>
      <c r="C3891" s="114"/>
      <c r="D3891" s="759"/>
      <c r="E3891" s="85"/>
      <c r="F3891" s="59">
        <f t="shared" si="237"/>
        <v>0</v>
      </c>
    </row>
    <row r="3892" spans="1:6" ht="12.75" customHeight="1" x14ac:dyDescent="0.2">
      <c r="A3892" s="3"/>
      <c r="C3892" s="114"/>
      <c r="D3892" s="759"/>
      <c r="E3892" s="85"/>
      <c r="F3892" s="59">
        <f t="shared" si="237"/>
        <v>0</v>
      </c>
    </row>
    <row r="3893" spans="1:6" ht="12.75" customHeight="1" x14ac:dyDescent="0.2">
      <c r="A3893" s="3"/>
      <c r="C3893" s="114"/>
      <c r="D3893" s="759"/>
      <c r="E3893" s="85"/>
      <c r="F3893" s="59">
        <f t="shared" si="237"/>
        <v>0</v>
      </c>
    </row>
    <row r="3894" spans="1:6" ht="12.75" customHeight="1" x14ac:dyDescent="0.2">
      <c r="A3894" s="3"/>
      <c r="B3894" s="86" t="s">
        <v>258</v>
      </c>
      <c r="C3894" s="87"/>
      <c r="D3894" s="88"/>
      <c r="E3894" s="89"/>
      <c r="F3894" s="90">
        <f>SUM(F3887:F3893)</f>
        <v>0</v>
      </c>
    </row>
    <row r="3895" spans="1:6" ht="12.75" customHeight="1" x14ac:dyDescent="0.2">
      <c r="A3895" s="3"/>
      <c r="B3895" s="91" t="s">
        <v>261</v>
      </c>
      <c r="C3895" s="15">
        <f>'A IX.'!$C$45</f>
        <v>0</v>
      </c>
      <c r="D3895" s="92"/>
      <c r="E3895" s="93"/>
      <c r="F3895" s="94">
        <f>ROUND(F3894*C3895,2)</f>
        <v>0</v>
      </c>
    </row>
    <row r="3896" spans="1:6" ht="12.75" customHeight="1" x14ac:dyDescent="0.2">
      <c r="A3896" s="3"/>
      <c r="B3896" s="91" t="s">
        <v>70</v>
      </c>
      <c r="C3896" s="15">
        <f>$D$8</f>
        <v>0</v>
      </c>
      <c r="D3896" s="92"/>
      <c r="E3896" s="93"/>
      <c r="F3896" s="94">
        <f>ROUND(SUM(F3894:F3895)*C3896,2)</f>
        <v>0</v>
      </c>
    </row>
    <row r="3897" spans="1:6" ht="12.75" customHeight="1" thickBot="1" x14ac:dyDescent="0.25">
      <c r="A3897" s="98"/>
      <c r="B3897" s="99" t="s">
        <v>262</v>
      </c>
      <c r="C3897" s="100"/>
      <c r="D3897" s="100"/>
      <c r="E3897" s="101"/>
      <c r="F3897" s="102">
        <f>SUM(F3894:F3896)</f>
        <v>0</v>
      </c>
    </row>
    <row r="3898" spans="1:6" ht="12.75" customHeight="1" thickBot="1" x14ac:dyDescent="0.25">
      <c r="A3898" s="252"/>
      <c r="B3898" s="253"/>
      <c r="C3898" s="254"/>
      <c r="D3898" s="254"/>
      <c r="E3898" s="255"/>
      <c r="F3898" s="256"/>
    </row>
    <row r="3899" spans="1:6" ht="30" customHeight="1" x14ac:dyDescent="0.2">
      <c r="A3899" s="5" t="str">
        <f>'A IV.A'!A120</f>
        <v>4.7</v>
      </c>
      <c r="B3899" s="416" t="str">
        <f>'A IV.A'!B120</f>
        <v>TUBO EM PVC RÍGIDO BRANCO, SÉRIE NORMAL, INCLUSIVE CONEXÕES, DN =  40 MM</v>
      </c>
      <c r="C3899" s="526" t="s">
        <v>269</v>
      </c>
      <c r="D3899" s="527"/>
      <c r="E3899" s="417" t="str">
        <f>'A IV.A'!C120</f>
        <v>M</v>
      </c>
      <c r="F3899" s="58">
        <f>ROUND(F3919+F3933+F3945,2)</f>
        <v>0</v>
      </c>
    </row>
    <row r="3900" spans="1:6" ht="12.75" customHeight="1" x14ac:dyDescent="0.2">
      <c r="A3900" s="1" t="s">
        <v>17</v>
      </c>
      <c r="B3900" s="418" t="s">
        <v>162</v>
      </c>
      <c r="C3900" s="419" t="s">
        <v>263</v>
      </c>
      <c r="D3900" s="419" t="s">
        <v>264</v>
      </c>
      <c r="E3900" s="420" t="s">
        <v>265</v>
      </c>
      <c r="F3900" s="57" t="s">
        <v>266</v>
      </c>
    </row>
    <row r="3901" spans="1:6" ht="12.75" customHeight="1" x14ac:dyDescent="0.2">
      <c r="A3901" s="6" t="str">
        <f>'A VII.'!$A$67</f>
        <v>1.58</v>
      </c>
      <c r="B3901" s="421" t="str">
        <f>VLOOKUP(A3901,'A VII.'!$A$10:$D$199,2,FALSE)</f>
        <v>LIXA D'AGUA EM FOLHA, GRAO 100</v>
      </c>
      <c r="C3901" s="114">
        <v>0.1</v>
      </c>
      <c r="D3901" s="757" t="str">
        <f>VLOOKUP(A3901,'A VII.'!$A$10:$D$199,3,FALSE)</f>
        <v>UN</v>
      </c>
      <c r="E3901" s="85">
        <f>'A VII.'!$D$67</f>
        <v>0</v>
      </c>
      <c r="F3901" s="59">
        <f>ROUND(C3901*E3901,2)</f>
        <v>0</v>
      </c>
    </row>
    <row r="3902" spans="1:6" ht="12.75" customHeight="1" x14ac:dyDescent="0.2">
      <c r="A3902" s="6" t="str">
        <f>'A VII.'!$A$119</f>
        <v>1.109</v>
      </c>
      <c r="B3902" s="421" t="str">
        <f>VLOOKUP(A3902,'A VII.'!$A$10:$D$199,2,FALSE)</f>
        <v>TUBO PVC SERIE NORMAL, DN 40 MM, PARA ESGOTO PREDIAL (NBR 5688)</v>
      </c>
      <c r="C3902" s="114">
        <v>1.1499999999999999</v>
      </c>
      <c r="D3902" s="757" t="str">
        <f>VLOOKUP(A3902,'A VII.'!$A$10:$D$199,3,FALSE)</f>
        <v>M</v>
      </c>
      <c r="E3902" s="85">
        <f>'A VII.'!D119</f>
        <v>0</v>
      </c>
      <c r="F3902" s="59">
        <f t="shared" ref="F3902:F3916" si="238">ROUND(C3902*E3902,2)</f>
        <v>0</v>
      </c>
    </row>
    <row r="3903" spans="1:6" ht="12.75" customHeight="1" x14ac:dyDescent="0.2">
      <c r="A3903" s="6"/>
      <c r="B3903" s="421"/>
      <c r="C3903" s="114"/>
      <c r="D3903" s="757"/>
      <c r="E3903" s="85"/>
      <c r="F3903" s="59">
        <f t="shared" si="238"/>
        <v>0</v>
      </c>
    </row>
    <row r="3904" spans="1:6" ht="12.75" customHeight="1" x14ac:dyDescent="0.2">
      <c r="A3904" s="6"/>
      <c r="B3904" s="421"/>
      <c r="C3904" s="114"/>
      <c r="D3904" s="757"/>
      <c r="E3904" s="85"/>
      <c r="F3904" s="59">
        <f t="shared" si="238"/>
        <v>0</v>
      </c>
    </row>
    <row r="3905" spans="1:6" ht="12.75" customHeight="1" x14ac:dyDescent="0.2">
      <c r="A3905" s="6"/>
      <c r="B3905" s="421"/>
      <c r="C3905" s="114"/>
      <c r="D3905" s="757"/>
      <c r="E3905" s="85"/>
      <c r="F3905" s="59">
        <f t="shared" si="238"/>
        <v>0</v>
      </c>
    </row>
    <row r="3906" spans="1:6" ht="12.75" customHeight="1" x14ac:dyDescent="0.2">
      <c r="A3906" s="6"/>
      <c r="B3906" s="421"/>
      <c r="C3906" s="114"/>
      <c r="D3906" s="757"/>
      <c r="E3906" s="85"/>
      <c r="F3906" s="59">
        <f t="shared" si="238"/>
        <v>0</v>
      </c>
    </row>
    <row r="3907" spans="1:6" ht="12.75" customHeight="1" x14ac:dyDescent="0.2">
      <c r="A3907" s="6"/>
      <c r="B3907" s="421"/>
      <c r="C3907" s="114"/>
      <c r="D3907" s="757"/>
      <c r="E3907" s="85"/>
      <c r="F3907" s="59">
        <f t="shared" si="238"/>
        <v>0</v>
      </c>
    </row>
    <row r="3908" spans="1:6" ht="12.75" customHeight="1" x14ac:dyDescent="0.2">
      <c r="A3908" s="6"/>
      <c r="B3908" s="421"/>
      <c r="C3908" s="114"/>
      <c r="D3908" s="757"/>
      <c r="E3908" s="85"/>
      <c r="F3908" s="59">
        <f t="shared" si="238"/>
        <v>0</v>
      </c>
    </row>
    <row r="3909" spans="1:6" ht="12.75" customHeight="1" x14ac:dyDescent="0.2">
      <c r="A3909" s="6"/>
      <c r="B3909" s="421"/>
      <c r="C3909" s="114"/>
      <c r="D3909" s="757"/>
      <c r="E3909" s="85"/>
      <c r="F3909" s="59">
        <f t="shared" si="238"/>
        <v>0</v>
      </c>
    </row>
    <row r="3910" spans="1:6" ht="12.75" customHeight="1" x14ac:dyDescent="0.2">
      <c r="A3910" s="6"/>
      <c r="B3910" s="421"/>
      <c r="C3910" s="114"/>
      <c r="D3910" s="757"/>
      <c r="E3910" s="85"/>
      <c r="F3910" s="59">
        <f t="shared" si="238"/>
        <v>0</v>
      </c>
    </row>
    <row r="3911" spans="1:6" ht="12.75" customHeight="1" x14ac:dyDescent="0.2">
      <c r="A3911" s="6"/>
      <c r="B3911" s="421"/>
      <c r="C3911" s="114"/>
      <c r="D3911" s="757"/>
      <c r="E3911" s="85"/>
      <c r="F3911" s="59">
        <f t="shared" si="238"/>
        <v>0</v>
      </c>
    </row>
    <row r="3912" spans="1:6" ht="12.75" customHeight="1" x14ac:dyDescent="0.2">
      <c r="A3912" s="6"/>
      <c r="B3912" s="421"/>
      <c r="C3912" s="114"/>
      <c r="D3912" s="758"/>
      <c r="E3912" s="85"/>
      <c r="F3912" s="59">
        <f t="shared" si="238"/>
        <v>0</v>
      </c>
    </row>
    <row r="3913" spans="1:6" ht="12.75" customHeight="1" x14ac:dyDescent="0.2">
      <c r="A3913" s="6"/>
      <c r="B3913" s="421"/>
      <c r="C3913" s="114"/>
      <c r="D3913" s="758"/>
      <c r="E3913" s="85"/>
      <c r="F3913" s="59">
        <f t="shared" si="238"/>
        <v>0</v>
      </c>
    </row>
    <row r="3914" spans="1:6" ht="12.75" customHeight="1" x14ac:dyDescent="0.2">
      <c r="A3914" s="6"/>
      <c r="B3914" s="421"/>
      <c r="C3914" s="114"/>
      <c r="D3914" s="758"/>
      <c r="E3914" s="85"/>
      <c r="F3914" s="59">
        <f t="shared" si="238"/>
        <v>0</v>
      </c>
    </row>
    <row r="3915" spans="1:6" ht="12.75" customHeight="1" x14ac:dyDescent="0.2">
      <c r="A3915" s="3"/>
      <c r="C3915" s="114"/>
      <c r="D3915" s="759"/>
      <c r="E3915" s="85"/>
      <c r="F3915" s="59">
        <f t="shared" si="238"/>
        <v>0</v>
      </c>
    </row>
    <row r="3916" spans="1:6" ht="12.75" customHeight="1" x14ac:dyDescent="0.2">
      <c r="A3916" s="3"/>
      <c r="C3916" s="114"/>
      <c r="D3916" s="759"/>
      <c r="E3916" s="85"/>
      <c r="F3916" s="59">
        <f t="shared" si="238"/>
        <v>0</v>
      </c>
    </row>
    <row r="3917" spans="1:6" ht="12.75" customHeight="1" x14ac:dyDescent="0.2">
      <c r="A3917" s="3"/>
      <c r="B3917" s="86" t="s">
        <v>258</v>
      </c>
      <c r="C3917" s="87"/>
      <c r="D3917" s="88"/>
      <c r="E3917" s="89"/>
      <c r="F3917" s="90">
        <f>SUM(F3901:F3916)</f>
        <v>0</v>
      </c>
    </row>
    <row r="3918" spans="1:6" ht="12.75" customHeight="1" x14ac:dyDescent="0.2">
      <c r="A3918" s="3"/>
      <c r="B3918" s="91" t="s">
        <v>70</v>
      </c>
      <c r="C3918" s="15">
        <f>$D$8</f>
        <v>0</v>
      </c>
      <c r="D3918" s="92"/>
      <c r="E3918" s="93"/>
      <c r="F3918" s="94">
        <f>ROUND(F3917*C3918,2)</f>
        <v>0</v>
      </c>
    </row>
    <row r="3919" spans="1:6" ht="12.75" customHeight="1" x14ac:dyDescent="0.2">
      <c r="A3919" s="95"/>
      <c r="B3919" s="424" t="s">
        <v>259</v>
      </c>
      <c r="C3919" s="425"/>
      <c r="D3919" s="425"/>
      <c r="E3919" s="426"/>
      <c r="F3919" s="96">
        <f>F3917+F3918</f>
        <v>0</v>
      </c>
    </row>
    <row r="3920" spans="1:6" ht="12.75" customHeight="1" x14ac:dyDescent="0.2">
      <c r="A3920" s="1" t="s">
        <v>5</v>
      </c>
      <c r="B3920" s="418" t="s">
        <v>267</v>
      </c>
      <c r="C3920" s="419" t="s">
        <v>263</v>
      </c>
      <c r="D3920" s="419" t="s">
        <v>264</v>
      </c>
      <c r="E3920" s="420" t="s">
        <v>265</v>
      </c>
      <c r="F3920" s="57" t="s">
        <v>266</v>
      </c>
    </row>
    <row r="3921" spans="1:6" ht="12.75" customHeight="1" x14ac:dyDescent="0.2">
      <c r="A3921" s="3"/>
      <c r="B3921" s="71"/>
      <c r="C3921" s="114"/>
      <c r="D3921" s="759"/>
      <c r="E3921" s="85"/>
      <c r="F3921" s="59">
        <f t="shared" ref="F3921:F3930" si="239">ROUND(C3921*E3921,2)</f>
        <v>0</v>
      </c>
    </row>
    <row r="3922" spans="1:6" ht="12.75" customHeight="1" x14ac:dyDescent="0.2">
      <c r="A3922" s="3"/>
      <c r="C3922" s="114"/>
      <c r="D3922" s="759"/>
      <c r="E3922" s="85"/>
      <c r="F3922" s="59">
        <f t="shared" si="239"/>
        <v>0</v>
      </c>
    </row>
    <row r="3923" spans="1:6" ht="12.75" customHeight="1" x14ac:dyDescent="0.2">
      <c r="A3923" s="3"/>
      <c r="C3923" s="114"/>
      <c r="D3923" s="759"/>
      <c r="E3923" s="85"/>
      <c r="F3923" s="59">
        <f t="shared" si="239"/>
        <v>0</v>
      </c>
    </row>
    <row r="3924" spans="1:6" ht="12.75" customHeight="1" x14ac:dyDescent="0.2">
      <c r="A3924" s="3"/>
      <c r="C3924" s="114"/>
      <c r="D3924" s="759"/>
      <c r="E3924" s="85"/>
      <c r="F3924" s="59">
        <f t="shared" si="239"/>
        <v>0</v>
      </c>
    </row>
    <row r="3925" spans="1:6" ht="12.75" customHeight="1" x14ac:dyDescent="0.2">
      <c r="A3925" s="3"/>
      <c r="C3925" s="114"/>
      <c r="D3925" s="759"/>
      <c r="E3925" s="85"/>
      <c r="F3925" s="59">
        <f t="shared" si="239"/>
        <v>0</v>
      </c>
    </row>
    <row r="3926" spans="1:6" ht="12.75" customHeight="1" x14ac:dyDescent="0.2">
      <c r="A3926" s="3"/>
      <c r="C3926" s="114"/>
      <c r="D3926" s="759"/>
      <c r="E3926" s="85"/>
      <c r="F3926" s="59">
        <f t="shared" si="239"/>
        <v>0</v>
      </c>
    </row>
    <row r="3927" spans="1:6" ht="12.75" customHeight="1" x14ac:dyDescent="0.2">
      <c r="A3927" s="3"/>
      <c r="C3927" s="114"/>
      <c r="D3927" s="759"/>
      <c r="E3927" s="85"/>
      <c r="F3927" s="59">
        <f t="shared" si="239"/>
        <v>0</v>
      </c>
    </row>
    <row r="3928" spans="1:6" ht="12.75" customHeight="1" x14ac:dyDescent="0.2">
      <c r="A3928" s="3"/>
      <c r="C3928" s="114"/>
      <c r="D3928" s="759"/>
      <c r="E3928" s="85"/>
      <c r="F3928" s="59">
        <f t="shared" si="239"/>
        <v>0</v>
      </c>
    </row>
    <row r="3929" spans="1:6" ht="12.75" customHeight="1" x14ac:dyDescent="0.2">
      <c r="A3929" s="3"/>
      <c r="C3929" s="114"/>
      <c r="D3929" s="759"/>
      <c r="E3929" s="85"/>
      <c r="F3929" s="59">
        <f t="shared" si="239"/>
        <v>0</v>
      </c>
    </row>
    <row r="3930" spans="1:6" ht="12.75" customHeight="1" x14ac:dyDescent="0.2">
      <c r="A3930" s="3"/>
      <c r="C3930" s="114"/>
      <c r="D3930" s="759"/>
      <c r="E3930" s="85"/>
      <c r="F3930" s="59">
        <f t="shared" si="239"/>
        <v>0</v>
      </c>
    </row>
    <row r="3931" spans="1:6" ht="12.75" customHeight="1" x14ac:dyDescent="0.2">
      <c r="A3931" s="3"/>
      <c r="B3931" s="86" t="s">
        <v>258</v>
      </c>
      <c r="C3931" s="87"/>
      <c r="D3931" s="88"/>
      <c r="E3931" s="89"/>
      <c r="F3931" s="90">
        <f>SUM(F3921:F3930)</f>
        <v>0</v>
      </c>
    </row>
    <row r="3932" spans="1:6" ht="12.75" customHeight="1" x14ac:dyDescent="0.2">
      <c r="A3932" s="3"/>
      <c r="B3932" s="91" t="s">
        <v>70</v>
      </c>
      <c r="C3932" s="15">
        <f>$D$8</f>
        <v>0</v>
      </c>
      <c r="D3932" s="92"/>
      <c r="E3932" s="93"/>
      <c r="F3932" s="94">
        <f>ROUND(C3932*F3931,2)</f>
        <v>0</v>
      </c>
    </row>
    <row r="3933" spans="1:6" ht="12.75" customHeight="1" x14ac:dyDescent="0.2">
      <c r="A3933" s="95"/>
      <c r="B3933" s="424" t="s">
        <v>260</v>
      </c>
      <c r="C3933" s="425"/>
      <c r="D3933" s="425"/>
      <c r="E3933" s="426"/>
      <c r="F3933" s="96">
        <f>F3931+F3932</f>
        <v>0</v>
      </c>
    </row>
    <row r="3934" spans="1:6" ht="12.75" customHeight="1" x14ac:dyDescent="0.2">
      <c r="A3934" s="97" t="s">
        <v>54</v>
      </c>
      <c r="B3934" s="427" t="s">
        <v>268</v>
      </c>
      <c r="C3934" s="428" t="s">
        <v>263</v>
      </c>
      <c r="D3934" s="429" t="s">
        <v>264</v>
      </c>
      <c r="E3934" s="430" t="s">
        <v>265</v>
      </c>
      <c r="F3934" s="57" t="s">
        <v>266</v>
      </c>
    </row>
    <row r="3935" spans="1:6" ht="12.75" customHeight="1" x14ac:dyDescent="0.2">
      <c r="A3935" s="3" t="str">
        <f>'A VII.'!$A$181</f>
        <v>3.1</v>
      </c>
      <c r="B3935" s="74" t="s">
        <v>174</v>
      </c>
      <c r="C3935" s="114">
        <v>0.3</v>
      </c>
      <c r="D3935" s="759" t="str">
        <f>VLOOKUP(A3935,'A VII.'!$A$10:$D$199,3,FALSE)</f>
        <v>H</v>
      </c>
      <c r="E3935" s="85">
        <f>'A VII.'!D181</f>
        <v>0</v>
      </c>
      <c r="F3935" s="59">
        <f t="shared" ref="F3935:F3941" si="240">ROUND(C3935*E3935,2)</f>
        <v>0</v>
      </c>
    </row>
    <row r="3936" spans="1:6" ht="12.75" customHeight="1" x14ac:dyDescent="0.2">
      <c r="A3936" s="3" t="str">
        <f>'A VII.'!$A$187</f>
        <v>3.7</v>
      </c>
      <c r="B3936" s="74" t="s">
        <v>180</v>
      </c>
      <c r="C3936" s="114">
        <v>0.3</v>
      </c>
      <c r="D3936" s="759" t="str">
        <f>VLOOKUP(A3936,'A VII.'!$A$10:$D$199,3,FALSE)</f>
        <v>H</v>
      </c>
      <c r="E3936" s="85">
        <f>'A VII.'!D187</f>
        <v>0</v>
      </c>
      <c r="F3936" s="59">
        <f t="shared" si="240"/>
        <v>0</v>
      </c>
    </row>
    <row r="3937" spans="1:6" ht="12.75" customHeight="1" x14ac:dyDescent="0.2">
      <c r="A3937" s="3"/>
      <c r="C3937" s="114"/>
      <c r="D3937" s="759"/>
      <c r="E3937" s="85"/>
      <c r="F3937" s="59">
        <f t="shared" si="240"/>
        <v>0</v>
      </c>
    </row>
    <row r="3938" spans="1:6" ht="12.75" customHeight="1" x14ac:dyDescent="0.2">
      <c r="A3938" s="3"/>
      <c r="C3938" s="114"/>
      <c r="D3938" s="759"/>
      <c r="E3938" s="85"/>
      <c r="F3938" s="59">
        <f t="shared" si="240"/>
        <v>0</v>
      </c>
    </row>
    <row r="3939" spans="1:6" ht="12.75" customHeight="1" x14ac:dyDescent="0.2">
      <c r="A3939" s="3"/>
      <c r="C3939" s="114"/>
      <c r="D3939" s="759"/>
      <c r="E3939" s="85"/>
      <c r="F3939" s="59">
        <f t="shared" si="240"/>
        <v>0</v>
      </c>
    </row>
    <row r="3940" spans="1:6" ht="12.75" customHeight="1" x14ac:dyDescent="0.2">
      <c r="A3940" s="3"/>
      <c r="C3940" s="114"/>
      <c r="D3940" s="759"/>
      <c r="E3940" s="85"/>
      <c r="F3940" s="59">
        <f t="shared" si="240"/>
        <v>0</v>
      </c>
    </row>
    <row r="3941" spans="1:6" ht="12.75" customHeight="1" x14ac:dyDescent="0.2">
      <c r="A3941" s="3"/>
      <c r="C3941" s="114"/>
      <c r="D3941" s="759"/>
      <c r="E3941" s="85"/>
      <c r="F3941" s="59">
        <f t="shared" si="240"/>
        <v>0</v>
      </c>
    </row>
    <row r="3942" spans="1:6" ht="12.75" customHeight="1" x14ac:dyDescent="0.2">
      <c r="A3942" s="3"/>
      <c r="B3942" s="86" t="s">
        <v>258</v>
      </c>
      <c r="C3942" s="87"/>
      <c r="D3942" s="88"/>
      <c r="E3942" s="89"/>
      <c r="F3942" s="90">
        <f>SUM(F3935:F3941)</f>
        <v>0</v>
      </c>
    </row>
    <row r="3943" spans="1:6" ht="12.75" customHeight="1" x14ac:dyDescent="0.2">
      <c r="A3943" s="3"/>
      <c r="B3943" s="91" t="s">
        <v>261</v>
      </c>
      <c r="C3943" s="15">
        <f>'A IX.'!$C$45</f>
        <v>0</v>
      </c>
      <c r="D3943" s="92"/>
      <c r="E3943" s="93"/>
      <c r="F3943" s="94">
        <f>ROUND(F3942*C3943,2)</f>
        <v>0</v>
      </c>
    </row>
    <row r="3944" spans="1:6" ht="12.75" customHeight="1" x14ac:dyDescent="0.2">
      <c r="A3944" s="3"/>
      <c r="B3944" s="91" t="s">
        <v>70</v>
      </c>
      <c r="C3944" s="15">
        <f>$D$8</f>
        <v>0</v>
      </c>
      <c r="D3944" s="92"/>
      <c r="E3944" s="93"/>
      <c r="F3944" s="94">
        <f>ROUND(SUM(F3942:F3943)*C3944,2)</f>
        <v>0</v>
      </c>
    </row>
    <row r="3945" spans="1:6" ht="12.75" customHeight="1" thickBot="1" x14ac:dyDescent="0.25">
      <c r="A3945" s="98"/>
      <c r="B3945" s="99" t="s">
        <v>262</v>
      </c>
      <c r="C3945" s="100"/>
      <c r="D3945" s="100"/>
      <c r="E3945" s="101"/>
      <c r="F3945" s="102">
        <f>SUM(F3942:F3944)</f>
        <v>0</v>
      </c>
    </row>
    <row r="3946" spans="1:6" ht="12.75" customHeight="1" thickBot="1" x14ac:dyDescent="0.25">
      <c r="A3946" s="252"/>
      <c r="B3946" s="253"/>
      <c r="C3946" s="254"/>
      <c r="D3946" s="254"/>
      <c r="E3946" s="255"/>
      <c r="F3946" s="256"/>
    </row>
    <row r="3947" spans="1:6" ht="30" customHeight="1" x14ac:dyDescent="0.2">
      <c r="A3947" s="5" t="str">
        <f>'A IV.A'!A121</f>
        <v>4.8</v>
      </c>
      <c r="B3947" s="416" t="str">
        <f>'A IV.A'!B121</f>
        <v>TUBO EM PVC RÍGIDO BRANCO, SÉRIE NORMAL, INCLUSIVE CONEXÕES, DN =  50 MM</v>
      </c>
      <c r="C3947" s="526" t="s">
        <v>269</v>
      </c>
      <c r="D3947" s="527"/>
      <c r="E3947" s="417" t="str">
        <f>'A IV.A'!C121</f>
        <v>M</v>
      </c>
      <c r="F3947" s="58">
        <f>ROUND(F3967+F3981+F3993,2)</f>
        <v>0</v>
      </c>
    </row>
    <row r="3948" spans="1:6" ht="12.75" customHeight="1" x14ac:dyDescent="0.2">
      <c r="A3948" s="1" t="s">
        <v>17</v>
      </c>
      <c r="B3948" s="418" t="s">
        <v>162</v>
      </c>
      <c r="C3948" s="419" t="s">
        <v>263</v>
      </c>
      <c r="D3948" s="419" t="s">
        <v>264</v>
      </c>
      <c r="E3948" s="420" t="s">
        <v>265</v>
      </c>
      <c r="F3948" s="57" t="s">
        <v>266</v>
      </c>
    </row>
    <row r="3949" spans="1:6" ht="12.75" customHeight="1" x14ac:dyDescent="0.2">
      <c r="A3949" s="6" t="str">
        <f>'A VII.'!$A$11</f>
        <v>1.2</v>
      </c>
      <c r="B3949" s="421" t="str">
        <f>'A VII.'!B11</f>
        <v>ADESIVO PARA TUBO EM PVC - FRASCO 850 GR.</v>
      </c>
      <c r="C3949" s="114">
        <v>1.0800000000000001E-2</v>
      </c>
      <c r="D3949" s="757" t="str">
        <f>'A VII.'!C11</f>
        <v>UN</v>
      </c>
      <c r="E3949" s="85">
        <f>'A VII.'!D11</f>
        <v>0</v>
      </c>
      <c r="F3949" s="59">
        <f>ROUND(C3949*E3949,2)</f>
        <v>0</v>
      </c>
    </row>
    <row r="3950" spans="1:6" ht="12.75" customHeight="1" x14ac:dyDescent="0.2">
      <c r="A3950" s="6" t="str">
        <f>'A VII.'!$A$67</f>
        <v>1.58</v>
      </c>
      <c r="B3950" s="421" t="str">
        <f>'A VII.'!B67</f>
        <v>LIXA D'AGUA EM FOLHA, GRAO 100</v>
      </c>
      <c r="C3950" s="114">
        <v>0.127</v>
      </c>
      <c r="D3950" s="757" t="str">
        <f>'A VII.'!C67</f>
        <v>UN</v>
      </c>
      <c r="E3950" s="85">
        <f>'A VII.'!D67</f>
        <v>0</v>
      </c>
      <c r="F3950" s="59">
        <f t="shared" ref="F3950:F3964" si="241">ROUND(C3950*E3950,2)</f>
        <v>0</v>
      </c>
    </row>
    <row r="3951" spans="1:6" ht="12.75" customHeight="1" x14ac:dyDescent="0.2">
      <c r="A3951" s="6" t="str">
        <f>'A VII.'!$A$100</f>
        <v>1.90</v>
      </c>
      <c r="B3951" s="421" t="str">
        <f>'A VII.'!B100</f>
        <v>SOLUCAO LIMPADORA PARA PVC, FRASCO COM 1000 CM3</v>
      </c>
      <c r="C3951" s="114">
        <v>1.6299999999999999E-2</v>
      </c>
      <c r="D3951" s="757" t="str">
        <f>'A VII.'!C100</f>
        <v xml:space="preserve">UN </v>
      </c>
      <c r="E3951" s="85">
        <f>'A VII.'!D100</f>
        <v>0</v>
      </c>
      <c r="F3951" s="59">
        <f t="shared" si="241"/>
        <v>0</v>
      </c>
    </row>
    <row r="3952" spans="1:6" ht="12.75" customHeight="1" x14ac:dyDescent="0.2">
      <c r="A3952" s="6" t="str">
        <f>'A VII.'!$A$120</f>
        <v>1.110</v>
      </c>
      <c r="B3952" s="421" t="str">
        <f>'A VII.'!B120</f>
        <v>TUBO PVC SERIE NORMAL, DN 50 MM, PARA ESGOTO PREDIAL (NBR 5688)</v>
      </c>
      <c r="C3952" s="114">
        <v>1.1499999999999999</v>
      </c>
      <c r="D3952" s="757" t="str">
        <f>'A VII.'!C120</f>
        <v>M</v>
      </c>
      <c r="E3952" s="85">
        <f>'A VII.'!D120</f>
        <v>0</v>
      </c>
      <c r="F3952" s="59">
        <f t="shared" si="241"/>
        <v>0</v>
      </c>
    </row>
    <row r="3953" spans="1:6" ht="12.75" customHeight="1" x14ac:dyDescent="0.2">
      <c r="A3953" s="6"/>
      <c r="B3953" s="421"/>
      <c r="C3953" s="114"/>
      <c r="D3953" s="757"/>
      <c r="E3953" s="85"/>
      <c r="F3953" s="59">
        <f t="shared" si="241"/>
        <v>0</v>
      </c>
    </row>
    <row r="3954" spans="1:6" ht="12.75" customHeight="1" x14ac:dyDescent="0.2">
      <c r="A3954" s="6"/>
      <c r="B3954" s="421"/>
      <c r="C3954" s="114"/>
      <c r="D3954" s="757"/>
      <c r="E3954" s="85"/>
      <c r="F3954" s="59">
        <f t="shared" si="241"/>
        <v>0</v>
      </c>
    </row>
    <row r="3955" spans="1:6" ht="12.75" customHeight="1" x14ac:dyDescent="0.2">
      <c r="A3955" s="6"/>
      <c r="B3955" s="421"/>
      <c r="C3955" s="114"/>
      <c r="D3955" s="757"/>
      <c r="E3955" s="85"/>
      <c r="F3955" s="59">
        <f t="shared" si="241"/>
        <v>0</v>
      </c>
    </row>
    <row r="3956" spans="1:6" ht="12.75" customHeight="1" x14ac:dyDescent="0.2">
      <c r="A3956" s="6"/>
      <c r="B3956" s="421"/>
      <c r="C3956" s="114"/>
      <c r="D3956" s="757"/>
      <c r="E3956" s="85"/>
      <c r="F3956" s="59">
        <f t="shared" si="241"/>
        <v>0</v>
      </c>
    </row>
    <row r="3957" spans="1:6" ht="12.75" customHeight="1" x14ac:dyDescent="0.2">
      <c r="A3957" s="6"/>
      <c r="B3957" s="421"/>
      <c r="C3957" s="114"/>
      <c r="D3957" s="757"/>
      <c r="E3957" s="85"/>
      <c r="F3957" s="59">
        <f t="shared" si="241"/>
        <v>0</v>
      </c>
    </row>
    <row r="3958" spans="1:6" ht="12.75" customHeight="1" x14ac:dyDescent="0.2">
      <c r="A3958" s="6"/>
      <c r="B3958" s="421"/>
      <c r="C3958" s="114"/>
      <c r="D3958" s="757"/>
      <c r="E3958" s="85"/>
      <c r="F3958" s="59">
        <f t="shared" si="241"/>
        <v>0</v>
      </c>
    </row>
    <row r="3959" spans="1:6" ht="12.75" customHeight="1" x14ac:dyDescent="0.2">
      <c r="A3959" s="6"/>
      <c r="B3959" s="421"/>
      <c r="C3959" s="114"/>
      <c r="D3959" s="757"/>
      <c r="E3959" s="85"/>
      <c r="F3959" s="59">
        <f t="shared" si="241"/>
        <v>0</v>
      </c>
    </row>
    <row r="3960" spans="1:6" ht="12.75" customHeight="1" x14ac:dyDescent="0.2">
      <c r="A3960" s="6"/>
      <c r="B3960" s="421"/>
      <c r="C3960" s="114"/>
      <c r="D3960" s="758"/>
      <c r="E3960" s="85"/>
      <c r="F3960" s="59">
        <f t="shared" si="241"/>
        <v>0</v>
      </c>
    </row>
    <row r="3961" spans="1:6" ht="12.75" customHeight="1" x14ac:dyDescent="0.2">
      <c r="A3961" s="6"/>
      <c r="B3961" s="421"/>
      <c r="C3961" s="114"/>
      <c r="D3961" s="758"/>
      <c r="E3961" s="85"/>
      <c r="F3961" s="59">
        <f t="shared" si="241"/>
        <v>0</v>
      </c>
    </row>
    <row r="3962" spans="1:6" ht="12.75" customHeight="1" x14ac:dyDescent="0.2">
      <c r="A3962" s="6"/>
      <c r="B3962" s="421"/>
      <c r="C3962" s="114"/>
      <c r="D3962" s="758"/>
      <c r="E3962" s="85"/>
      <c r="F3962" s="59">
        <f t="shared" si="241"/>
        <v>0</v>
      </c>
    </row>
    <row r="3963" spans="1:6" ht="12.75" customHeight="1" x14ac:dyDescent="0.2">
      <c r="A3963" s="3"/>
      <c r="C3963" s="114"/>
      <c r="D3963" s="759"/>
      <c r="E3963" s="85"/>
      <c r="F3963" s="59">
        <f t="shared" si="241"/>
        <v>0</v>
      </c>
    </row>
    <row r="3964" spans="1:6" ht="12.75" customHeight="1" x14ac:dyDescent="0.2">
      <c r="A3964" s="3"/>
      <c r="C3964" s="114"/>
      <c r="D3964" s="759"/>
      <c r="E3964" s="85"/>
      <c r="F3964" s="59">
        <f t="shared" si="241"/>
        <v>0</v>
      </c>
    </row>
    <row r="3965" spans="1:6" ht="12.75" customHeight="1" x14ac:dyDescent="0.2">
      <c r="A3965" s="3"/>
      <c r="B3965" s="86" t="s">
        <v>258</v>
      </c>
      <c r="C3965" s="87"/>
      <c r="D3965" s="88"/>
      <c r="E3965" s="89"/>
      <c r="F3965" s="90">
        <f>SUM(F3949:F3964)</f>
        <v>0</v>
      </c>
    </row>
    <row r="3966" spans="1:6" ht="12.75" customHeight="1" x14ac:dyDescent="0.2">
      <c r="A3966" s="3"/>
      <c r="B3966" s="91" t="s">
        <v>70</v>
      </c>
      <c r="C3966" s="15">
        <f>$D$8</f>
        <v>0</v>
      </c>
      <c r="D3966" s="92"/>
      <c r="E3966" s="93"/>
      <c r="F3966" s="94">
        <f>ROUND(F3965*C3966,2)</f>
        <v>0</v>
      </c>
    </row>
    <row r="3967" spans="1:6" ht="12.75" customHeight="1" x14ac:dyDescent="0.2">
      <c r="A3967" s="95"/>
      <c r="B3967" s="424" t="s">
        <v>259</v>
      </c>
      <c r="C3967" s="425"/>
      <c r="D3967" s="425"/>
      <c r="E3967" s="426"/>
      <c r="F3967" s="96">
        <f>F3965+F3966</f>
        <v>0</v>
      </c>
    </row>
    <row r="3968" spans="1:6" ht="12.75" customHeight="1" x14ac:dyDescent="0.2">
      <c r="A3968" s="1" t="s">
        <v>5</v>
      </c>
      <c r="B3968" s="418" t="s">
        <v>267</v>
      </c>
      <c r="C3968" s="419" t="s">
        <v>263</v>
      </c>
      <c r="D3968" s="419" t="s">
        <v>264</v>
      </c>
      <c r="E3968" s="420" t="s">
        <v>265</v>
      </c>
      <c r="F3968" s="57" t="s">
        <v>266</v>
      </c>
    </row>
    <row r="3969" spans="1:6" ht="12.75" customHeight="1" x14ac:dyDescent="0.2">
      <c r="A3969" s="3"/>
      <c r="B3969" s="71"/>
      <c r="C3969" s="114"/>
      <c r="D3969" s="759"/>
      <c r="E3969" s="85"/>
      <c r="F3969" s="59">
        <f t="shared" ref="F3969:F3978" si="242">ROUND(C3969*E3969,2)</f>
        <v>0</v>
      </c>
    </row>
    <row r="3970" spans="1:6" ht="12.75" customHeight="1" x14ac:dyDescent="0.2">
      <c r="A3970" s="3"/>
      <c r="C3970" s="114"/>
      <c r="D3970" s="759"/>
      <c r="E3970" s="85"/>
      <c r="F3970" s="59">
        <f t="shared" si="242"/>
        <v>0</v>
      </c>
    </row>
    <row r="3971" spans="1:6" ht="12.75" customHeight="1" x14ac:dyDescent="0.2">
      <c r="A3971" s="3"/>
      <c r="C3971" s="114"/>
      <c r="D3971" s="759"/>
      <c r="E3971" s="85"/>
      <c r="F3971" s="59">
        <f t="shared" si="242"/>
        <v>0</v>
      </c>
    </row>
    <row r="3972" spans="1:6" ht="12.75" customHeight="1" x14ac:dyDescent="0.2">
      <c r="A3972" s="3"/>
      <c r="C3972" s="114"/>
      <c r="D3972" s="759"/>
      <c r="E3972" s="85"/>
      <c r="F3972" s="59">
        <f t="shared" si="242"/>
        <v>0</v>
      </c>
    </row>
    <row r="3973" spans="1:6" ht="12.75" customHeight="1" x14ac:dyDescent="0.2">
      <c r="A3973" s="3"/>
      <c r="C3973" s="114"/>
      <c r="D3973" s="759"/>
      <c r="E3973" s="85"/>
      <c r="F3973" s="59">
        <f t="shared" si="242"/>
        <v>0</v>
      </c>
    </row>
    <row r="3974" spans="1:6" ht="12.75" customHeight="1" x14ac:dyDescent="0.2">
      <c r="A3974" s="3"/>
      <c r="C3974" s="114"/>
      <c r="D3974" s="759"/>
      <c r="E3974" s="85"/>
      <c r="F3974" s="59">
        <f t="shared" si="242"/>
        <v>0</v>
      </c>
    </row>
    <row r="3975" spans="1:6" ht="12.75" customHeight="1" x14ac:dyDescent="0.2">
      <c r="A3975" s="3"/>
      <c r="C3975" s="114"/>
      <c r="D3975" s="759"/>
      <c r="E3975" s="85"/>
      <c r="F3975" s="59">
        <f t="shared" si="242"/>
        <v>0</v>
      </c>
    </row>
    <row r="3976" spans="1:6" ht="12.75" customHeight="1" x14ac:dyDescent="0.2">
      <c r="A3976" s="3"/>
      <c r="C3976" s="114"/>
      <c r="D3976" s="759"/>
      <c r="E3976" s="85"/>
      <c r="F3976" s="59">
        <f t="shared" si="242"/>
        <v>0</v>
      </c>
    </row>
    <row r="3977" spans="1:6" ht="12.75" customHeight="1" x14ac:dyDescent="0.2">
      <c r="A3977" s="3"/>
      <c r="C3977" s="114"/>
      <c r="D3977" s="759"/>
      <c r="E3977" s="85"/>
      <c r="F3977" s="59">
        <f t="shared" si="242"/>
        <v>0</v>
      </c>
    </row>
    <row r="3978" spans="1:6" ht="12.75" customHeight="1" x14ac:dyDescent="0.2">
      <c r="A3978" s="3"/>
      <c r="C3978" s="114"/>
      <c r="D3978" s="759"/>
      <c r="E3978" s="85"/>
      <c r="F3978" s="59">
        <f t="shared" si="242"/>
        <v>0</v>
      </c>
    </row>
    <row r="3979" spans="1:6" ht="12.75" customHeight="1" x14ac:dyDescent="0.2">
      <c r="A3979" s="3"/>
      <c r="B3979" s="86" t="s">
        <v>258</v>
      </c>
      <c r="C3979" s="87"/>
      <c r="D3979" s="88"/>
      <c r="E3979" s="89"/>
      <c r="F3979" s="90">
        <f>SUM(F3969:F3978)</f>
        <v>0</v>
      </c>
    </row>
    <row r="3980" spans="1:6" ht="12.75" customHeight="1" x14ac:dyDescent="0.2">
      <c r="A3980" s="3"/>
      <c r="B3980" s="91" t="s">
        <v>70</v>
      </c>
      <c r="C3980" s="15">
        <f>$D$8</f>
        <v>0</v>
      </c>
      <c r="D3980" s="92"/>
      <c r="E3980" s="93"/>
      <c r="F3980" s="94">
        <f>ROUND(C3980*F3979,2)</f>
        <v>0</v>
      </c>
    </row>
    <row r="3981" spans="1:6" ht="12.75" customHeight="1" x14ac:dyDescent="0.2">
      <c r="A3981" s="95"/>
      <c r="B3981" s="424" t="s">
        <v>260</v>
      </c>
      <c r="C3981" s="425"/>
      <c r="D3981" s="425"/>
      <c r="E3981" s="426"/>
      <c r="F3981" s="96">
        <f>F3979+F3980</f>
        <v>0</v>
      </c>
    </row>
    <row r="3982" spans="1:6" ht="12.75" customHeight="1" x14ac:dyDescent="0.2">
      <c r="A3982" s="97" t="s">
        <v>54</v>
      </c>
      <c r="B3982" s="427" t="s">
        <v>268</v>
      </c>
      <c r="C3982" s="428" t="s">
        <v>263</v>
      </c>
      <c r="D3982" s="429" t="s">
        <v>264</v>
      </c>
      <c r="E3982" s="430" t="s">
        <v>265</v>
      </c>
      <c r="F3982" s="57" t="s">
        <v>266</v>
      </c>
    </row>
    <row r="3983" spans="1:6" ht="12.75" customHeight="1" x14ac:dyDescent="0.2">
      <c r="A3983" s="3" t="str">
        <f>'A VII.'!$A$181</f>
        <v>3.1</v>
      </c>
      <c r="B3983" s="74" t="str">
        <f>'A VII.'!B181</f>
        <v>AJUDANTE COM ENCARGOS COMPLEMENTARES</v>
      </c>
      <c r="C3983" s="114">
        <v>0.38</v>
      </c>
      <c r="D3983" s="759" t="str">
        <f>'A VII.'!C181</f>
        <v>H</v>
      </c>
      <c r="E3983" s="85">
        <f>'A VII.'!D181</f>
        <v>0</v>
      </c>
      <c r="F3983" s="59">
        <f t="shared" ref="F3983:F3989" si="243">ROUND(C3983*E3983,2)</f>
        <v>0</v>
      </c>
    </row>
    <row r="3984" spans="1:6" ht="12.75" customHeight="1" x14ac:dyDescent="0.2">
      <c r="A3984" s="3" t="str">
        <f>'A VII.'!$A$187</f>
        <v>3.7</v>
      </c>
      <c r="B3984" s="74" t="str">
        <f>'A VII.'!B187</f>
        <v>ENCANADOR COM ENCARGOS COMPLEMENTARES</v>
      </c>
      <c r="C3984" s="114">
        <v>0.38</v>
      </c>
      <c r="D3984" s="759" t="str">
        <f>'A VII.'!C187</f>
        <v>H</v>
      </c>
      <c r="E3984" s="85">
        <f>'A VII.'!D187</f>
        <v>0</v>
      </c>
      <c r="F3984" s="59">
        <f t="shared" si="243"/>
        <v>0</v>
      </c>
    </row>
    <row r="3985" spans="1:6" ht="12.75" customHeight="1" x14ac:dyDescent="0.2">
      <c r="A3985" s="3"/>
      <c r="C3985" s="114"/>
      <c r="D3985" s="759"/>
      <c r="E3985" s="85"/>
      <c r="F3985" s="59">
        <f t="shared" si="243"/>
        <v>0</v>
      </c>
    </row>
    <row r="3986" spans="1:6" ht="12.75" customHeight="1" x14ac:dyDescent="0.2">
      <c r="A3986" s="3"/>
      <c r="C3986" s="114"/>
      <c r="D3986" s="759"/>
      <c r="E3986" s="85"/>
      <c r="F3986" s="59">
        <f t="shared" si="243"/>
        <v>0</v>
      </c>
    </row>
    <row r="3987" spans="1:6" ht="12.75" customHeight="1" x14ac:dyDescent="0.2">
      <c r="A3987" s="3"/>
      <c r="C3987" s="114"/>
      <c r="D3987" s="759"/>
      <c r="E3987" s="85"/>
      <c r="F3987" s="59">
        <f t="shared" si="243"/>
        <v>0</v>
      </c>
    </row>
    <row r="3988" spans="1:6" ht="12.75" customHeight="1" x14ac:dyDescent="0.2">
      <c r="A3988" s="3"/>
      <c r="C3988" s="114"/>
      <c r="D3988" s="759"/>
      <c r="E3988" s="85"/>
      <c r="F3988" s="59">
        <f t="shared" si="243"/>
        <v>0</v>
      </c>
    </row>
    <row r="3989" spans="1:6" ht="12.75" customHeight="1" x14ac:dyDescent="0.2">
      <c r="A3989" s="3"/>
      <c r="C3989" s="114"/>
      <c r="D3989" s="759"/>
      <c r="E3989" s="85"/>
      <c r="F3989" s="59">
        <f t="shared" si="243"/>
        <v>0</v>
      </c>
    </row>
    <row r="3990" spans="1:6" ht="12.75" customHeight="1" x14ac:dyDescent="0.2">
      <c r="A3990" s="3"/>
      <c r="B3990" s="86" t="s">
        <v>258</v>
      </c>
      <c r="C3990" s="87"/>
      <c r="D3990" s="88"/>
      <c r="E3990" s="89"/>
      <c r="F3990" s="90">
        <f>SUM(F3983:F3989)</f>
        <v>0</v>
      </c>
    </row>
    <row r="3991" spans="1:6" ht="12.75" customHeight="1" x14ac:dyDescent="0.2">
      <c r="A3991" s="3"/>
      <c r="B3991" s="91" t="s">
        <v>261</v>
      </c>
      <c r="C3991" s="15">
        <f>'A IX.'!$C$45</f>
        <v>0</v>
      </c>
      <c r="D3991" s="92"/>
      <c r="E3991" s="93"/>
      <c r="F3991" s="94">
        <f>ROUND(F3990*C3991,2)</f>
        <v>0</v>
      </c>
    </row>
    <row r="3992" spans="1:6" ht="12.75" customHeight="1" x14ac:dyDescent="0.2">
      <c r="A3992" s="3"/>
      <c r="B3992" s="91" t="s">
        <v>70</v>
      </c>
      <c r="C3992" s="15">
        <f>$D$8</f>
        <v>0</v>
      </c>
      <c r="D3992" s="92"/>
      <c r="E3992" s="93"/>
      <c r="F3992" s="94">
        <f>ROUND(SUM(F3990:F3991)*C3992,2)</f>
        <v>0</v>
      </c>
    </row>
    <row r="3993" spans="1:6" ht="12.75" customHeight="1" thickBot="1" x14ac:dyDescent="0.25">
      <c r="A3993" s="98"/>
      <c r="B3993" s="99" t="s">
        <v>262</v>
      </c>
      <c r="C3993" s="100"/>
      <c r="D3993" s="100"/>
      <c r="E3993" s="101"/>
      <c r="F3993" s="102">
        <f>SUM(F3990:F3992)</f>
        <v>0</v>
      </c>
    </row>
    <row r="3994" spans="1:6" ht="12.75" customHeight="1" thickBot="1" x14ac:dyDescent="0.25">
      <c r="A3994" s="252"/>
      <c r="B3994" s="253"/>
      <c r="C3994" s="254"/>
      <c r="D3994" s="254"/>
      <c r="E3994" s="255"/>
      <c r="F3994" s="256"/>
    </row>
    <row r="3995" spans="1:6" ht="30" customHeight="1" x14ac:dyDescent="0.2">
      <c r="A3995" s="5" t="str">
        <f>'A IV.A'!A122</f>
        <v>4.9</v>
      </c>
      <c r="B3995" s="416" t="str">
        <f>'A IV.A'!B122</f>
        <v>TUBO EM PVC RÍGIDO BRANCO, SÉRIE NORMAL, INCLUSIVE CONEXÕES, DN =  100 MM</v>
      </c>
      <c r="C3995" s="526" t="s">
        <v>269</v>
      </c>
      <c r="D3995" s="527"/>
      <c r="E3995" s="417" t="str">
        <f>'A IV.A'!C122</f>
        <v>M</v>
      </c>
      <c r="F3995" s="58">
        <f>ROUND(F4015+F4029+F4041,2)</f>
        <v>0</v>
      </c>
    </row>
    <row r="3996" spans="1:6" ht="12.75" customHeight="1" x14ac:dyDescent="0.2">
      <c r="A3996" s="1" t="s">
        <v>17</v>
      </c>
      <c r="B3996" s="418" t="s">
        <v>162</v>
      </c>
      <c r="C3996" s="419" t="s">
        <v>263</v>
      </c>
      <c r="D3996" s="419" t="s">
        <v>264</v>
      </c>
      <c r="E3996" s="420" t="s">
        <v>265</v>
      </c>
      <c r="F3996" s="57" t="s">
        <v>266</v>
      </c>
    </row>
    <row r="3997" spans="1:6" ht="12.75" customHeight="1" x14ac:dyDescent="0.2">
      <c r="A3997" s="6" t="str">
        <f>'A VII.'!$A$11</f>
        <v>1.2</v>
      </c>
      <c r="B3997" s="421" t="str">
        <f>'A VII.'!B11</f>
        <v>ADESIVO PARA TUBO EM PVC - FRASCO 850 GR.</v>
      </c>
      <c r="C3997" s="114">
        <v>3.6299999999999999E-2</v>
      </c>
      <c r="D3997" s="757" t="str">
        <f>'A VII.'!C11</f>
        <v>UN</v>
      </c>
      <c r="E3997" s="85">
        <f>'A VII.'!D11</f>
        <v>0</v>
      </c>
      <c r="F3997" s="59">
        <f>ROUND(C3997*E3997,2)</f>
        <v>0</v>
      </c>
    </row>
    <row r="3998" spans="1:6" ht="12.75" customHeight="1" x14ac:dyDescent="0.2">
      <c r="A3998" s="6" t="str">
        <f>'A VII.'!$A$67</f>
        <v>1.58</v>
      </c>
      <c r="B3998" s="421" t="str">
        <f>'A VII.'!B67</f>
        <v>LIXA D'AGUA EM FOLHA, GRAO 100</v>
      </c>
      <c r="C3998" s="114">
        <v>0.247</v>
      </c>
      <c r="D3998" s="757" t="str">
        <f>'A VII.'!C67</f>
        <v>UN</v>
      </c>
      <c r="E3998" s="85">
        <f>'A VII.'!D67</f>
        <v>0</v>
      </c>
      <c r="F3998" s="59">
        <f t="shared" ref="F3998:F4012" si="244">ROUND(C3998*E3998,2)</f>
        <v>0</v>
      </c>
    </row>
    <row r="3999" spans="1:6" ht="12.75" customHeight="1" x14ac:dyDescent="0.2">
      <c r="A3999" s="6" t="str">
        <f>'A VII.'!$A$100</f>
        <v>1.90</v>
      </c>
      <c r="B3999" s="421" t="str">
        <f>'A VII.'!B100</f>
        <v>SOLUCAO LIMPADORA PARA PVC, FRASCO COM 1000 CM3</v>
      </c>
      <c r="C3999" s="114">
        <v>5.9299999999999999E-2</v>
      </c>
      <c r="D3999" s="757" t="str">
        <f>'A VII.'!C100</f>
        <v xml:space="preserve">UN </v>
      </c>
      <c r="E3999" s="85">
        <f>'A VII.'!D100</f>
        <v>0</v>
      </c>
      <c r="F3999" s="59">
        <f t="shared" si="244"/>
        <v>0</v>
      </c>
    </row>
    <row r="4000" spans="1:6" ht="12.75" customHeight="1" x14ac:dyDescent="0.2">
      <c r="A4000" s="6" t="str">
        <f>'A VII.'!$A$121</f>
        <v>1.111</v>
      </c>
      <c r="B4000" s="421" t="str">
        <f>'A VII.'!B121</f>
        <v>TUBO PVC SERIE NORMAL, DN 100 MM, PARA ESGOTO PREDIAL (NBR 5688)</v>
      </c>
      <c r="C4000" s="114">
        <v>1.1499999999999999</v>
      </c>
      <c r="D4000" s="757" t="str">
        <f>'A VII.'!C121</f>
        <v>M</v>
      </c>
      <c r="E4000" s="85">
        <f>'A VII.'!D121</f>
        <v>0</v>
      </c>
      <c r="F4000" s="59">
        <f t="shared" si="244"/>
        <v>0</v>
      </c>
    </row>
    <row r="4001" spans="1:6" ht="12.75" customHeight="1" x14ac:dyDescent="0.2">
      <c r="A4001" s="6"/>
      <c r="B4001" s="421"/>
      <c r="C4001" s="114"/>
      <c r="D4001" s="757"/>
      <c r="E4001" s="85"/>
      <c r="F4001" s="59">
        <f t="shared" si="244"/>
        <v>0</v>
      </c>
    </row>
    <row r="4002" spans="1:6" ht="12.75" customHeight="1" x14ac:dyDescent="0.2">
      <c r="A4002" s="6"/>
      <c r="B4002" s="421"/>
      <c r="C4002" s="114"/>
      <c r="D4002" s="757"/>
      <c r="E4002" s="85"/>
      <c r="F4002" s="59">
        <f t="shared" si="244"/>
        <v>0</v>
      </c>
    </row>
    <row r="4003" spans="1:6" ht="12.75" customHeight="1" x14ac:dyDescent="0.2">
      <c r="A4003" s="6"/>
      <c r="B4003" s="421"/>
      <c r="C4003" s="114"/>
      <c r="D4003" s="757"/>
      <c r="E4003" s="85"/>
      <c r="F4003" s="59">
        <f t="shared" si="244"/>
        <v>0</v>
      </c>
    </row>
    <row r="4004" spans="1:6" ht="12.75" customHeight="1" x14ac:dyDescent="0.2">
      <c r="A4004" s="6"/>
      <c r="B4004" s="421"/>
      <c r="C4004" s="114"/>
      <c r="D4004" s="757"/>
      <c r="E4004" s="85"/>
      <c r="F4004" s="59">
        <f t="shared" si="244"/>
        <v>0</v>
      </c>
    </row>
    <row r="4005" spans="1:6" ht="12.75" customHeight="1" x14ac:dyDescent="0.2">
      <c r="A4005" s="6"/>
      <c r="B4005" s="421"/>
      <c r="C4005" s="114"/>
      <c r="D4005" s="757"/>
      <c r="E4005" s="85"/>
      <c r="F4005" s="59">
        <f t="shared" si="244"/>
        <v>0</v>
      </c>
    </row>
    <row r="4006" spans="1:6" ht="12.75" customHeight="1" x14ac:dyDescent="0.2">
      <c r="A4006" s="6"/>
      <c r="B4006" s="421"/>
      <c r="C4006" s="114"/>
      <c r="D4006" s="757"/>
      <c r="E4006" s="85"/>
      <c r="F4006" s="59">
        <f t="shared" si="244"/>
        <v>0</v>
      </c>
    </row>
    <row r="4007" spans="1:6" ht="12.75" customHeight="1" x14ac:dyDescent="0.2">
      <c r="A4007" s="6"/>
      <c r="B4007" s="421"/>
      <c r="C4007" s="114"/>
      <c r="D4007" s="757"/>
      <c r="E4007" s="85"/>
      <c r="F4007" s="59">
        <f t="shared" si="244"/>
        <v>0</v>
      </c>
    </row>
    <row r="4008" spans="1:6" ht="12.75" customHeight="1" x14ac:dyDescent="0.2">
      <c r="A4008" s="6"/>
      <c r="B4008" s="421"/>
      <c r="C4008" s="114"/>
      <c r="D4008" s="758"/>
      <c r="E4008" s="85"/>
      <c r="F4008" s="59">
        <f t="shared" si="244"/>
        <v>0</v>
      </c>
    </row>
    <row r="4009" spans="1:6" ht="12.75" customHeight="1" x14ac:dyDescent="0.2">
      <c r="A4009" s="6"/>
      <c r="B4009" s="421"/>
      <c r="C4009" s="114"/>
      <c r="D4009" s="758"/>
      <c r="E4009" s="85"/>
      <c r="F4009" s="59">
        <f t="shared" si="244"/>
        <v>0</v>
      </c>
    </row>
    <row r="4010" spans="1:6" ht="12.75" customHeight="1" x14ac:dyDescent="0.2">
      <c r="A4010" s="6"/>
      <c r="B4010" s="421"/>
      <c r="C4010" s="114"/>
      <c r="D4010" s="758"/>
      <c r="E4010" s="85"/>
      <c r="F4010" s="59">
        <f t="shared" si="244"/>
        <v>0</v>
      </c>
    </row>
    <row r="4011" spans="1:6" ht="12.75" customHeight="1" x14ac:dyDescent="0.2">
      <c r="A4011" s="3"/>
      <c r="C4011" s="114"/>
      <c r="D4011" s="759"/>
      <c r="E4011" s="85"/>
      <c r="F4011" s="59">
        <f t="shared" si="244"/>
        <v>0</v>
      </c>
    </row>
    <row r="4012" spans="1:6" ht="12.75" customHeight="1" x14ac:dyDescent="0.2">
      <c r="A4012" s="3"/>
      <c r="C4012" s="114"/>
      <c r="D4012" s="759"/>
      <c r="E4012" s="85"/>
      <c r="F4012" s="59">
        <f t="shared" si="244"/>
        <v>0</v>
      </c>
    </row>
    <row r="4013" spans="1:6" ht="12.75" customHeight="1" x14ac:dyDescent="0.2">
      <c r="A4013" s="3"/>
      <c r="B4013" s="86" t="s">
        <v>258</v>
      </c>
      <c r="C4013" s="87"/>
      <c r="D4013" s="88"/>
      <c r="E4013" s="89"/>
      <c r="F4013" s="90">
        <f>SUM(F3997:F4012)</f>
        <v>0</v>
      </c>
    </row>
    <row r="4014" spans="1:6" ht="12.75" customHeight="1" x14ac:dyDescent="0.2">
      <c r="A4014" s="3"/>
      <c r="B4014" s="91" t="s">
        <v>70</v>
      </c>
      <c r="C4014" s="15">
        <f>$D$8</f>
        <v>0</v>
      </c>
      <c r="D4014" s="92"/>
      <c r="E4014" s="93"/>
      <c r="F4014" s="94">
        <f>ROUND(F4013*C4014,2)</f>
        <v>0</v>
      </c>
    </row>
    <row r="4015" spans="1:6" ht="12.75" customHeight="1" x14ac:dyDescent="0.2">
      <c r="A4015" s="95"/>
      <c r="B4015" s="424" t="s">
        <v>259</v>
      </c>
      <c r="C4015" s="425"/>
      <c r="D4015" s="425"/>
      <c r="E4015" s="426"/>
      <c r="F4015" s="96">
        <f>F4013+F4014</f>
        <v>0</v>
      </c>
    </row>
    <row r="4016" spans="1:6" ht="12.75" customHeight="1" x14ac:dyDescent="0.2">
      <c r="A4016" s="1" t="s">
        <v>5</v>
      </c>
      <c r="B4016" s="418" t="s">
        <v>267</v>
      </c>
      <c r="C4016" s="419" t="s">
        <v>263</v>
      </c>
      <c r="D4016" s="419" t="s">
        <v>264</v>
      </c>
      <c r="E4016" s="420" t="s">
        <v>265</v>
      </c>
      <c r="F4016" s="57" t="s">
        <v>266</v>
      </c>
    </row>
    <row r="4017" spans="1:6" ht="12.75" customHeight="1" x14ac:dyDescent="0.2">
      <c r="A4017" s="3"/>
      <c r="B4017" s="71"/>
      <c r="C4017" s="114"/>
      <c r="D4017" s="759"/>
      <c r="E4017" s="85"/>
      <c r="F4017" s="59">
        <f t="shared" ref="F4017:F4026" si="245">ROUND(C4017*E4017,2)</f>
        <v>0</v>
      </c>
    </row>
    <row r="4018" spans="1:6" ht="12.75" customHeight="1" x14ac:dyDescent="0.2">
      <c r="A4018" s="3"/>
      <c r="C4018" s="114"/>
      <c r="D4018" s="759"/>
      <c r="E4018" s="85"/>
      <c r="F4018" s="59">
        <f t="shared" si="245"/>
        <v>0</v>
      </c>
    </row>
    <row r="4019" spans="1:6" ht="12.75" customHeight="1" x14ac:dyDescent="0.2">
      <c r="A4019" s="3"/>
      <c r="C4019" s="114"/>
      <c r="D4019" s="759"/>
      <c r="E4019" s="85"/>
      <c r="F4019" s="59">
        <f t="shared" si="245"/>
        <v>0</v>
      </c>
    </row>
    <row r="4020" spans="1:6" ht="12.75" customHeight="1" x14ac:dyDescent="0.2">
      <c r="A4020" s="3"/>
      <c r="C4020" s="114"/>
      <c r="D4020" s="759"/>
      <c r="E4020" s="85"/>
      <c r="F4020" s="59">
        <f t="shared" si="245"/>
        <v>0</v>
      </c>
    </row>
    <row r="4021" spans="1:6" ht="12.75" customHeight="1" x14ac:dyDescent="0.2">
      <c r="A4021" s="3"/>
      <c r="C4021" s="114"/>
      <c r="D4021" s="759"/>
      <c r="E4021" s="85"/>
      <c r="F4021" s="59">
        <f t="shared" si="245"/>
        <v>0</v>
      </c>
    </row>
    <row r="4022" spans="1:6" ht="12.75" customHeight="1" x14ac:dyDescent="0.2">
      <c r="A4022" s="3"/>
      <c r="C4022" s="114"/>
      <c r="D4022" s="759"/>
      <c r="E4022" s="85"/>
      <c r="F4022" s="59">
        <f t="shared" si="245"/>
        <v>0</v>
      </c>
    </row>
    <row r="4023" spans="1:6" ht="12.75" customHeight="1" x14ac:dyDescent="0.2">
      <c r="A4023" s="3"/>
      <c r="C4023" s="114"/>
      <c r="D4023" s="759"/>
      <c r="E4023" s="85"/>
      <c r="F4023" s="59">
        <f t="shared" si="245"/>
        <v>0</v>
      </c>
    </row>
    <row r="4024" spans="1:6" ht="12.75" customHeight="1" x14ac:dyDescent="0.2">
      <c r="A4024" s="3"/>
      <c r="C4024" s="114"/>
      <c r="D4024" s="759"/>
      <c r="E4024" s="85"/>
      <c r="F4024" s="59">
        <f t="shared" si="245"/>
        <v>0</v>
      </c>
    </row>
    <row r="4025" spans="1:6" ht="12.75" customHeight="1" x14ac:dyDescent="0.2">
      <c r="A4025" s="3"/>
      <c r="C4025" s="114"/>
      <c r="D4025" s="759"/>
      <c r="E4025" s="85"/>
      <c r="F4025" s="59">
        <f t="shared" si="245"/>
        <v>0</v>
      </c>
    </row>
    <row r="4026" spans="1:6" ht="12.75" customHeight="1" x14ac:dyDescent="0.2">
      <c r="A4026" s="3"/>
      <c r="C4026" s="114"/>
      <c r="D4026" s="759"/>
      <c r="E4026" s="85"/>
      <c r="F4026" s="59">
        <f t="shared" si="245"/>
        <v>0</v>
      </c>
    </row>
    <row r="4027" spans="1:6" ht="12.75" customHeight="1" x14ac:dyDescent="0.2">
      <c r="A4027" s="3"/>
      <c r="B4027" s="86" t="s">
        <v>258</v>
      </c>
      <c r="C4027" s="87"/>
      <c r="D4027" s="88"/>
      <c r="E4027" s="89"/>
      <c r="F4027" s="90">
        <f>SUM(F4017:F4026)</f>
        <v>0</v>
      </c>
    </row>
    <row r="4028" spans="1:6" ht="12.75" customHeight="1" x14ac:dyDescent="0.2">
      <c r="A4028" s="3"/>
      <c r="B4028" s="91" t="s">
        <v>70</v>
      </c>
      <c r="C4028" s="15">
        <f>$D$8</f>
        <v>0</v>
      </c>
      <c r="D4028" s="92"/>
      <c r="E4028" s="93"/>
      <c r="F4028" s="94">
        <f>ROUND(C4028*F4027,2)</f>
        <v>0</v>
      </c>
    </row>
    <row r="4029" spans="1:6" ht="12.75" customHeight="1" x14ac:dyDescent="0.2">
      <c r="A4029" s="95"/>
      <c r="B4029" s="424" t="s">
        <v>260</v>
      </c>
      <c r="C4029" s="425"/>
      <c r="D4029" s="425"/>
      <c r="E4029" s="426"/>
      <c r="F4029" s="96">
        <f>F4027+F4028</f>
        <v>0</v>
      </c>
    </row>
    <row r="4030" spans="1:6" ht="12.75" customHeight="1" x14ac:dyDescent="0.2">
      <c r="A4030" s="97" t="s">
        <v>54</v>
      </c>
      <c r="B4030" s="427" t="s">
        <v>268</v>
      </c>
      <c r="C4030" s="428" t="s">
        <v>263</v>
      </c>
      <c r="D4030" s="429" t="s">
        <v>264</v>
      </c>
      <c r="E4030" s="430" t="s">
        <v>265</v>
      </c>
      <c r="F4030" s="57" t="s">
        <v>266</v>
      </c>
    </row>
    <row r="4031" spans="1:6" ht="12.75" customHeight="1" x14ac:dyDescent="0.2">
      <c r="A4031" s="3" t="str">
        <f>'A VII.'!$A$181</f>
        <v>3.1</v>
      </c>
      <c r="B4031" s="74" t="str">
        <f>'A VII.'!B181</f>
        <v>AJUDANTE COM ENCARGOS COMPLEMENTARES</v>
      </c>
      <c r="C4031" s="114">
        <v>0.74</v>
      </c>
      <c r="D4031" s="759" t="str">
        <f>'A VII.'!C181</f>
        <v>H</v>
      </c>
      <c r="E4031" s="85">
        <f>'A VII.'!D181</f>
        <v>0</v>
      </c>
      <c r="F4031" s="59">
        <f t="shared" ref="F4031:F4037" si="246">ROUND(C4031*E4031,2)</f>
        <v>0</v>
      </c>
    </row>
    <row r="4032" spans="1:6" ht="12.75" customHeight="1" x14ac:dyDescent="0.2">
      <c r="A4032" s="3" t="str">
        <f>'A VII.'!$A$187</f>
        <v>3.7</v>
      </c>
      <c r="B4032" s="74" t="str">
        <f>'A VII.'!B187</f>
        <v>ENCANADOR COM ENCARGOS COMPLEMENTARES</v>
      </c>
      <c r="C4032" s="114">
        <v>0.74</v>
      </c>
      <c r="D4032" s="759" t="str">
        <f>'A VII.'!C187</f>
        <v>H</v>
      </c>
      <c r="E4032" s="85">
        <f>'A VII.'!D187</f>
        <v>0</v>
      </c>
      <c r="F4032" s="59">
        <f t="shared" si="246"/>
        <v>0</v>
      </c>
    </row>
    <row r="4033" spans="1:6" ht="12.75" customHeight="1" x14ac:dyDescent="0.2">
      <c r="A4033" s="3"/>
      <c r="C4033" s="114"/>
      <c r="D4033" s="759"/>
      <c r="E4033" s="85"/>
      <c r="F4033" s="59">
        <f t="shared" si="246"/>
        <v>0</v>
      </c>
    </row>
    <row r="4034" spans="1:6" ht="12.75" customHeight="1" x14ac:dyDescent="0.2">
      <c r="A4034" s="3"/>
      <c r="C4034" s="114"/>
      <c r="D4034" s="759"/>
      <c r="E4034" s="85"/>
      <c r="F4034" s="59">
        <f t="shared" si="246"/>
        <v>0</v>
      </c>
    </row>
    <row r="4035" spans="1:6" ht="12.75" customHeight="1" x14ac:dyDescent="0.2">
      <c r="A4035" s="3"/>
      <c r="C4035" s="114"/>
      <c r="D4035" s="759"/>
      <c r="E4035" s="85"/>
      <c r="F4035" s="59">
        <f t="shared" si="246"/>
        <v>0</v>
      </c>
    </row>
    <row r="4036" spans="1:6" ht="12.75" customHeight="1" x14ac:dyDescent="0.2">
      <c r="A4036" s="3"/>
      <c r="C4036" s="114"/>
      <c r="D4036" s="759"/>
      <c r="E4036" s="85"/>
      <c r="F4036" s="59">
        <f t="shared" si="246"/>
        <v>0</v>
      </c>
    </row>
    <row r="4037" spans="1:6" ht="12.75" customHeight="1" x14ac:dyDescent="0.2">
      <c r="A4037" s="3"/>
      <c r="C4037" s="114"/>
      <c r="D4037" s="759"/>
      <c r="E4037" s="85"/>
      <c r="F4037" s="59">
        <f t="shared" si="246"/>
        <v>0</v>
      </c>
    </row>
    <row r="4038" spans="1:6" ht="12.75" customHeight="1" x14ac:dyDescent="0.2">
      <c r="A4038" s="3"/>
      <c r="B4038" s="86" t="s">
        <v>258</v>
      </c>
      <c r="C4038" s="87"/>
      <c r="D4038" s="88"/>
      <c r="E4038" s="89"/>
      <c r="F4038" s="90">
        <f>SUM(F4031:F4037)</f>
        <v>0</v>
      </c>
    </row>
    <row r="4039" spans="1:6" ht="12.75" customHeight="1" x14ac:dyDescent="0.2">
      <c r="A4039" s="3"/>
      <c r="B4039" s="91" t="s">
        <v>261</v>
      </c>
      <c r="C4039" s="15">
        <f>'A IX.'!$C$45</f>
        <v>0</v>
      </c>
      <c r="D4039" s="92"/>
      <c r="E4039" s="93"/>
      <c r="F4039" s="94">
        <f>ROUND(F4038*C4039,2)</f>
        <v>0</v>
      </c>
    </row>
    <row r="4040" spans="1:6" ht="12.75" customHeight="1" x14ac:dyDescent="0.2">
      <c r="A4040" s="3"/>
      <c r="B4040" s="91" t="s">
        <v>70</v>
      </c>
      <c r="C4040" s="15">
        <f>$D$8</f>
        <v>0</v>
      </c>
      <c r="D4040" s="92"/>
      <c r="E4040" s="93"/>
      <c r="F4040" s="94">
        <f>ROUND(SUM(F4038:F4039)*C4040,2)</f>
        <v>0</v>
      </c>
    </row>
    <row r="4041" spans="1:6" ht="12.75" customHeight="1" thickBot="1" x14ac:dyDescent="0.25">
      <c r="A4041" s="98"/>
      <c r="B4041" s="99" t="s">
        <v>262</v>
      </c>
      <c r="C4041" s="100"/>
      <c r="D4041" s="100"/>
      <c r="E4041" s="101"/>
      <c r="F4041" s="102">
        <f>SUM(F4038:F4040)</f>
        <v>0</v>
      </c>
    </row>
    <row r="4042" spans="1:6" ht="12.75" customHeight="1" thickBot="1" x14ac:dyDescent="0.25">
      <c r="A4042" s="252"/>
      <c r="B4042" s="253"/>
      <c r="C4042" s="254"/>
      <c r="D4042" s="254"/>
      <c r="E4042" s="255"/>
      <c r="F4042" s="256"/>
    </row>
    <row r="4043" spans="1:6" ht="30" customHeight="1" x14ac:dyDescent="0.2">
      <c r="A4043" s="5" t="str">
        <f>'A IV.A'!A123</f>
        <v>4.10</v>
      </c>
      <c r="B4043" s="416" t="str">
        <f>'A IV.A'!B123</f>
        <v>REGISTRO DE ESFERA PVC, SOLDÁVEL, COM VOLANTE, Ø 40 MM</v>
      </c>
      <c r="C4043" s="526" t="s">
        <v>269</v>
      </c>
      <c r="D4043" s="527"/>
      <c r="E4043" s="417" t="str">
        <f>'A IV.A'!C123</f>
        <v>UN</v>
      </c>
      <c r="F4043" s="58">
        <f>ROUND(F4063+F4077+F4089,2)</f>
        <v>0</v>
      </c>
    </row>
    <row r="4044" spans="1:6" ht="12.75" customHeight="1" x14ac:dyDescent="0.2">
      <c r="A4044" s="1" t="s">
        <v>17</v>
      </c>
      <c r="B4044" s="418" t="s">
        <v>162</v>
      </c>
      <c r="C4044" s="419" t="s">
        <v>263</v>
      </c>
      <c r="D4044" s="419" t="s">
        <v>264</v>
      </c>
      <c r="E4044" s="420" t="s">
        <v>265</v>
      </c>
      <c r="F4044" s="57" t="s">
        <v>266</v>
      </c>
    </row>
    <row r="4045" spans="1:6" ht="12.75" customHeight="1" x14ac:dyDescent="0.2">
      <c r="A4045" s="6" t="str">
        <f>'A VII.'!$A$11</f>
        <v>1.2</v>
      </c>
      <c r="B4045" s="421" t="str">
        <f>VLOOKUP(A4045,'A VII.'!$A$10:$D$199,2,FALSE)</f>
        <v>ADESIVO PARA TUBO EM PVC - FRASCO 850 GR.</v>
      </c>
      <c r="C4045" s="114">
        <f>10/850</f>
        <v>1.1764705882352941E-2</v>
      </c>
      <c r="D4045" s="757" t="str">
        <f>'A VII.'!C11</f>
        <v>UN</v>
      </c>
      <c r="E4045" s="85">
        <f>'A VII.'!D11</f>
        <v>0</v>
      </c>
      <c r="F4045" s="59">
        <f>ROUND(C4045*E4045,2)</f>
        <v>0</v>
      </c>
    </row>
    <row r="4046" spans="1:6" ht="12.75" customHeight="1" x14ac:dyDescent="0.2">
      <c r="A4046" s="6" t="str">
        <f>'A VII.'!$A$94</f>
        <v>1.84</v>
      </c>
      <c r="B4046" s="421" t="str">
        <f>VLOOKUP(A4046,'A VII.'!$A$10:$D$199,2,FALSE)</f>
        <v>REGISTRO PVC DE ESFERA SOLDÁVEL, COM VOLANTE, Ø 40 MM</v>
      </c>
      <c r="C4046" s="114">
        <v>1</v>
      </c>
      <c r="D4046" s="757" t="str">
        <f>VLOOKUP(A4046,'A VII.'!$A$10:$D$199,3,FALSE)</f>
        <v xml:space="preserve">UN </v>
      </c>
      <c r="E4046" s="85">
        <f>'A VII.'!D94</f>
        <v>0</v>
      </c>
      <c r="F4046" s="59">
        <f t="shared" ref="F4046:F4060" si="247">ROUND(C4046*E4046,2)</f>
        <v>0</v>
      </c>
    </row>
    <row r="4047" spans="1:6" ht="12.75" customHeight="1" x14ac:dyDescent="0.2">
      <c r="A4047" s="6" t="str">
        <f>'A VII.'!$A$100</f>
        <v>1.90</v>
      </c>
      <c r="B4047" s="421" t="str">
        <f>'A VII.'!B100</f>
        <v>SOLUCAO LIMPADORA PARA PVC, FRASCO COM 1000 CM3</v>
      </c>
      <c r="C4047" s="114">
        <v>1.4E-2</v>
      </c>
      <c r="D4047" s="757" t="str">
        <f>'A VII.'!C100</f>
        <v xml:space="preserve">UN </v>
      </c>
      <c r="E4047" s="85">
        <f>'A VII.'!D100</f>
        <v>0</v>
      </c>
      <c r="F4047" s="59">
        <f t="shared" si="247"/>
        <v>0</v>
      </c>
    </row>
    <row r="4048" spans="1:6" ht="12.75" customHeight="1" x14ac:dyDescent="0.2">
      <c r="A4048" s="6"/>
      <c r="B4048" s="421"/>
      <c r="C4048" s="114"/>
      <c r="D4048" s="757"/>
      <c r="E4048" s="85"/>
      <c r="F4048" s="59">
        <f t="shared" si="247"/>
        <v>0</v>
      </c>
    </row>
    <row r="4049" spans="1:6" ht="12.75" customHeight="1" x14ac:dyDescent="0.2">
      <c r="A4049" s="6"/>
      <c r="B4049" s="421"/>
      <c r="C4049" s="114"/>
      <c r="D4049" s="757"/>
      <c r="E4049" s="85"/>
      <c r="F4049" s="59">
        <f t="shared" si="247"/>
        <v>0</v>
      </c>
    </row>
    <row r="4050" spans="1:6" ht="12.75" customHeight="1" x14ac:dyDescent="0.2">
      <c r="A4050" s="6"/>
      <c r="B4050" s="421"/>
      <c r="C4050" s="114"/>
      <c r="D4050" s="757"/>
      <c r="E4050" s="85"/>
      <c r="F4050" s="59">
        <f t="shared" si="247"/>
        <v>0</v>
      </c>
    </row>
    <row r="4051" spans="1:6" ht="12.75" customHeight="1" x14ac:dyDescent="0.2">
      <c r="A4051" s="6"/>
      <c r="B4051" s="421"/>
      <c r="C4051" s="114"/>
      <c r="D4051" s="757"/>
      <c r="E4051" s="85"/>
      <c r="F4051" s="59">
        <f t="shared" si="247"/>
        <v>0</v>
      </c>
    </row>
    <row r="4052" spans="1:6" ht="12.75" customHeight="1" x14ac:dyDescent="0.2">
      <c r="A4052" s="6"/>
      <c r="B4052" s="421"/>
      <c r="C4052" s="114"/>
      <c r="D4052" s="757"/>
      <c r="E4052" s="85"/>
      <c r="F4052" s="59">
        <f t="shared" si="247"/>
        <v>0</v>
      </c>
    </row>
    <row r="4053" spans="1:6" ht="12.75" customHeight="1" x14ac:dyDescent="0.2">
      <c r="A4053" s="6"/>
      <c r="B4053" s="421"/>
      <c r="C4053" s="114"/>
      <c r="D4053" s="757"/>
      <c r="E4053" s="85"/>
      <c r="F4053" s="59">
        <f t="shared" si="247"/>
        <v>0</v>
      </c>
    </row>
    <row r="4054" spans="1:6" ht="12.75" customHeight="1" x14ac:dyDescent="0.2">
      <c r="A4054" s="6"/>
      <c r="B4054" s="421"/>
      <c r="C4054" s="114"/>
      <c r="D4054" s="757"/>
      <c r="E4054" s="85"/>
      <c r="F4054" s="59">
        <f t="shared" si="247"/>
        <v>0</v>
      </c>
    </row>
    <row r="4055" spans="1:6" ht="12.75" customHeight="1" x14ac:dyDescent="0.2">
      <c r="A4055" s="6"/>
      <c r="B4055" s="421"/>
      <c r="C4055" s="114"/>
      <c r="D4055" s="757"/>
      <c r="E4055" s="85"/>
      <c r="F4055" s="59">
        <f t="shared" si="247"/>
        <v>0</v>
      </c>
    </row>
    <row r="4056" spans="1:6" ht="12.75" customHeight="1" x14ac:dyDescent="0.2">
      <c r="A4056" s="6"/>
      <c r="B4056" s="421"/>
      <c r="C4056" s="114"/>
      <c r="D4056" s="758"/>
      <c r="E4056" s="85"/>
      <c r="F4056" s="59">
        <f t="shared" si="247"/>
        <v>0</v>
      </c>
    </row>
    <row r="4057" spans="1:6" ht="12.75" customHeight="1" x14ac:dyDescent="0.2">
      <c r="A4057" s="6"/>
      <c r="B4057" s="421"/>
      <c r="C4057" s="114"/>
      <c r="D4057" s="758"/>
      <c r="E4057" s="85"/>
      <c r="F4057" s="59">
        <f t="shared" si="247"/>
        <v>0</v>
      </c>
    </row>
    <row r="4058" spans="1:6" ht="12.75" customHeight="1" x14ac:dyDescent="0.2">
      <c r="A4058" s="6"/>
      <c r="B4058" s="421"/>
      <c r="C4058" s="114"/>
      <c r="D4058" s="758"/>
      <c r="E4058" s="85"/>
      <c r="F4058" s="59">
        <f t="shared" si="247"/>
        <v>0</v>
      </c>
    </row>
    <row r="4059" spans="1:6" ht="12.75" customHeight="1" x14ac:dyDescent="0.2">
      <c r="A4059" s="3"/>
      <c r="C4059" s="114"/>
      <c r="D4059" s="759"/>
      <c r="E4059" s="85"/>
      <c r="F4059" s="59">
        <f t="shared" si="247"/>
        <v>0</v>
      </c>
    </row>
    <row r="4060" spans="1:6" ht="12.75" customHeight="1" x14ac:dyDescent="0.2">
      <c r="A4060" s="3"/>
      <c r="C4060" s="114"/>
      <c r="D4060" s="759"/>
      <c r="E4060" s="85"/>
      <c r="F4060" s="59">
        <f t="shared" si="247"/>
        <v>0</v>
      </c>
    </row>
    <row r="4061" spans="1:6" ht="12.75" customHeight="1" x14ac:dyDescent="0.2">
      <c r="A4061" s="3"/>
      <c r="B4061" s="86" t="s">
        <v>258</v>
      </c>
      <c r="C4061" s="87"/>
      <c r="D4061" s="88"/>
      <c r="E4061" s="89"/>
      <c r="F4061" s="90">
        <f>SUM(F4045:F4060)</f>
        <v>0</v>
      </c>
    </row>
    <row r="4062" spans="1:6" ht="12.75" customHeight="1" x14ac:dyDescent="0.2">
      <c r="A4062" s="3"/>
      <c r="B4062" s="91" t="s">
        <v>70</v>
      </c>
      <c r="C4062" s="15">
        <f>$D$8</f>
        <v>0</v>
      </c>
      <c r="D4062" s="92"/>
      <c r="E4062" s="93"/>
      <c r="F4062" s="94">
        <f>ROUND(F4061*C4062,2)</f>
        <v>0</v>
      </c>
    </row>
    <row r="4063" spans="1:6" ht="12.75" customHeight="1" x14ac:dyDescent="0.2">
      <c r="A4063" s="95"/>
      <c r="B4063" s="424" t="s">
        <v>259</v>
      </c>
      <c r="C4063" s="425"/>
      <c r="D4063" s="425"/>
      <c r="E4063" s="426"/>
      <c r="F4063" s="96">
        <f>F4061+F4062</f>
        <v>0</v>
      </c>
    </row>
    <row r="4064" spans="1:6" ht="12.75" customHeight="1" x14ac:dyDescent="0.2">
      <c r="A4064" s="1" t="s">
        <v>5</v>
      </c>
      <c r="B4064" s="418" t="s">
        <v>267</v>
      </c>
      <c r="C4064" s="419" t="s">
        <v>263</v>
      </c>
      <c r="D4064" s="419" t="s">
        <v>264</v>
      </c>
      <c r="E4064" s="420" t="s">
        <v>265</v>
      </c>
      <c r="F4064" s="57" t="s">
        <v>266</v>
      </c>
    </row>
    <row r="4065" spans="1:6" ht="12.75" customHeight="1" x14ac:dyDescent="0.2">
      <c r="A4065" s="3"/>
      <c r="B4065" s="71"/>
      <c r="C4065" s="114"/>
      <c r="D4065" s="759"/>
      <c r="E4065" s="85"/>
      <c r="F4065" s="59">
        <f t="shared" ref="F4065:F4074" si="248">ROUND(C4065*E4065,2)</f>
        <v>0</v>
      </c>
    </row>
    <row r="4066" spans="1:6" ht="12.75" customHeight="1" x14ac:dyDescent="0.2">
      <c r="A4066" s="3"/>
      <c r="C4066" s="114"/>
      <c r="D4066" s="759"/>
      <c r="E4066" s="85"/>
      <c r="F4066" s="59">
        <f t="shared" si="248"/>
        <v>0</v>
      </c>
    </row>
    <row r="4067" spans="1:6" ht="12.75" customHeight="1" x14ac:dyDescent="0.2">
      <c r="A4067" s="3"/>
      <c r="C4067" s="114"/>
      <c r="D4067" s="759"/>
      <c r="E4067" s="85"/>
      <c r="F4067" s="59">
        <f t="shared" si="248"/>
        <v>0</v>
      </c>
    </row>
    <row r="4068" spans="1:6" ht="12.75" customHeight="1" x14ac:dyDescent="0.2">
      <c r="A4068" s="3"/>
      <c r="C4068" s="114"/>
      <c r="D4068" s="759"/>
      <c r="E4068" s="85"/>
      <c r="F4068" s="59">
        <f t="shared" si="248"/>
        <v>0</v>
      </c>
    </row>
    <row r="4069" spans="1:6" ht="12.75" customHeight="1" x14ac:dyDescent="0.2">
      <c r="A4069" s="3"/>
      <c r="C4069" s="114"/>
      <c r="D4069" s="759"/>
      <c r="E4069" s="85"/>
      <c r="F4069" s="59">
        <f t="shared" si="248"/>
        <v>0</v>
      </c>
    </row>
    <row r="4070" spans="1:6" ht="12.75" customHeight="1" x14ac:dyDescent="0.2">
      <c r="A4070" s="3"/>
      <c r="C4070" s="114"/>
      <c r="D4070" s="759"/>
      <c r="E4070" s="85"/>
      <c r="F4070" s="59">
        <f t="shared" si="248"/>
        <v>0</v>
      </c>
    </row>
    <row r="4071" spans="1:6" ht="12.75" customHeight="1" x14ac:dyDescent="0.2">
      <c r="A4071" s="3"/>
      <c r="C4071" s="114"/>
      <c r="D4071" s="759"/>
      <c r="E4071" s="85"/>
      <c r="F4071" s="59">
        <f t="shared" si="248"/>
        <v>0</v>
      </c>
    </row>
    <row r="4072" spans="1:6" ht="12.75" customHeight="1" x14ac:dyDescent="0.2">
      <c r="A4072" s="3"/>
      <c r="C4072" s="114"/>
      <c r="D4072" s="759"/>
      <c r="E4072" s="85"/>
      <c r="F4072" s="59">
        <f t="shared" si="248"/>
        <v>0</v>
      </c>
    </row>
    <row r="4073" spans="1:6" ht="12.75" customHeight="1" x14ac:dyDescent="0.2">
      <c r="A4073" s="3"/>
      <c r="C4073" s="114"/>
      <c r="D4073" s="759"/>
      <c r="E4073" s="85"/>
      <c r="F4073" s="59">
        <f t="shared" si="248"/>
        <v>0</v>
      </c>
    </row>
    <row r="4074" spans="1:6" ht="12.75" customHeight="1" x14ac:dyDescent="0.2">
      <c r="A4074" s="3"/>
      <c r="C4074" s="114"/>
      <c r="D4074" s="759"/>
      <c r="E4074" s="85"/>
      <c r="F4074" s="59">
        <f t="shared" si="248"/>
        <v>0</v>
      </c>
    </row>
    <row r="4075" spans="1:6" ht="12.75" customHeight="1" x14ac:dyDescent="0.2">
      <c r="A4075" s="3"/>
      <c r="B4075" s="86" t="s">
        <v>258</v>
      </c>
      <c r="C4075" s="87"/>
      <c r="D4075" s="88"/>
      <c r="E4075" s="89"/>
      <c r="F4075" s="90">
        <f>SUM(F4065:F4074)</f>
        <v>0</v>
      </c>
    </row>
    <row r="4076" spans="1:6" ht="12.75" customHeight="1" x14ac:dyDescent="0.2">
      <c r="A4076" s="3"/>
      <c r="B4076" s="91" t="s">
        <v>70</v>
      </c>
      <c r="C4076" s="15">
        <f>$D$8</f>
        <v>0</v>
      </c>
      <c r="D4076" s="92"/>
      <c r="E4076" s="93"/>
      <c r="F4076" s="94">
        <f>ROUND(C4076*F4075,2)</f>
        <v>0</v>
      </c>
    </row>
    <row r="4077" spans="1:6" ht="12.75" customHeight="1" x14ac:dyDescent="0.2">
      <c r="A4077" s="95"/>
      <c r="B4077" s="424" t="s">
        <v>260</v>
      </c>
      <c r="C4077" s="425"/>
      <c r="D4077" s="425"/>
      <c r="E4077" s="426"/>
      <c r="F4077" s="96">
        <f>F4075+F4076</f>
        <v>0</v>
      </c>
    </row>
    <row r="4078" spans="1:6" ht="12.75" customHeight="1" x14ac:dyDescent="0.2">
      <c r="A4078" s="97" t="s">
        <v>54</v>
      </c>
      <c r="B4078" s="427" t="s">
        <v>268</v>
      </c>
      <c r="C4078" s="428" t="s">
        <v>263</v>
      </c>
      <c r="D4078" s="429" t="s">
        <v>264</v>
      </c>
      <c r="E4078" s="430" t="s">
        <v>265</v>
      </c>
      <c r="F4078" s="57" t="s">
        <v>266</v>
      </c>
    </row>
    <row r="4079" spans="1:6" ht="12.75" customHeight="1" x14ac:dyDescent="0.2">
      <c r="A4079" s="3" t="str">
        <f>'A VII.'!$A$181</f>
        <v>3.1</v>
      </c>
      <c r="B4079" s="74" t="s">
        <v>174</v>
      </c>
      <c r="C4079" s="114">
        <v>0.17</v>
      </c>
      <c r="D4079" s="759" t="str">
        <f>'A VII.'!C181</f>
        <v>H</v>
      </c>
      <c r="E4079" s="85">
        <f>'A VII.'!D181</f>
        <v>0</v>
      </c>
      <c r="F4079" s="59">
        <f t="shared" ref="F4079:F4085" si="249">ROUND(C4079*E4079,2)</f>
        <v>0</v>
      </c>
    </row>
    <row r="4080" spans="1:6" ht="12.75" customHeight="1" x14ac:dyDescent="0.2">
      <c r="A4080" s="3" t="str">
        <f>'A VII.'!$A$187</f>
        <v>3.7</v>
      </c>
      <c r="B4080" s="74" t="s">
        <v>180</v>
      </c>
      <c r="C4080" s="114">
        <v>0.17</v>
      </c>
      <c r="D4080" s="759" t="str">
        <f>'A VII.'!C187</f>
        <v>H</v>
      </c>
      <c r="E4080" s="85">
        <f>'A VII.'!D187</f>
        <v>0</v>
      </c>
      <c r="F4080" s="59">
        <f t="shared" si="249"/>
        <v>0</v>
      </c>
    </row>
    <row r="4081" spans="1:6" ht="12.75" customHeight="1" x14ac:dyDescent="0.2">
      <c r="A4081" s="3"/>
      <c r="C4081" s="114"/>
      <c r="D4081" s="759"/>
      <c r="E4081" s="85"/>
      <c r="F4081" s="59">
        <f t="shared" si="249"/>
        <v>0</v>
      </c>
    </row>
    <row r="4082" spans="1:6" ht="12.75" customHeight="1" x14ac:dyDescent="0.2">
      <c r="A4082" s="3"/>
      <c r="C4082" s="114"/>
      <c r="D4082" s="759"/>
      <c r="E4082" s="85"/>
      <c r="F4082" s="59">
        <f t="shared" si="249"/>
        <v>0</v>
      </c>
    </row>
    <row r="4083" spans="1:6" ht="12.75" customHeight="1" x14ac:dyDescent="0.2">
      <c r="A4083" s="3"/>
      <c r="C4083" s="114"/>
      <c r="D4083" s="759"/>
      <c r="E4083" s="85"/>
      <c r="F4083" s="59">
        <f t="shared" si="249"/>
        <v>0</v>
      </c>
    </row>
    <row r="4084" spans="1:6" ht="12.75" customHeight="1" x14ac:dyDescent="0.2">
      <c r="A4084" s="3"/>
      <c r="C4084" s="114"/>
      <c r="D4084" s="759"/>
      <c r="E4084" s="85"/>
      <c r="F4084" s="59">
        <f t="shared" si="249"/>
        <v>0</v>
      </c>
    </row>
    <row r="4085" spans="1:6" ht="12.75" customHeight="1" x14ac:dyDescent="0.2">
      <c r="A4085" s="3"/>
      <c r="C4085" s="114"/>
      <c r="D4085" s="759"/>
      <c r="E4085" s="85"/>
      <c r="F4085" s="59">
        <f t="shared" si="249"/>
        <v>0</v>
      </c>
    </row>
    <row r="4086" spans="1:6" ht="12.75" customHeight="1" x14ac:dyDescent="0.2">
      <c r="A4086" s="3"/>
      <c r="B4086" s="86" t="s">
        <v>258</v>
      </c>
      <c r="C4086" s="87"/>
      <c r="D4086" s="88"/>
      <c r="E4086" s="89"/>
      <c r="F4086" s="90">
        <f>SUM(F4079:F4085)</f>
        <v>0</v>
      </c>
    </row>
    <row r="4087" spans="1:6" ht="12.75" customHeight="1" x14ac:dyDescent="0.2">
      <c r="A4087" s="3"/>
      <c r="B4087" s="91" t="s">
        <v>261</v>
      </c>
      <c r="C4087" s="15">
        <f>'A IX.'!$C$45</f>
        <v>0</v>
      </c>
      <c r="D4087" s="92"/>
      <c r="E4087" s="93"/>
      <c r="F4087" s="94">
        <f>ROUND(F4086*C4087,2)</f>
        <v>0</v>
      </c>
    </row>
    <row r="4088" spans="1:6" ht="12.75" customHeight="1" x14ac:dyDescent="0.2">
      <c r="A4088" s="3"/>
      <c r="B4088" s="91" t="s">
        <v>70</v>
      </c>
      <c r="C4088" s="15">
        <f>$D$8</f>
        <v>0</v>
      </c>
      <c r="D4088" s="92"/>
      <c r="E4088" s="93"/>
      <c r="F4088" s="94">
        <f>ROUND(SUM(F4086:F4087)*C4088,2)</f>
        <v>0</v>
      </c>
    </row>
    <row r="4089" spans="1:6" ht="12.75" customHeight="1" thickBot="1" x14ac:dyDescent="0.25">
      <c r="A4089" s="98"/>
      <c r="B4089" s="99" t="s">
        <v>262</v>
      </c>
      <c r="C4089" s="100"/>
      <c r="D4089" s="100"/>
      <c r="E4089" s="101"/>
      <c r="F4089" s="102">
        <f>SUM(F4086:F4088)</f>
        <v>0</v>
      </c>
    </row>
    <row r="4090" spans="1:6" ht="12.75" customHeight="1" thickBot="1" x14ac:dyDescent="0.25">
      <c r="A4090" s="252"/>
      <c r="B4090" s="253"/>
      <c r="C4090" s="254"/>
      <c r="D4090" s="254"/>
      <c r="E4090" s="255"/>
      <c r="F4090" s="256"/>
    </row>
    <row r="4091" spans="1:6" ht="30" customHeight="1" x14ac:dyDescent="0.2">
      <c r="A4091" s="5" t="str">
        <f>'A IV.A'!A124</f>
        <v>4.11</v>
      </c>
      <c r="B4091" s="416" t="str">
        <f>'A IV.A'!B124</f>
        <v>CONDUTOR VERTICAL DE ÁGUAS PLUVIAIS EM TUBO PVC, SÉRIE R, ÁGUA PLUVIAL, DN 100 MM, INCLUSIVE CONEXÕES</v>
      </c>
      <c r="C4091" s="526" t="s">
        <v>269</v>
      </c>
      <c r="D4091" s="527"/>
      <c r="E4091" s="417" t="str">
        <f>'A IV.A'!C124</f>
        <v>M</v>
      </c>
      <c r="F4091" s="58">
        <f>ROUND(F4111+F4125+F4137,2)</f>
        <v>0</v>
      </c>
    </row>
    <row r="4092" spans="1:6" ht="12.75" customHeight="1" x14ac:dyDescent="0.2">
      <c r="A4092" s="1" t="s">
        <v>17</v>
      </c>
      <c r="B4092" s="418" t="s">
        <v>162</v>
      </c>
      <c r="C4092" s="419" t="s">
        <v>263</v>
      </c>
      <c r="D4092" s="419" t="s">
        <v>264</v>
      </c>
      <c r="E4092" s="420" t="s">
        <v>265</v>
      </c>
      <c r="F4092" s="57" t="s">
        <v>266</v>
      </c>
    </row>
    <row r="4093" spans="1:6" ht="12.75" customHeight="1" x14ac:dyDescent="0.2">
      <c r="A4093" s="6" t="str">
        <f>'A VII.'!$A$11</f>
        <v>1.2</v>
      </c>
      <c r="B4093" s="421" t="str">
        <f>VLOOKUP(A4093,'A VII.'!$A$10:$D$199,2,FALSE)</f>
        <v>ADESIVO PARA TUBO EM PVC - FRASCO 850 GR.</v>
      </c>
      <c r="C4093" s="114">
        <v>5.0000000000000001E-3</v>
      </c>
      <c r="D4093" s="757" t="str">
        <f>VLOOKUP(A4093,'A VII.'!$A$10:$D$199,3,FALSE)</f>
        <v>UN</v>
      </c>
      <c r="E4093" s="85">
        <f>'A VII.'!D11</f>
        <v>0</v>
      </c>
      <c r="F4093" s="59">
        <f>ROUND(C4093*E4093,2)</f>
        <v>0</v>
      </c>
    </row>
    <row r="4094" spans="1:6" ht="12.75" customHeight="1" x14ac:dyDescent="0.2">
      <c r="A4094" s="6" t="str">
        <f>'A VII.'!$A$118</f>
        <v>1.108</v>
      </c>
      <c r="B4094" s="421" t="str">
        <f>VLOOKUP(A4094,'A VII.'!$A$10:$D$199,2,FALSE)</f>
        <v>TUBO PVC, PL, SERIE R, DN 100 MM, PARA AGUAS PLUVIAIS PREDIAL (NBR 5688)</v>
      </c>
      <c r="C4094" s="114">
        <v>1.04</v>
      </c>
      <c r="D4094" s="757" t="str">
        <f>VLOOKUP(A4094,'A VII.'!$A$10:$D$199,3,FALSE)</f>
        <v>M</v>
      </c>
      <c r="E4094" s="85">
        <f>'A VII.'!D118</f>
        <v>0</v>
      </c>
      <c r="F4094" s="59">
        <f t="shared" ref="F4094:F4108" si="250">ROUND(C4094*E4094,2)</f>
        <v>0</v>
      </c>
    </row>
    <row r="4095" spans="1:6" ht="12.75" customHeight="1" x14ac:dyDescent="0.2">
      <c r="A4095" s="6" t="str">
        <f>'A VII.'!$A$100</f>
        <v>1.90</v>
      </c>
      <c r="B4095" s="421" t="str">
        <f>VLOOKUP(A4095,'A VII.'!$A$10:$D$199,2,FALSE)</f>
        <v>SOLUCAO LIMPADORA PARA PVC, FRASCO COM 1000 CM3</v>
      </c>
      <c r="C4095" s="114">
        <v>8.2000000000000007E-3</v>
      </c>
      <c r="D4095" s="757" t="str">
        <f>VLOOKUP(A4095,'A VII.'!$A$10:$D$199,3,FALSE)</f>
        <v xml:space="preserve">UN </v>
      </c>
      <c r="E4095" s="85">
        <f>'A VII.'!D100</f>
        <v>0</v>
      </c>
      <c r="F4095" s="59">
        <f t="shared" si="250"/>
        <v>0</v>
      </c>
    </row>
    <row r="4096" spans="1:6" ht="12.75" customHeight="1" x14ac:dyDescent="0.2">
      <c r="A4096" s="6" t="str">
        <f>'A VII.'!$A$67</f>
        <v>1.58</v>
      </c>
      <c r="B4096" s="421" t="str">
        <f>VLOOKUP(A4096,'A VII.'!$A$10:$D$199,2,FALSE)</f>
        <v>LIXA D'AGUA EM FOLHA, GRAO 100</v>
      </c>
      <c r="C4096" s="114">
        <v>2.3E-2</v>
      </c>
      <c r="D4096" s="757" t="str">
        <f>VLOOKUP(A4096,'A VII.'!$A$10:$D$199,3,FALSE)</f>
        <v>UN</v>
      </c>
      <c r="E4096" s="85">
        <f>'A VII.'!D67</f>
        <v>0</v>
      </c>
      <c r="F4096" s="59">
        <f t="shared" si="250"/>
        <v>0</v>
      </c>
    </row>
    <row r="4097" spans="1:6" ht="12.75" customHeight="1" x14ac:dyDescent="0.2">
      <c r="A4097" s="6" t="str">
        <f>'A VII.'!$A$64</f>
        <v>1.55</v>
      </c>
      <c r="B4097" s="421" t="str">
        <f>VLOOKUP(A4097,'A VII.'!$A$10:$D$199,2,FALSE)</f>
        <v>JOELHO, PVC SERIE R, 90 GRAUS, DN 100 MM, PARA ESGOTO PREDIAL</v>
      </c>
      <c r="C4097" s="114">
        <v>0.33</v>
      </c>
      <c r="D4097" s="757" t="str">
        <f>VLOOKUP(A4097,'A VII.'!$A$10:$D$199,3,FALSE)</f>
        <v>UN</v>
      </c>
      <c r="E4097" s="85">
        <f>'A VII.'!D64</f>
        <v>0</v>
      </c>
      <c r="F4097" s="59">
        <f t="shared" si="250"/>
        <v>0</v>
      </c>
    </row>
    <row r="4098" spans="1:6" ht="12.75" customHeight="1" x14ac:dyDescent="0.2">
      <c r="A4098" s="6" t="str">
        <f>'A VII.'!$A$71</f>
        <v>1.62</v>
      </c>
      <c r="B4098" s="421" t="str">
        <f>VLOOKUP(A4098,'A VII.'!$A$10:$D$199,2,FALSE)</f>
        <v>LUVA SIMPLES, PVC SERIE REFORCADA - R, 100 MM, PARA ESGOTO PREDIAL</v>
      </c>
      <c r="C4098" s="114">
        <v>0.17</v>
      </c>
      <c r="D4098" s="757" t="str">
        <f>VLOOKUP(A4098,'A VII.'!$A$10:$D$199,3,FALSE)</f>
        <v>UN</v>
      </c>
      <c r="E4098" s="85">
        <f>'A VII.'!D71</f>
        <v>0</v>
      </c>
      <c r="F4098" s="59">
        <f t="shared" si="250"/>
        <v>0</v>
      </c>
    </row>
    <row r="4099" spans="1:6" ht="12.75" customHeight="1" x14ac:dyDescent="0.2">
      <c r="A4099" s="6"/>
      <c r="B4099" s="421"/>
      <c r="C4099" s="114"/>
      <c r="D4099" s="757"/>
      <c r="E4099" s="85"/>
      <c r="F4099" s="59">
        <f t="shared" si="250"/>
        <v>0</v>
      </c>
    </row>
    <row r="4100" spans="1:6" ht="12.75" customHeight="1" x14ac:dyDescent="0.2">
      <c r="A4100" s="6"/>
      <c r="B4100" s="421"/>
      <c r="C4100" s="114"/>
      <c r="D4100" s="757"/>
      <c r="E4100" s="85"/>
      <c r="F4100" s="59">
        <f t="shared" si="250"/>
        <v>0</v>
      </c>
    </row>
    <row r="4101" spans="1:6" ht="12.75" customHeight="1" x14ac:dyDescent="0.2">
      <c r="A4101" s="6"/>
      <c r="B4101" s="421"/>
      <c r="C4101" s="114"/>
      <c r="D4101" s="757"/>
      <c r="E4101" s="85"/>
      <c r="F4101" s="59">
        <f t="shared" si="250"/>
        <v>0</v>
      </c>
    </row>
    <row r="4102" spans="1:6" ht="12.75" customHeight="1" x14ac:dyDescent="0.2">
      <c r="A4102" s="6"/>
      <c r="B4102" s="421"/>
      <c r="C4102" s="114"/>
      <c r="D4102" s="757"/>
      <c r="E4102" s="85"/>
      <c r="F4102" s="59">
        <f t="shared" si="250"/>
        <v>0</v>
      </c>
    </row>
    <row r="4103" spans="1:6" ht="12.75" customHeight="1" x14ac:dyDescent="0.2">
      <c r="A4103" s="6"/>
      <c r="B4103" s="421"/>
      <c r="C4103" s="114"/>
      <c r="D4103" s="757"/>
      <c r="E4103" s="85"/>
      <c r="F4103" s="59">
        <f t="shared" si="250"/>
        <v>0</v>
      </c>
    </row>
    <row r="4104" spans="1:6" ht="12.75" customHeight="1" x14ac:dyDescent="0.2">
      <c r="A4104" s="6"/>
      <c r="B4104" s="421"/>
      <c r="C4104" s="114"/>
      <c r="D4104" s="758"/>
      <c r="E4104" s="85"/>
      <c r="F4104" s="59">
        <f t="shared" si="250"/>
        <v>0</v>
      </c>
    </row>
    <row r="4105" spans="1:6" ht="12.75" customHeight="1" x14ac:dyDescent="0.2">
      <c r="A4105" s="6"/>
      <c r="B4105" s="421" t="str">
        <f>LOWER(B4099)</f>
        <v/>
      </c>
      <c r="C4105" s="114"/>
      <c r="D4105" s="758"/>
      <c r="E4105" s="85"/>
      <c r="F4105" s="59">
        <f t="shared" si="250"/>
        <v>0</v>
      </c>
    </row>
    <row r="4106" spans="1:6" ht="12.75" customHeight="1" x14ac:dyDescent="0.2">
      <c r="A4106" s="6"/>
      <c r="B4106" s="421"/>
      <c r="C4106" s="114"/>
      <c r="D4106" s="758"/>
      <c r="E4106" s="85"/>
      <c r="F4106" s="59">
        <f t="shared" si="250"/>
        <v>0</v>
      </c>
    </row>
    <row r="4107" spans="1:6" ht="12.75" customHeight="1" x14ac:dyDescent="0.2">
      <c r="A4107" s="3"/>
      <c r="C4107" s="114"/>
      <c r="D4107" s="759"/>
      <c r="E4107" s="85"/>
      <c r="F4107" s="59">
        <f t="shared" si="250"/>
        <v>0</v>
      </c>
    </row>
    <row r="4108" spans="1:6" ht="12.75" customHeight="1" x14ac:dyDescent="0.2">
      <c r="A4108" s="3"/>
      <c r="C4108" s="114"/>
      <c r="D4108" s="759"/>
      <c r="E4108" s="85"/>
      <c r="F4108" s="59">
        <f t="shared" si="250"/>
        <v>0</v>
      </c>
    </row>
    <row r="4109" spans="1:6" ht="12.75" customHeight="1" x14ac:dyDescent="0.2">
      <c r="A4109" s="3"/>
      <c r="B4109" s="86" t="s">
        <v>258</v>
      </c>
      <c r="C4109" s="87"/>
      <c r="D4109" s="88"/>
      <c r="E4109" s="89"/>
      <c r="F4109" s="90">
        <f>SUM(F4093:F4108)</f>
        <v>0</v>
      </c>
    </row>
    <row r="4110" spans="1:6" ht="12.75" customHeight="1" x14ac:dyDescent="0.2">
      <c r="A4110" s="3"/>
      <c r="B4110" s="91" t="s">
        <v>70</v>
      </c>
      <c r="C4110" s="15">
        <f>$D$8</f>
        <v>0</v>
      </c>
      <c r="D4110" s="92"/>
      <c r="E4110" s="93"/>
      <c r="F4110" s="94">
        <f>ROUND(F4109*C4110,2)</f>
        <v>0</v>
      </c>
    </row>
    <row r="4111" spans="1:6" ht="12.75" customHeight="1" x14ac:dyDescent="0.2">
      <c r="A4111" s="95"/>
      <c r="B4111" s="424" t="s">
        <v>259</v>
      </c>
      <c r="C4111" s="425"/>
      <c r="D4111" s="425"/>
      <c r="E4111" s="426"/>
      <c r="F4111" s="96">
        <f>F4109+F4110</f>
        <v>0</v>
      </c>
    </row>
    <row r="4112" spans="1:6" ht="12.75" customHeight="1" x14ac:dyDescent="0.2">
      <c r="A4112" s="1" t="s">
        <v>5</v>
      </c>
      <c r="B4112" s="418" t="s">
        <v>267</v>
      </c>
      <c r="C4112" s="419" t="s">
        <v>263</v>
      </c>
      <c r="D4112" s="419" t="s">
        <v>264</v>
      </c>
      <c r="E4112" s="420" t="s">
        <v>265</v>
      </c>
      <c r="F4112" s="57" t="s">
        <v>266</v>
      </c>
    </row>
    <row r="4113" spans="1:6" ht="12.75" customHeight="1" x14ac:dyDescent="0.2">
      <c r="A4113" s="3"/>
      <c r="B4113" s="71"/>
      <c r="C4113" s="114"/>
      <c r="D4113" s="759"/>
      <c r="E4113" s="85"/>
      <c r="F4113" s="59">
        <f t="shared" ref="F4113:F4122" si="251">ROUND(C4113*E4113,2)</f>
        <v>0</v>
      </c>
    </row>
    <row r="4114" spans="1:6" ht="12.75" customHeight="1" x14ac:dyDescent="0.2">
      <c r="A4114" s="3"/>
      <c r="C4114" s="114"/>
      <c r="D4114" s="759"/>
      <c r="E4114" s="85"/>
      <c r="F4114" s="59">
        <f t="shared" si="251"/>
        <v>0</v>
      </c>
    </row>
    <row r="4115" spans="1:6" ht="12.75" customHeight="1" x14ac:dyDescent="0.2">
      <c r="A4115" s="3"/>
      <c r="C4115" s="114"/>
      <c r="D4115" s="759"/>
      <c r="E4115" s="85"/>
      <c r="F4115" s="59">
        <f t="shared" si="251"/>
        <v>0</v>
      </c>
    </row>
    <row r="4116" spans="1:6" ht="12.75" customHeight="1" x14ac:dyDescent="0.2">
      <c r="A4116" s="3"/>
      <c r="C4116" s="114"/>
      <c r="D4116" s="759"/>
      <c r="E4116" s="85"/>
      <c r="F4116" s="59">
        <f t="shared" si="251"/>
        <v>0</v>
      </c>
    </row>
    <row r="4117" spans="1:6" ht="12.75" customHeight="1" x14ac:dyDescent="0.2">
      <c r="A4117" s="3"/>
      <c r="C4117" s="114"/>
      <c r="D4117" s="759"/>
      <c r="E4117" s="85"/>
      <c r="F4117" s="59">
        <f t="shared" si="251"/>
        <v>0</v>
      </c>
    </row>
    <row r="4118" spans="1:6" ht="12.75" customHeight="1" x14ac:dyDescent="0.2">
      <c r="A4118" s="3"/>
      <c r="C4118" s="114"/>
      <c r="D4118" s="759"/>
      <c r="E4118" s="85"/>
      <c r="F4118" s="59">
        <f t="shared" si="251"/>
        <v>0</v>
      </c>
    </row>
    <row r="4119" spans="1:6" ht="12.75" customHeight="1" x14ac:dyDescent="0.2">
      <c r="A4119" s="3"/>
      <c r="C4119" s="114"/>
      <c r="D4119" s="759"/>
      <c r="E4119" s="85"/>
      <c r="F4119" s="59">
        <f t="shared" si="251"/>
        <v>0</v>
      </c>
    </row>
    <row r="4120" spans="1:6" ht="12.75" customHeight="1" x14ac:dyDescent="0.2">
      <c r="A4120" s="3"/>
      <c r="C4120" s="114"/>
      <c r="D4120" s="759"/>
      <c r="E4120" s="85"/>
      <c r="F4120" s="59">
        <f t="shared" si="251"/>
        <v>0</v>
      </c>
    </row>
    <row r="4121" spans="1:6" ht="12.75" customHeight="1" x14ac:dyDescent="0.2">
      <c r="A4121" s="3"/>
      <c r="C4121" s="114"/>
      <c r="D4121" s="759"/>
      <c r="E4121" s="85"/>
      <c r="F4121" s="59">
        <f t="shared" si="251"/>
        <v>0</v>
      </c>
    </row>
    <row r="4122" spans="1:6" ht="12.75" customHeight="1" x14ac:dyDescent="0.2">
      <c r="A4122" s="3"/>
      <c r="C4122" s="114"/>
      <c r="D4122" s="759"/>
      <c r="E4122" s="85"/>
      <c r="F4122" s="59">
        <f t="shared" si="251"/>
        <v>0</v>
      </c>
    </row>
    <row r="4123" spans="1:6" ht="12.75" customHeight="1" x14ac:dyDescent="0.2">
      <c r="A4123" s="3"/>
      <c r="B4123" s="86" t="s">
        <v>258</v>
      </c>
      <c r="C4123" s="87"/>
      <c r="D4123" s="88"/>
      <c r="E4123" s="89"/>
      <c r="F4123" s="90">
        <f>SUM(F4113:F4122)</f>
        <v>0</v>
      </c>
    </row>
    <row r="4124" spans="1:6" ht="12.75" customHeight="1" x14ac:dyDescent="0.2">
      <c r="A4124" s="3"/>
      <c r="B4124" s="91" t="s">
        <v>70</v>
      </c>
      <c r="C4124" s="15">
        <f>$D$8</f>
        <v>0</v>
      </c>
      <c r="D4124" s="92"/>
      <c r="E4124" s="93"/>
      <c r="F4124" s="94">
        <f>ROUND(C4124*F4123,2)</f>
        <v>0</v>
      </c>
    </row>
    <row r="4125" spans="1:6" ht="12.75" customHeight="1" x14ac:dyDescent="0.2">
      <c r="A4125" s="95"/>
      <c r="B4125" s="424" t="s">
        <v>260</v>
      </c>
      <c r="C4125" s="425"/>
      <c r="D4125" s="425"/>
      <c r="E4125" s="426"/>
      <c r="F4125" s="96">
        <f>F4123+F4124</f>
        <v>0</v>
      </c>
    </row>
    <row r="4126" spans="1:6" ht="12.75" customHeight="1" x14ac:dyDescent="0.2">
      <c r="A4126" s="97" t="s">
        <v>54</v>
      </c>
      <c r="B4126" s="427" t="s">
        <v>268</v>
      </c>
      <c r="C4126" s="428" t="s">
        <v>263</v>
      </c>
      <c r="D4126" s="429" t="s">
        <v>264</v>
      </c>
      <c r="E4126" s="430" t="s">
        <v>265</v>
      </c>
      <c r="F4126" s="57" t="s">
        <v>266</v>
      </c>
    </row>
    <row r="4127" spans="1:6" ht="12.75" customHeight="1" x14ac:dyDescent="0.2">
      <c r="A4127" s="3" t="str">
        <f>'A VII.'!$A$181</f>
        <v>3.1</v>
      </c>
      <c r="B4127" s="74" t="s">
        <v>174</v>
      </c>
      <c r="C4127" s="114">
        <v>0.11</v>
      </c>
      <c r="D4127" s="759" t="str">
        <f>VLOOKUP(A4127,'A VII.'!$A$10:$D$199,3,FALSE)</f>
        <v>H</v>
      </c>
      <c r="E4127" s="85">
        <f>'A VII.'!D181</f>
        <v>0</v>
      </c>
      <c r="F4127" s="59">
        <f t="shared" ref="F4127:F4133" si="252">ROUND(C4127*E4127,2)</f>
        <v>0</v>
      </c>
    </row>
    <row r="4128" spans="1:6" ht="12.75" customHeight="1" x14ac:dyDescent="0.2">
      <c r="A4128" s="3" t="str">
        <f>'A VII.'!$A$187</f>
        <v>3.7</v>
      </c>
      <c r="B4128" s="74" t="s">
        <v>180</v>
      </c>
      <c r="C4128" s="114">
        <v>0.11</v>
      </c>
      <c r="D4128" s="759" t="str">
        <f>VLOOKUP(A4128,'A VII.'!$A$10:$D$199,3,FALSE)</f>
        <v>H</v>
      </c>
      <c r="E4128" s="85">
        <f>'A VII.'!D187</f>
        <v>0</v>
      </c>
      <c r="F4128" s="59">
        <f t="shared" si="252"/>
        <v>0</v>
      </c>
    </row>
    <row r="4129" spans="1:6" ht="12.75" customHeight="1" x14ac:dyDescent="0.2">
      <c r="A4129" s="3"/>
      <c r="C4129" s="114"/>
      <c r="D4129" s="759"/>
      <c r="E4129" s="85"/>
      <c r="F4129" s="59">
        <f t="shared" si="252"/>
        <v>0</v>
      </c>
    </row>
    <row r="4130" spans="1:6" ht="12.75" customHeight="1" x14ac:dyDescent="0.2">
      <c r="A4130" s="3"/>
      <c r="C4130" s="114"/>
      <c r="D4130" s="759"/>
      <c r="E4130" s="85"/>
      <c r="F4130" s="59">
        <f t="shared" si="252"/>
        <v>0</v>
      </c>
    </row>
    <row r="4131" spans="1:6" ht="12.75" customHeight="1" x14ac:dyDescent="0.2">
      <c r="A4131" s="3"/>
      <c r="C4131" s="114"/>
      <c r="D4131" s="759"/>
      <c r="E4131" s="85"/>
      <c r="F4131" s="59">
        <f t="shared" si="252"/>
        <v>0</v>
      </c>
    </row>
    <row r="4132" spans="1:6" ht="12.75" customHeight="1" x14ac:dyDescent="0.2">
      <c r="A4132" s="3"/>
      <c r="C4132" s="114"/>
      <c r="D4132" s="759"/>
      <c r="E4132" s="85"/>
      <c r="F4132" s="59">
        <f t="shared" si="252"/>
        <v>0</v>
      </c>
    </row>
    <row r="4133" spans="1:6" ht="12.75" customHeight="1" x14ac:dyDescent="0.2">
      <c r="A4133" s="3"/>
      <c r="C4133" s="114"/>
      <c r="D4133" s="759"/>
      <c r="E4133" s="85"/>
      <c r="F4133" s="59">
        <f t="shared" si="252"/>
        <v>0</v>
      </c>
    </row>
    <row r="4134" spans="1:6" ht="12.75" customHeight="1" x14ac:dyDescent="0.2">
      <c r="A4134" s="3"/>
      <c r="B4134" s="86" t="s">
        <v>258</v>
      </c>
      <c r="C4134" s="87"/>
      <c r="D4134" s="88"/>
      <c r="E4134" s="89"/>
      <c r="F4134" s="90">
        <f>SUM(F4127:F4133)</f>
        <v>0</v>
      </c>
    </row>
    <row r="4135" spans="1:6" ht="12.75" customHeight="1" x14ac:dyDescent="0.2">
      <c r="A4135" s="3"/>
      <c r="B4135" s="91" t="s">
        <v>261</v>
      </c>
      <c r="C4135" s="15">
        <f>'A IX.'!$C$45</f>
        <v>0</v>
      </c>
      <c r="D4135" s="92"/>
      <c r="E4135" s="93"/>
      <c r="F4135" s="94">
        <f>ROUND(F4134*C4135,2)</f>
        <v>0</v>
      </c>
    </row>
    <row r="4136" spans="1:6" ht="12.75" customHeight="1" x14ac:dyDescent="0.2">
      <c r="A4136" s="3"/>
      <c r="B4136" s="91" t="s">
        <v>70</v>
      </c>
      <c r="C4136" s="15">
        <f>$D$8</f>
        <v>0</v>
      </c>
      <c r="D4136" s="92"/>
      <c r="E4136" s="93"/>
      <c r="F4136" s="94">
        <f>ROUND(SUM(F4134:F4135)*C4136,2)</f>
        <v>0</v>
      </c>
    </row>
    <row r="4137" spans="1:6" ht="12.75" customHeight="1" thickBot="1" x14ac:dyDescent="0.25">
      <c r="A4137" s="98"/>
      <c r="B4137" s="99" t="s">
        <v>262</v>
      </c>
      <c r="C4137" s="100"/>
      <c r="D4137" s="100"/>
      <c r="E4137" s="101"/>
      <c r="F4137" s="102">
        <f>SUM(F4134:F4136)</f>
        <v>0</v>
      </c>
    </row>
    <row r="4138" spans="1:6" ht="12.75" customHeight="1" thickBot="1" x14ac:dyDescent="0.25">
      <c r="A4138" s="81"/>
      <c r="B4138" s="82"/>
      <c r="C4138" s="83"/>
      <c r="D4138" s="83"/>
      <c r="E4138" s="84"/>
      <c r="F4138" s="103"/>
    </row>
    <row r="4139" spans="1:6" ht="30" customHeight="1" x14ac:dyDescent="0.2">
      <c r="A4139" s="5" t="str">
        <f>'A IV.A'!$A$128</f>
        <v>5.1</v>
      </c>
      <c r="B4139" s="416" t="str">
        <f>'A IV.A'!$B$128</f>
        <v xml:space="preserve">IDENTIFICAÇÃO DE TRINCAS, MAPEAMENTO, PREPARAÇÃO  E TRATAMENTO COM MASTIQUE </v>
      </c>
      <c r="C4139" s="526" t="s">
        <v>269</v>
      </c>
      <c r="D4139" s="527"/>
      <c r="E4139" s="417" t="str">
        <f>'A IV.A'!C$128</f>
        <v>M</v>
      </c>
      <c r="F4139" s="58">
        <f>ROUND(F4159+F4173+F4185,2)</f>
        <v>0</v>
      </c>
    </row>
    <row r="4140" spans="1:6" ht="12.75" customHeight="1" x14ac:dyDescent="0.2">
      <c r="A4140" s="1" t="s">
        <v>17</v>
      </c>
      <c r="B4140" s="418" t="s">
        <v>162</v>
      </c>
      <c r="C4140" s="419" t="s">
        <v>263</v>
      </c>
      <c r="D4140" s="419" t="s">
        <v>264</v>
      </c>
      <c r="E4140" s="420" t="s">
        <v>265</v>
      </c>
      <c r="F4140" s="57" t="s">
        <v>266</v>
      </c>
    </row>
    <row r="4141" spans="1:6" ht="12.75" customHeight="1" x14ac:dyDescent="0.2">
      <c r="A4141" s="6" t="str">
        <f>'A VII.'!$A$99</f>
        <v>1.89</v>
      </c>
      <c r="B4141" s="421" t="str">
        <f>VLOOKUP(A4141,'A VII.'!$A$10:$D$199,2,FALSE)</f>
        <v>SELANTE ELASTICO MONOCOMPONENTE A BASE DE POLIURETANO PARA JUNTAS DIVERSAS</v>
      </c>
      <c r="C4141" s="114">
        <v>0.2</v>
      </c>
      <c r="D4141" s="757" t="str">
        <f>VLOOKUP(A4141,'A VII.'!$A$10:$D$199,3,FALSE)</f>
        <v>310 ML</v>
      </c>
      <c r="E4141" s="85">
        <f>'A VII.'!D99</f>
        <v>0</v>
      </c>
      <c r="F4141" s="59">
        <f>ROUND(C4141*E4141,2)</f>
        <v>0</v>
      </c>
    </row>
    <row r="4142" spans="1:6" ht="12.75" customHeight="1" x14ac:dyDescent="0.2">
      <c r="A4142" s="6"/>
      <c r="B4142" s="421"/>
      <c r="C4142" s="114"/>
      <c r="D4142" s="757"/>
      <c r="E4142" s="85"/>
      <c r="F4142" s="59">
        <f t="shared" ref="F4142:F4156" si="253">ROUND(C4142*E4142,2)</f>
        <v>0</v>
      </c>
    </row>
    <row r="4143" spans="1:6" ht="12.75" customHeight="1" x14ac:dyDescent="0.2">
      <c r="A4143" s="6"/>
      <c r="B4143" s="421"/>
      <c r="C4143" s="114"/>
      <c r="D4143" s="757"/>
      <c r="E4143" s="85"/>
      <c r="F4143" s="59">
        <f t="shared" si="253"/>
        <v>0</v>
      </c>
    </row>
    <row r="4144" spans="1:6" ht="12.75" customHeight="1" x14ac:dyDescent="0.2">
      <c r="A4144" s="6"/>
      <c r="B4144" s="421"/>
      <c r="C4144" s="114"/>
      <c r="D4144" s="757"/>
      <c r="E4144" s="85"/>
      <c r="F4144" s="59">
        <f t="shared" si="253"/>
        <v>0</v>
      </c>
    </row>
    <row r="4145" spans="1:6" ht="12.75" customHeight="1" x14ac:dyDescent="0.2">
      <c r="A4145" s="6"/>
      <c r="B4145" s="421"/>
      <c r="C4145" s="114"/>
      <c r="D4145" s="757"/>
      <c r="E4145" s="85"/>
      <c r="F4145" s="59">
        <f t="shared" si="253"/>
        <v>0</v>
      </c>
    </row>
    <row r="4146" spans="1:6" ht="12.75" customHeight="1" x14ac:dyDescent="0.2">
      <c r="A4146" s="6"/>
      <c r="B4146" s="421"/>
      <c r="C4146" s="114"/>
      <c r="D4146" s="757"/>
      <c r="E4146" s="85"/>
      <c r="F4146" s="59">
        <f t="shared" si="253"/>
        <v>0</v>
      </c>
    </row>
    <row r="4147" spans="1:6" ht="12.75" customHeight="1" x14ac:dyDescent="0.2">
      <c r="A4147" s="6"/>
      <c r="B4147" s="421"/>
      <c r="C4147" s="114"/>
      <c r="D4147" s="757"/>
      <c r="E4147" s="85"/>
      <c r="F4147" s="59">
        <f t="shared" si="253"/>
        <v>0</v>
      </c>
    </row>
    <row r="4148" spans="1:6" ht="12.75" customHeight="1" x14ac:dyDescent="0.2">
      <c r="A4148" s="6"/>
      <c r="B4148" s="421"/>
      <c r="C4148" s="114"/>
      <c r="D4148" s="757"/>
      <c r="E4148" s="85"/>
      <c r="F4148" s="59">
        <f t="shared" si="253"/>
        <v>0</v>
      </c>
    </row>
    <row r="4149" spans="1:6" ht="12.75" customHeight="1" x14ac:dyDescent="0.2">
      <c r="A4149" s="6"/>
      <c r="B4149" s="421"/>
      <c r="C4149" s="114"/>
      <c r="D4149" s="757"/>
      <c r="E4149" s="85"/>
      <c r="F4149" s="59">
        <f t="shared" si="253"/>
        <v>0</v>
      </c>
    </row>
    <row r="4150" spans="1:6" ht="12.75" customHeight="1" x14ac:dyDescent="0.2">
      <c r="A4150" s="6"/>
      <c r="B4150" s="421"/>
      <c r="C4150" s="114"/>
      <c r="D4150" s="757"/>
      <c r="E4150" s="85"/>
      <c r="F4150" s="59">
        <f t="shared" si="253"/>
        <v>0</v>
      </c>
    </row>
    <row r="4151" spans="1:6" ht="12.75" customHeight="1" x14ac:dyDescent="0.2">
      <c r="A4151" s="6"/>
      <c r="B4151" s="421"/>
      <c r="C4151" s="114"/>
      <c r="D4151" s="757"/>
      <c r="E4151" s="85"/>
      <c r="F4151" s="59">
        <f t="shared" si="253"/>
        <v>0</v>
      </c>
    </row>
    <row r="4152" spans="1:6" ht="12.75" customHeight="1" x14ac:dyDescent="0.2">
      <c r="A4152" s="6"/>
      <c r="B4152" s="421"/>
      <c r="C4152" s="114"/>
      <c r="D4152" s="758"/>
      <c r="E4152" s="85"/>
      <c r="F4152" s="59">
        <f t="shared" si="253"/>
        <v>0</v>
      </c>
    </row>
    <row r="4153" spans="1:6" ht="12.75" customHeight="1" x14ac:dyDescent="0.2">
      <c r="A4153" s="6"/>
      <c r="B4153" s="421"/>
      <c r="C4153" s="114"/>
      <c r="D4153" s="758"/>
      <c r="E4153" s="85"/>
      <c r="F4153" s="59">
        <f t="shared" si="253"/>
        <v>0</v>
      </c>
    </row>
    <row r="4154" spans="1:6" ht="12.75" customHeight="1" x14ac:dyDescent="0.2">
      <c r="A4154" s="6"/>
      <c r="B4154" s="421"/>
      <c r="C4154" s="114"/>
      <c r="D4154" s="758"/>
      <c r="E4154" s="85"/>
      <c r="F4154" s="59">
        <f t="shared" si="253"/>
        <v>0</v>
      </c>
    </row>
    <row r="4155" spans="1:6" ht="12.75" customHeight="1" x14ac:dyDescent="0.2">
      <c r="A4155" s="3"/>
      <c r="C4155" s="114"/>
      <c r="D4155" s="759"/>
      <c r="E4155" s="85"/>
      <c r="F4155" s="59">
        <f t="shared" si="253"/>
        <v>0</v>
      </c>
    </row>
    <row r="4156" spans="1:6" ht="12.75" customHeight="1" x14ac:dyDescent="0.2">
      <c r="A4156" s="3"/>
      <c r="C4156" s="114"/>
      <c r="D4156" s="759"/>
      <c r="E4156" s="85"/>
      <c r="F4156" s="59">
        <f t="shared" si="253"/>
        <v>0</v>
      </c>
    </row>
    <row r="4157" spans="1:6" ht="12.75" customHeight="1" x14ac:dyDescent="0.2">
      <c r="A4157" s="3"/>
      <c r="B4157" s="86" t="s">
        <v>258</v>
      </c>
      <c r="C4157" s="87"/>
      <c r="D4157" s="88"/>
      <c r="E4157" s="89"/>
      <c r="F4157" s="90">
        <f>SUM(F4141:F4156)</f>
        <v>0</v>
      </c>
    </row>
    <row r="4158" spans="1:6" ht="12.75" customHeight="1" x14ac:dyDescent="0.2">
      <c r="A4158" s="3"/>
      <c r="B4158" s="91" t="s">
        <v>70</v>
      </c>
      <c r="C4158" s="15">
        <f>$D$8</f>
        <v>0</v>
      </c>
      <c r="D4158" s="92"/>
      <c r="E4158" s="93"/>
      <c r="F4158" s="94">
        <f>ROUND(F4157*C4158,2)</f>
        <v>0</v>
      </c>
    </row>
    <row r="4159" spans="1:6" ht="12.75" customHeight="1" x14ac:dyDescent="0.2">
      <c r="A4159" s="95"/>
      <c r="B4159" s="424" t="s">
        <v>259</v>
      </c>
      <c r="C4159" s="425"/>
      <c r="D4159" s="425"/>
      <c r="E4159" s="426"/>
      <c r="F4159" s="96">
        <f>F4157+F4158</f>
        <v>0</v>
      </c>
    </row>
    <row r="4160" spans="1:6" ht="12.75" customHeight="1" x14ac:dyDescent="0.2">
      <c r="A4160" s="1" t="s">
        <v>5</v>
      </c>
      <c r="B4160" s="418" t="s">
        <v>267</v>
      </c>
      <c r="C4160" s="419" t="s">
        <v>263</v>
      </c>
      <c r="D4160" s="419" t="s">
        <v>264</v>
      </c>
      <c r="E4160" s="420" t="s">
        <v>265</v>
      </c>
      <c r="F4160" s="57" t="s">
        <v>266</v>
      </c>
    </row>
    <row r="4161" spans="1:6" ht="12.75" customHeight="1" x14ac:dyDescent="0.2">
      <c r="A4161" s="3"/>
      <c r="B4161" s="71"/>
      <c r="C4161" s="114"/>
      <c r="D4161" s="759"/>
      <c r="E4161" s="85"/>
      <c r="F4161" s="59">
        <f t="shared" ref="F4161:F4170" si="254">ROUND(C4161*E4161,2)</f>
        <v>0</v>
      </c>
    </row>
    <row r="4162" spans="1:6" ht="12.75" customHeight="1" x14ac:dyDescent="0.2">
      <c r="A4162" s="3"/>
      <c r="C4162" s="114"/>
      <c r="D4162" s="759"/>
      <c r="E4162" s="85"/>
      <c r="F4162" s="59">
        <f t="shared" si="254"/>
        <v>0</v>
      </c>
    </row>
    <row r="4163" spans="1:6" ht="12.75" customHeight="1" x14ac:dyDescent="0.2">
      <c r="A4163" s="3"/>
      <c r="C4163" s="114"/>
      <c r="D4163" s="759"/>
      <c r="E4163" s="85"/>
      <c r="F4163" s="59">
        <f t="shared" si="254"/>
        <v>0</v>
      </c>
    </row>
    <row r="4164" spans="1:6" ht="12.75" customHeight="1" x14ac:dyDescent="0.2">
      <c r="A4164" s="3"/>
      <c r="C4164" s="114"/>
      <c r="D4164" s="759"/>
      <c r="E4164" s="85"/>
      <c r="F4164" s="59">
        <f t="shared" si="254"/>
        <v>0</v>
      </c>
    </row>
    <row r="4165" spans="1:6" ht="12.75" customHeight="1" x14ac:dyDescent="0.2">
      <c r="A4165" s="3"/>
      <c r="C4165" s="114"/>
      <c r="D4165" s="759"/>
      <c r="E4165" s="85"/>
      <c r="F4165" s="59">
        <f t="shared" si="254"/>
        <v>0</v>
      </c>
    </row>
    <row r="4166" spans="1:6" ht="12.75" customHeight="1" x14ac:dyDescent="0.2">
      <c r="A4166" s="3"/>
      <c r="C4166" s="114"/>
      <c r="D4166" s="759"/>
      <c r="E4166" s="85"/>
      <c r="F4166" s="59">
        <f t="shared" si="254"/>
        <v>0</v>
      </c>
    </row>
    <row r="4167" spans="1:6" ht="12.75" customHeight="1" x14ac:dyDescent="0.2">
      <c r="A4167" s="3"/>
      <c r="C4167" s="114"/>
      <c r="D4167" s="759"/>
      <c r="E4167" s="85"/>
      <c r="F4167" s="59">
        <f t="shared" si="254"/>
        <v>0</v>
      </c>
    </row>
    <row r="4168" spans="1:6" ht="12.75" customHeight="1" x14ac:dyDescent="0.2">
      <c r="A4168" s="3"/>
      <c r="C4168" s="114"/>
      <c r="D4168" s="759"/>
      <c r="E4168" s="85"/>
      <c r="F4168" s="59">
        <f t="shared" si="254"/>
        <v>0</v>
      </c>
    </row>
    <row r="4169" spans="1:6" ht="12.75" customHeight="1" x14ac:dyDescent="0.2">
      <c r="A4169" s="3"/>
      <c r="C4169" s="114"/>
      <c r="D4169" s="759"/>
      <c r="E4169" s="85"/>
      <c r="F4169" s="59">
        <f t="shared" si="254"/>
        <v>0</v>
      </c>
    </row>
    <row r="4170" spans="1:6" ht="12.75" customHeight="1" x14ac:dyDescent="0.2">
      <c r="A4170" s="3"/>
      <c r="C4170" s="114"/>
      <c r="D4170" s="759"/>
      <c r="E4170" s="85"/>
      <c r="F4170" s="59">
        <f t="shared" si="254"/>
        <v>0</v>
      </c>
    </row>
    <row r="4171" spans="1:6" ht="12.75" customHeight="1" x14ac:dyDescent="0.2">
      <c r="A4171" s="3"/>
      <c r="B4171" s="86" t="s">
        <v>258</v>
      </c>
      <c r="C4171" s="87"/>
      <c r="D4171" s="88"/>
      <c r="E4171" s="89"/>
      <c r="F4171" s="90">
        <f>SUM(F4161:F4170)</f>
        <v>0</v>
      </c>
    </row>
    <row r="4172" spans="1:6" ht="12.75" customHeight="1" x14ac:dyDescent="0.2">
      <c r="A4172" s="3"/>
      <c r="B4172" s="91" t="s">
        <v>70</v>
      </c>
      <c r="C4172" s="15">
        <f>$D$8</f>
        <v>0</v>
      </c>
      <c r="D4172" s="92"/>
      <c r="E4172" s="93"/>
      <c r="F4172" s="94">
        <f>ROUND(C4172*F4171,2)</f>
        <v>0</v>
      </c>
    </row>
    <row r="4173" spans="1:6" ht="12.75" customHeight="1" x14ac:dyDescent="0.2">
      <c r="A4173" s="95"/>
      <c r="B4173" s="424" t="s">
        <v>260</v>
      </c>
      <c r="C4173" s="425"/>
      <c r="D4173" s="425"/>
      <c r="E4173" s="426"/>
      <c r="F4173" s="96">
        <f>F4171+F4172</f>
        <v>0</v>
      </c>
    </row>
    <row r="4174" spans="1:6" ht="12.75" customHeight="1" x14ac:dyDescent="0.2">
      <c r="A4174" s="97" t="s">
        <v>54</v>
      </c>
      <c r="B4174" s="427" t="s">
        <v>268</v>
      </c>
      <c r="C4174" s="428" t="s">
        <v>263</v>
      </c>
      <c r="D4174" s="429" t="s">
        <v>264</v>
      </c>
      <c r="E4174" s="430" t="s">
        <v>265</v>
      </c>
      <c r="F4174" s="57" t="s">
        <v>266</v>
      </c>
    </row>
    <row r="4175" spans="1:6" ht="12.75" customHeight="1" x14ac:dyDescent="0.2">
      <c r="A4175" s="3" t="str">
        <f>'A VII.'!$A$196</f>
        <v>3.16</v>
      </c>
      <c r="B4175" s="74" t="s">
        <v>189</v>
      </c>
      <c r="C4175" s="114">
        <v>0.4</v>
      </c>
      <c r="D4175" s="759" t="str">
        <f>VLOOKUP(A4175,'A VII.'!$A$10:$D$199,3,FALSE)</f>
        <v>H</v>
      </c>
      <c r="E4175" s="85">
        <f>'A VII.'!$D$196</f>
        <v>0</v>
      </c>
      <c r="F4175" s="59">
        <f t="shared" ref="F4175:F4181" si="255">ROUND(C4175*E4175,2)</f>
        <v>0</v>
      </c>
    </row>
    <row r="4176" spans="1:6" ht="12.75" customHeight="1" x14ac:dyDescent="0.2">
      <c r="A4176" s="3" t="str">
        <f>'A VII.'!$A$192</f>
        <v>3.12</v>
      </c>
      <c r="B4176" s="74" t="s">
        <v>185</v>
      </c>
      <c r="C4176" s="114">
        <v>0.8</v>
      </c>
      <c r="D4176" s="759" t="str">
        <f>VLOOKUP(A4176,'A VII.'!$A$10:$D$199,3,FALSE)</f>
        <v>H</v>
      </c>
      <c r="E4176" s="85">
        <f>'A VII.'!$D$192</f>
        <v>0</v>
      </c>
      <c r="F4176" s="59">
        <f t="shared" si="255"/>
        <v>0</v>
      </c>
    </row>
    <row r="4177" spans="1:6" ht="12.75" customHeight="1" x14ac:dyDescent="0.2">
      <c r="A4177" s="3"/>
      <c r="C4177" s="114"/>
      <c r="D4177" s="759"/>
      <c r="E4177" s="85"/>
      <c r="F4177" s="59">
        <f t="shared" si="255"/>
        <v>0</v>
      </c>
    </row>
    <row r="4178" spans="1:6" ht="12.75" customHeight="1" x14ac:dyDescent="0.2">
      <c r="A4178" s="3"/>
      <c r="C4178" s="114"/>
      <c r="D4178" s="759"/>
      <c r="E4178" s="85"/>
      <c r="F4178" s="59">
        <f t="shared" si="255"/>
        <v>0</v>
      </c>
    </row>
    <row r="4179" spans="1:6" ht="12.75" customHeight="1" x14ac:dyDescent="0.2">
      <c r="A4179" s="3"/>
      <c r="C4179" s="114"/>
      <c r="D4179" s="759"/>
      <c r="E4179" s="85"/>
      <c r="F4179" s="59">
        <f t="shared" si="255"/>
        <v>0</v>
      </c>
    </row>
    <row r="4180" spans="1:6" ht="12.75" customHeight="1" x14ac:dyDescent="0.2">
      <c r="A4180" s="3"/>
      <c r="C4180" s="114"/>
      <c r="D4180" s="759"/>
      <c r="E4180" s="85"/>
      <c r="F4180" s="59">
        <f t="shared" si="255"/>
        <v>0</v>
      </c>
    </row>
    <row r="4181" spans="1:6" ht="12.75" customHeight="1" x14ac:dyDescent="0.2">
      <c r="A4181" s="3"/>
      <c r="C4181" s="114"/>
      <c r="D4181" s="759"/>
      <c r="E4181" s="85"/>
      <c r="F4181" s="59">
        <f t="shared" si="255"/>
        <v>0</v>
      </c>
    </row>
    <row r="4182" spans="1:6" ht="12.75" customHeight="1" x14ac:dyDescent="0.2">
      <c r="A4182" s="3"/>
      <c r="B4182" s="86" t="s">
        <v>258</v>
      </c>
      <c r="C4182" s="87"/>
      <c r="D4182" s="88"/>
      <c r="E4182" s="89"/>
      <c r="F4182" s="90">
        <f>SUM(F4175:F4181)</f>
        <v>0</v>
      </c>
    </row>
    <row r="4183" spans="1:6" ht="12.75" customHeight="1" x14ac:dyDescent="0.2">
      <c r="A4183" s="3"/>
      <c r="B4183" s="91" t="s">
        <v>261</v>
      </c>
      <c r="C4183" s="15">
        <f>'A IX.'!$C$45</f>
        <v>0</v>
      </c>
      <c r="D4183" s="92"/>
      <c r="E4183" s="93"/>
      <c r="F4183" s="94">
        <f>ROUND(F4182*C4183,2)</f>
        <v>0</v>
      </c>
    </row>
    <row r="4184" spans="1:6" ht="12.75" customHeight="1" x14ac:dyDescent="0.2">
      <c r="A4184" s="3"/>
      <c r="B4184" s="91" t="s">
        <v>70</v>
      </c>
      <c r="C4184" s="15">
        <f>$D$8</f>
        <v>0</v>
      </c>
      <c r="D4184" s="92"/>
      <c r="E4184" s="93"/>
      <c r="F4184" s="94">
        <f>ROUND(SUM(F4182:F4183)*C4184,2)</f>
        <v>0</v>
      </c>
    </row>
    <row r="4185" spans="1:6" ht="12.75" customHeight="1" thickBot="1" x14ac:dyDescent="0.25">
      <c r="A4185" s="98"/>
      <c r="B4185" s="99" t="s">
        <v>262</v>
      </c>
      <c r="C4185" s="100"/>
      <c r="D4185" s="100"/>
      <c r="E4185" s="101"/>
      <c r="F4185" s="102">
        <f>SUM(F4182:F4184)</f>
        <v>0</v>
      </c>
    </row>
    <row r="4186" spans="1:6" ht="12.75" customHeight="1" thickBot="1" x14ac:dyDescent="0.25">
      <c r="A4186" s="81"/>
      <c r="B4186" s="82"/>
      <c r="C4186" s="83"/>
      <c r="D4186" s="83"/>
      <c r="E4186" s="84"/>
      <c r="F4186" s="103"/>
    </row>
    <row r="4187" spans="1:6" ht="30" customHeight="1" x14ac:dyDescent="0.2">
      <c r="A4187" s="5" t="str">
        <f>'A IV.A'!A129</f>
        <v>5.2</v>
      </c>
      <c r="B4187" s="416" t="str">
        <f>'A IV.A'!B129</f>
        <v xml:space="preserve">IMPERMEABILIZACAO DE SUPERFICIE COM CIMENTO IMPERMEABILIZANTE DE PEGA ULTRARRAPIDA </v>
      </c>
      <c r="C4187" s="526" t="s">
        <v>269</v>
      </c>
      <c r="D4187" s="527"/>
      <c r="E4187" s="417" t="str">
        <f>'A IV.A'!C129</f>
        <v>M2</v>
      </c>
      <c r="F4187" s="58">
        <f>ROUND(F4207+F4221+F4233,2)</f>
        <v>0</v>
      </c>
    </row>
    <row r="4188" spans="1:6" ht="12.75" customHeight="1" x14ac:dyDescent="0.2">
      <c r="A4188" s="1" t="s">
        <v>17</v>
      </c>
      <c r="B4188" s="418" t="s">
        <v>162</v>
      </c>
      <c r="C4188" s="419" t="s">
        <v>263</v>
      </c>
      <c r="D4188" s="419" t="s">
        <v>264</v>
      </c>
      <c r="E4188" s="420" t="s">
        <v>265</v>
      </c>
      <c r="F4188" s="57" t="s">
        <v>266</v>
      </c>
    </row>
    <row r="4189" spans="1:6" ht="12.75" customHeight="1" x14ac:dyDescent="0.2">
      <c r="A4189" s="6" t="str">
        <f>'A VII.'!$A$37</f>
        <v>1.28</v>
      </c>
      <c r="B4189" s="421" t="str">
        <f>'A VII.'!B37</f>
        <v>CIMENTO IMPERMEABILIZANTE DE PEGA ULTRARRAPIDA PARA TAMPONAMENTOS</v>
      </c>
      <c r="C4189" s="114">
        <v>3</v>
      </c>
      <c r="D4189" s="757" t="str">
        <f>'A VII.'!C37</f>
        <v>KG</v>
      </c>
      <c r="E4189" s="85">
        <f>'A VII.'!D37</f>
        <v>0</v>
      </c>
      <c r="F4189" s="59">
        <f t="shared" ref="F4189:F4204" si="256">ROUND(C4189*E4189,2)</f>
        <v>0</v>
      </c>
    </row>
    <row r="4190" spans="1:6" ht="12.75" customHeight="1" x14ac:dyDescent="0.2">
      <c r="A4190" s="6"/>
      <c r="B4190" s="421"/>
      <c r="C4190" s="114"/>
      <c r="D4190" s="757"/>
      <c r="E4190" s="85"/>
      <c r="F4190" s="59">
        <f t="shared" si="256"/>
        <v>0</v>
      </c>
    </row>
    <row r="4191" spans="1:6" ht="12.75" customHeight="1" x14ac:dyDescent="0.2">
      <c r="A4191" s="6"/>
      <c r="B4191" s="421"/>
      <c r="C4191" s="114"/>
      <c r="D4191" s="757"/>
      <c r="E4191" s="85"/>
      <c r="F4191" s="59">
        <f t="shared" si="256"/>
        <v>0</v>
      </c>
    </row>
    <row r="4192" spans="1:6" ht="12.75" customHeight="1" x14ac:dyDescent="0.2">
      <c r="A4192" s="6"/>
      <c r="B4192" s="421"/>
      <c r="C4192" s="114"/>
      <c r="D4192" s="757"/>
      <c r="E4192" s="85"/>
      <c r="F4192" s="59">
        <f t="shared" si="256"/>
        <v>0</v>
      </c>
    </row>
    <row r="4193" spans="1:6" ht="12.75" customHeight="1" x14ac:dyDescent="0.2">
      <c r="A4193" s="6"/>
      <c r="B4193" s="421"/>
      <c r="C4193" s="114"/>
      <c r="D4193" s="757"/>
      <c r="E4193" s="85"/>
      <c r="F4193" s="59">
        <f t="shared" si="256"/>
        <v>0</v>
      </c>
    </row>
    <row r="4194" spans="1:6" ht="12.75" customHeight="1" x14ac:dyDescent="0.2">
      <c r="A4194" s="6"/>
      <c r="B4194" s="421"/>
      <c r="C4194" s="114"/>
      <c r="D4194" s="757"/>
      <c r="E4194" s="85"/>
      <c r="F4194" s="59">
        <f t="shared" si="256"/>
        <v>0</v>
      </c>
    </row>
    <row r="4195" spans="1:6" ht="12.75" customHeight="1" x14ac:dyDescent="0.2">
      <c r="A4195" s="6"/>
      <c r="B4195" s="421"/>
      <c r="C4195" s="114"/>
      <c r="D4195" s="757"/>
      <c r="E4195" s="85"/>
      <c r="F4195" s="59">
        <f t="shared" si="256"/>
        <v>0</v>
      </c>
    </row>
    <row r="4196" spans="1:6" ht="12.75" customHeight="1" x14ac:dyDescent="0.2">
      <c r="A4196" s="6"/>
      <c r="B4196" s="421"/>
      <c r="C4196" s="114"/>
      <c r="D4196" s="757"/>
      <c r="E4196" s="85"/>
      <c r="F4196" s="59">
        <f t="shared" si="256"/>
        <v>0</v>
      </c>
    </row>
    <row r="4197" spans="1:6" ht="12.75" customHeight="1" x14ac:dyDescent="0.2">
      <c r="A4197" s="6"/>
      <c r="B4197" s="421"/>
      <c r="C4197" s="114"/>
      <c r="D4197" s="757"/>
      <c r="E4197" s="85"/>
      <c r="F4197" s="59">
        <f t="shared" si="256"/>
        <v>0</v>
      </c>
    </row>
    <row r="4198" spans="1:6" ht="12.75" customHeight="1" x14ac:dyDescent="0.2">
      <c r="A4198" s="6"/>
      <c r="B4198" s="421"/>
      <c r="C4198" s="114"/>
      <c r="D4198" s="757"/>
      <c r="E4198" s="85"/>
      <c r="F4198" s="59"/>
    </row>
    <row r="4199" spans="1:6" ht="12.75" customHeight="1" x14ac:dyDescent="0.2">
      <c r="A4199" s="6"/>
      <c r="B4199" s="421"/>
      <c r="C4199" s="114"/>
      <c r="D4199" s="757"/>
      <c r="E4199" s="85"/>
      <c r="F4199" s="59">
        <f t="shared" si="256"/>
        <v>0</v>
      </c>
    </row>
    <row r="4200" spans="1:6" ht="12.75" customHeight="1" x14ac:dyDescent="0.2">
      <c r="A4200" s="6"/>
      <c r="B4200" s="421"/>
      <c r="C4200" s="114"/>
      <c r="D4200" s="758"/>
      <c r="E4200" s="85"/>
      <c r="F4200" s="59">
        <f t="shared" si="256"/>
        <v>0</v>
      </c>
    </row>
    <row r="4201" spans="1:6" ht="12.75" customHeight="1" x14ac:dyDescent="0.2">
      <c r="A4201" s="6"/>
      <c r="B4201" s="421"/>
      <c r="C4201" s="114"/>
      <c r="D4201" s="758"/>
      <c r="E4201" s="85"/>
      <c r="F4201" s="59">
        <f t="shared" si="256"/>
        <v>0</v>
      </c>
    </row>
    <row r="4202" spans="1:6" ht="12.75" customHeight="1" x14ac:dyDescent="0.2">
      <c r="A4202" s="6"/>
      <c r="B4202" s="421"/>
      <c r="C4202" s="114"/>
      <c r="D4202" s="758"/>
      <c r="E4202" s="85"/>
      <c r="F4202" s="59">
        <f t="shared" si="256"/>
        <v>0</v>
      </c>
    </row>
    <row r="4203" spans="1:6" ht="12.75" customHeight="1" x14ac:dyDescent="0.2">
      <c r="A4203" s="3"/>
      <c r="C4203" s="114"/>
      <c r="D4203" s="759"/>
      <c r="E4203" s="85"/>
      <c r="F4203" s="59">
        <f t="shared" si="256"/>
        <v>0</v>
      </c>
    </row>
    <row r="4204" spans="1:6" ht="12.75" customHeight="1" x14ac:dyDescent="0.2">
      <c r="A4204" s="3"/>
      <c r="C4204" s="114"/>
      <c r="D4204" s="759"/>
      <c r="E4204" s="85"/>
      <c r="F4204" s="59">
        <f t="shared" si="256"/>
        <v>0</v>
      </c>
    </row>
    <row r="4205" spans="1:6" ht="12.75" customHeight="1" x14ac:dyDescent="0.2">
      <c r="A4205" s="3"/>
      <c r="B4205" s="86" t="s">
        <v>258</v>
      </c>
      <c r="C4205" s="87"/>
      <c r="D4205" s="88"/>
      <c r="E4205" s="89"/>
      <c r="F4205" s="90">
        <f>SUM(F4189:F4204)</f>
        <v>0</v>
      </c>
    </row>
    <row r="4206" spans="1:6" ht="12.75" customHeight="1" x14ac:dyDescent="0.2">
      <c r="A4206" s="3"/>
      <c r="B4206" s="91" t="s">
        <v>70</v>
      </c>
      <c r="C4206" s="15">
        <f>$D$8</f>
        <v>0</v>
      </c>
      <c r="D4206" s="92"/>
      <c r="E4206" s="93"/>
      <c r="F4206" s="94">
        <f>ROUND(F4205*C4206,2)</f>
        <v>0</v>
      </c>
    </row>
    <row r="4207" spans="1:6" ht="12.75" customHeight="1" x14ac:dyDescent="0.2">
      <c r="A4207" s="95"/>
      <c r="B4207" s="424" t="s">
        <v>259</v>
      </c>
      <c r="C4207" s="425"/>
      <c r="D4207" s="425"/>
      <c r="E4207" s="426"/>
      <c r="F4207" s="96">
        <f>F4205+F4206</f>
        <v>0</v>
      </c>
    </row>
    <row r="4208" spans="1:6" ht="12.75" customHeight="1" x14ac:dyDescent="0.2">
      <c r="A4208" s="1" t="s">
        <v>5</v>
      </c>
      <c r="B4208" s="418" t="s">
        <v>267</v>
      </c>
      <c r="C4208" s="419" t="s">
        <v>263</v>
      </c>
      <c r="D4208" s="419" t="s">
        <v>264</v>
      </c>
      <c r="E4208" s="420" t="s">
        <v>265</v>
      </c>
      <c r="F4208" s="57" t="s">
        <v>266</v>
      </c>
    </row>
    <row r="4209" spans="1:6" ht="12.75" customHeight="1" x14ac:dyDescent="0.2">
      <c r="A4209" s="3"/>
      <c r="B4209" s="71"/>
      <c r="C4209" s="114"/>
      <c r="D4209" s="759"/>
      <c r="E4209" s="85"/>
      <c r="F4209" s="59">
        <f t="shared" ref="F4209:F4218" si="257">ROUND(C4209*E4209,2)</f>
        <v>0</v>
      </c>
    </row>
    <row r="4210" spans="1:6" ht="12.75" customHeight="1" x14ac:dyDescent="0.2">
      <c r="A4210" s="3"/>
      <c r="C4210" s="114"/>
      <c r="D4210" s="759"/>
      <c r="E4210" s="85"/>
      <c r="F4210" s="59">
        <f t="shared" si="257"/>
        <v>0</v>
      </c>
    </row>
    <row r="4211" spans="1:6" ht="12.75" customHeight="1" x14ac:dyDescent="0.2">
      <c r="A4211" s="3"/>
      <c r="C4211" s="114"/>
      <c r="D4211" s="759"/>
      <c r="E4211" s="85"/>
      <c r="F4211" s="59">
        <f t="shared" si="257"/>
        <v>0</v>
      </c>
    </row>
    <row r="4212" spans="1:6" ht="12.75" customHeight="1" x14ac:dyDescent="0.2">
      <c r="A4212" s="3"/>
      <c r="C4212" s="114"/>
      <c r="D4212" s="759"/>
      <c r="E4212" s="85"/>
      <c r="F4212" s="59">
        <f t="shared" si="257"/>
        <v>0</v>
      </c>
    </row>
    <row r="4213" spans="1:6" ht="12.75" customHeight="1" x14ac:dyDescent="0.2">
      <c r="A4213" s="3"/>
      <c r="C4213" s="114"/>
      <c r="D4213" s="759"/>
      <c r="E4213" s="85"/>
      <c r="F4213" s="59">
        <f t="shared" si="257"/>
        <v>0</v>
      </c>
    </row>
    <row r="4214" spans="1:6" ht="12.75" customHeight="1" x14ac:dyDescent="0.2">
      <c r="A4214" s="3"/>
      <c r="C4214" s="114"/>
      <c r="D4214" s="759"/>
      <c r="E4214" s="85"/>
      <c r="F4214" s="59">
        <f t="shared" si="257"/>
        <v>0</v>
      </c>
    </row>
    <row r="4215" spans="1:6" ht="12.75" customHeight="1" x14ac:dyDescent="0.2">
      <c r="A4215" s="3"/>
      <c r="C4215" s="114"/>
      <c r="D4215" s="759"/>
      <c r="E4215" s="85"/>
      <c r="F4215" s="59">
        <f t="shared" si="257"/>
        <v>0</v>
      </c>
    </row>
    <row r="4216" spans="1:6" ht="12.75" customHeight="1" x14ac:dyDescent="0.2">
      <c r="A4216" s="3"/>
      <c r="C4216" s="114"/>
      <c r="D4216" s="759"/>
      <c r="E4216" s="85"/>
      <c r="F4216" s="59">
        <f t="shared" si="257"/>
        <v>0</v>
      </c>
    </row>
    <row r="4217" spans="1:6" ht="12.75" customHeight="1" x14ac:dyDescent="0.2">
      <c r="A4217" s="3"/>
      <c r="C4217" s="114"/>
      <c r="D4217" s="759"/>
      <c r="E4217" s="85"/>
      <c r="F4217" s="59">
        <f t="shared" si="257"/>
        <v>0</v>
      </c>
    </row>
    <row r="4218" spans="1:6" ht="12.75" customHeight="1" x14ac:dyDescent="0.2">
      <c r="A4218" s="3"/>
      <c r="C4218" s="114"/>
      <c r="D4218" s="759"/>
      <c r="E4218" s="85"/>
      <c r="F4218" s="59">
        <f t="shared" si="257"/>
        <v>0</v>
      </c>
    </row>
    <row r="4219" spans="1:6" ht="12.75" customHeight="1" x14ac:dyDescent="0.2">
      <c r="A4219" s="3"/>
      <c r="B4219" s="86" t="s">
        <v>258</v>
      </c>
      <c r="C4219" s="87"/>
      <c r="D4219" s="88"/>
      <c r="E4219" s="89"/>
      <c r="F4219" s="90">
        <f>SUM(F4209:F4218)</f>
        <v>0</v>
      </c>
    </row>
    <row r="4220" spans="1:6" ht="12.75" customHeight="1" x14ac:dyDescent="0.2">
      <c r="A4220" s="3"/>
      <c r="B4220" s="91" t="s">
        <v>70</v>
      </c>
      <c r="C4220" s="15">
        <f>$D$8</f>
        <v>0</v>
      </c>
      <c r="D4220" s="92"/>
      <c r="E4220" s="93"/>
      <c r="F4220" s="94">
        <f>ROUND(C4220*F4219,2)</f>
        <v>0</v>
      </c>
    </row>
    <row r="4221" spans="1:6" ht="12.75" customHeight="1" x14ac:dyDescent="0.2">
      <c r="A4221" s="95"/>
      <c r="B4221" s="424" t="s">
        <v>260</v>
      </c>
      <c r="C4221" s="425"/>
      <c r="D4221" s="425"/>
      <c r="E4221" s="426"/>
      <c r="F4221" s="96">
        <f>F4219+F4220</f>
        <v>0</v>
      </c>
    </row>
    <row r="4222" spans="1:6" ht="12.75" customHeight="1" x14ac:dyDescent="0.2">
      <c r="A4222" s="97" t="s">
        <v>54</v>
      </c>
      <c r="B4222" s="427" t="s">
        <v>268</v>
      </c>
      <c r="C4222" s="428" t="s">
        <v>263</v>
      </c>
      <c r="D4222" s="429" t="s">
        <v>264</v>
      </c>
      <c r="E4222" s="430" t="s">
        <v>265</v>
      </c>
      <c r="F4222" s="57" t="s">
        <v>266</v>
      </c>
    </row>
    <row r="4223" spans="1:6" ht="12.75" customHeight="1" x14ac:dyDescent="0.2">
      <c r="A4223" s="3" t="str">
        <f>'A VII.'!$A$192</f>
        <v>3.12</v>
      </c>
      <c r="B4223" s="74" t="str">
        <f>'A VII.'!B192</f>
        <v>PEDREIRO COM ENCARGOS COMPLEMENTARES</v>
      </c>
      <c r="C4223" s="114">
        <v>0.6</v>
      </c>
      <c r="D4223" s="759" t="str">
        <f>'A VII.'!C192</f>
        <v>H</v>
      </c>
      <c r="E4223" s="85">
        <f>'A VII.'!D192</f>
        <v>0</v>
      </c>
      <c r="F4223" s="59">
        <f t="shared" ref="F4223:F4229" si="258">ROUND(C4223*E4223,2)</f>
        <v>0</v>
      </c>
    </row>
    <row r="4224" spans="1:6" ht="12.75" customHeight="1" x14ac:dyDescent="0.2">
      <c r="A4224" s="3" t="str">
        <f>'A VII.'!$A$196</f>
        <v>3.16</v>
      </c>
      <c r="B4224" s="74" t="str">
        <f>'A VII.'!B196</f>
        <v>SERVENTE COM ENCARGOS COMPLEMENTARES</v>
      </c>
      <c r="C4224" s="114">
        <v>0.6</v>
      </c>
      <c r="D4224" s="759" t="str">
        <f>'A VII.'!C196</f>
        <v>H</v>
      </c>
      <c r="E4224" s="85">
        <f>'A VII.'!D196</f>
        <v>0</v>
      </c>
      <c r="F4224" s="59">
        <f t="shared" si="258"/>
        <v>0</v>
      </c>
    </row>
    <row r="4225" spans="1:6" ht="12.75" customHeight="1" x14ac:dyDescent="0.2">
      <c r="A4225" s="3"/>
      <c r="C4225" s="114"/>
      <c r="D4225" s="759"/>
      <c r="E4225" s="85"/>
      <c r="F4225" s="59">
        <f t="shared" si="258"/>
        <v>0</v>
      </c>
    </row>
    <row r="4226" spans="1:6" ht="12.75" customHeight="1" x14ac:dyDescent="0.2">
      <c r="A4226" s="3"/>
      <c r="C4226" s="114"/>
      <c r="D4226" s="759"/>
      <c r="E4226" s="85"/>
      <c r="F4226" s="59">
        <f t="shared" si="258"/>
        <v>0</v>
      </c>
    </row>
    <row r="4227" spans="1:6" ht="12.75" customHeight="1" x14ac:dyDescent="0.2">
      <c r="A4227" s="3"/>
      <c r="C4227" s="114"/>
      <c r="D4227" s="759"/>
      <c r="E4227" s="85"/>
      <c r="F4227" s="59">
        <f t="shared" si="258"/>
        <v>0</v>
      </c>
    </row>
    <row r="4228" spans="1:6" ht="12.75" customHeight="1" x14ac:dyDescent="0.2">
      <c r="A4228" s="3"/>
      <c r="C4228" s="114"/>
      <c r="D4228" s="759"/>
      <c r="E4228" s="85"/>
      <c r="F4228" s="59">
        <f t="shared" si="258"/>
        <v>0</v>
      </c>
    </row>
    <row r="4229" spans="1:6" ht="12.75" customHeight="1" x14ac:dyDescent="0.2">
      <c r="A4229" s="3"/>
      <c r="C4229" s="114"/>
      <c r="D4229" s="759"/>
      <c r="E4229" s="85"/>
      <c r="F4229" s="59">
        <f t="shared" si="258"/>
        <v>0</v>
      </c>
    </row>
    <row r="4230" spans="1:6" ht="12.75" customHeight="1" x14ac:dyDescent="0.2">
      <c r="A4230" s="3"/>
      <c r="B4230" s="86" t="s">
        <v>258</v>
      </c>
      <c r="C4230" s="87"/>
      <c r="D4230" s="88"/>
      <c r="E4230" s="89"/>
      <c r="F4230" s="90">
        <f>SUM(F4223:F4229)</f>
        <v>0</v>
      </c>
    </row>
    <row r="4231" spans="1:6" ht="12.75" customHeight="1" x14ac:dyDescent="0.2">
      <c r="A4231" s="3"/>
      <c r="B4231" s="91" t="s">
        <v>261</v>
      </c>
      <c r="C4231" s="15">
        <f>'A IX.'!$C$45</f>
        <v>0</v>
      </c>
      <c r="D4231" s="92"/>
      <c r="E4231" s="93"/>
      <c r="F4231" s="94">
        <f>ROUND(F4230*C4231,2)</f>
        <v>0</v>
      </c>
    </row>
    <row r="4232" spans="1:6" ht="12.75" customHeight="1" x14ac:dyDescent="0.2">
      <c r="A4232" s="3"/>
      <c r="B4232" s="91" t="s">
        <v>70</v>
      </c>
      <c r="C4232" s="15">
        <f>$D$8</f>
        <v>0</v>
      </c>
      <c r="D4232" s="92"/>
      <c r="E4232" s="93"/>
      <c r="F4232" s="94">
        <f>ROUND(SUM(F4230:F4231)*C4232,2)</f>
        <v>0</v>
      </c>
    </row>
    <row r="4233" spans="1:6" ht="12.75" customHeight="1" thickBot="1" x14ac:dyDescent="0.25">
      <c r="A4233" s="98"/>
      <c r="B4233" s="99" t="s">
        <v>262</v>
      </c>
      <c r="C4233" s="100"/>
      <c r="D4233" s="100"/>
      <c r="E4233" s="101"/>
      <c r="F4233" s="102">
        <f>SUM(F4230:F4232)</f>
        <v>0</v>
      </c>
    </row>
    <row r="4234" spans="1:6" ht="12.75" customHeight="1" thickBot="1" x14ac:dyDescent="0.25">
      <c r="A4234" s="81"/>
      <c r="B4234" s="82"/>
      <c r="C4234" s="83"/>
      <c r="D4234" s="83"/>
      <c r="E4234" s="84"/>
      <c r="F4234" s="103"/>
    </row>
    <row r="4235" spans="1:6" ht="30" customHeight="1" x14ac:dyDescent="0.2">
      <c r="A4235" s="5" t="str">
        <f>'A IV.A'!A130</f>
        <v>5.3</v>
      </c>
      <c r="B4235" s="416" t="str">
        <f>'A IV.A'!B130</f>
        <v>TRATAMENTO DE CONCRETO COM ARMADURAS OXIDADADAS E RECOMPOSIÇÃO COM ARGAMASSA POLIMÉRICA</v>
      </c>
      <c r="C4235" s="526" t="s">
        <v>269</v>
      </c>
      <c r="D4235" s="527"/>
      <c r="E4235" s="417" t="str">
        <f>'A IV.A'!C130</f>
        <v>M2</v>
      </c>
      <c r="F4235" s="58">
        <f>ROUND(F4255+F4269+F4281,2)</f>
        <v>0</v>
      </c>
    </row>
    <row r="4236" spans="1:6" ht="12.75" customHeight="1" x14ac:dyDescent="0.2">
      <c r="A4236" s="1" t="s">
        <v>17</v>
      </c>
      <c r="B4236" s="418" t="s">
        <v>162</v>
      </c>
      <c r="C4236" s="419" t="s">
        <v>263</v>
      </c>
      <c r="D4236" s="419" t="s">
        <v>264</v>
      </c>
      <c r="E4236" s="420" t="s">
        <v>265</v>
      </c>
      <c r="F4236" s="57" t="s">
        <v>266</v>
      </c>
    </row>
    <row r="4237" spans="1:6" ht="12.75" customHeight="1" x14ac:dyDescent="0.2">
      <c r="A4237" s="6"/>
      <c r="B4237" s="71" t="str">
        <f>IF(A4237="","",VLOOKUP(A4237,'A VII.'!$A$10:$D$199,2,FALSE))</f>
        <v/>
      </c>
      <c r="C4237" s="114"/>
      <c r="D4237" s="759" t="str">
        <f>IF(A4237="","",VLOOKUP(A4237,'A VII.'!$A$10:$D$199,3,FALSE))</f>
        <v/>
      </c>
      <c r="E4237" s="85" t="str">
        <f>IF(A4237="","",VLOOKUP(A4237,'A VII.'!$A$10:$D$199,4,FALSE))</f>
        <v/>
      </c>
      <c r="F4237" s="59" t="str">
        <f>IF(A4237="","",ROUND(C4237*E4237,2))</f>
        <v/>
      </c>
    </row>
    <row r="4238" spans="1:6" ht="12.75" customHeight="1" x14ac:dyDescent="0.2">
      <c r="A4238" s="6"/>
      <c r="B4238" s="71" t="str">
        <f>IF(A4238="","",VLOOKUP(A4238,'A VII.'!$A$10:$D$199,2,FALSE))</f>
        <v/>
      </c>
      <c r="C4238" s="114"/>
      <c r="D4238" s="759" t="str">
        <f>IF(A4238="","",VLOOKUP(A4238,'A VII.'!$A$10:$D$199,3,FALSE))</f>
        <v/>
      </c>
      <c r="E4238" s="85" t="str">
        <f>IF(A4238="","",VLOOKUP(A4238,'A VII.'!$A$10:$D$199,4,FALSE))</f>
        <v/>
      </c>
      <c r="F4238" s="59" t="str">
        <f t="shared" ref="F4238:F4252" si="259">IF(A4238="","",ROUND(C4238*E4238,2))</f>
        <v/>
      </c>
    </row>
    <row r="4239" spans="1:6" ht="12.75" customHeight="1" x14ac:dyDescent="0.2">
      <c r="A4239" s="6"/>
      <c r="B4239" s="71" t="str">
        <f>IF(A4239="","",VLOOKUP(A4239,'A VII.'!$A$10:$D$199,2,FALSE))</f>
        <v/>
      </c>
      <c r="C4239" s="114"/>
      <c r="D4239" s="759" t="str">
        <f>IF(A4239="","",VLOOKUP(A4239,'A VII.'!$A$10:$D$199,3,FALSE))</f>
        <v/>
      </c>
      <c r="E4239" s="85" t="str">
        <f>IF(A4239="","",VLOOKUP(A4239,'A VII.'!$A$10:$D$199,4,FALSE))</f>
        <v/>
      </c>
      <c r="F4239" s="59" t="str">
        <f t="shared" si="259"/>
        <v/>
      </c>
    </row>
    <row r="4240" spans="1:6" ht="12.75" customHeight="1" x14ac:dyDescent="0.2">
      <c r="A4240" s="6"/>
      <c r="B4240" s="71" t="str">
        <f>IF(A4240="","",VLOOKUP(A4240,'A VII.'!$A$10:$D$199,2,FALSE))</f>
        <v/>
      </c>
      <c r="C4240" s="114"/>
      <c r="D4240" s="759" t="str">
        <f>IF(A4240="","",VLOOKUP(A4240,'A VII.'!$A$10:$D$199,3,FALSE))</f>
        <v/>
      </c>
      <c r="E4240" s="85" t="str">
        <f>IF(A4240="","",VLOOKUP(A4240,'A VII.'!$A$10:$D$199,4,FALSE))</f>
        <v/>
      </c>
      <c r="F4240" s="59" t="str">
        <f t="shared" si="259"/>
        <v/>
      </c>
    </row>
    <row r="4241" spans="1:6" ht="12.75" customHeight="1" x14ac:dyDescent="0.2">
      <c r="A4241" s="6"/>
      <c r="B4241" s="71" t="str">
        <f>IF(A4241="","",VLOOKUP(A4241,'A VII.'!$A$10:$D$199,2,FALSE))</f>
        <v/>
      </c>
      <c r="C4241" s="114"/>
      <c r="D4241" s="759" t="str">
        <f>IF(A4241="","",VLOOKUP(A4241,'A VII.'!$A$10:$D$199,3,FALSE))</f>
        <v/>
      </c>
      <c r="E4241" s="85" t="str">
        <f>IF(A4241="","",VLOOKUP(A4241,'A VII.'!$A$10:$D$199,4,FALSE))</f>
        <v/>
      </c>
      <c r="F4241" s="59" t="str">
        <f t="shared" si="259"/>
        <v/>
      </c>
    </row>
    <row r="4242" spans="1:6" ht="12.75" customHeight="1" x14ac:dyDescent="0.2">
      <c r="A4242" s="6"/>
      <c r="B4242" s="71" t="str">
        <f>IF(A4242="","",VLOOKUP(A4242,'A VII.'!$A$10:$D$199,2,FALSE))</f>
        <v/>
      </c>
      <c r="C4242" s="114"/>
      <c r="D4242" s="759" t="str">
        <f>IF(A4242="","",VLOOKUP(A4242,'A VII.'!$A$10:$D$199,3,FALSE))</f>
        <v/>
      </c>
      <c r="E4242" s="85" t="str">
        <f>IF(A4242="","",VLOOKUP(A4242,'A VII.'!$A$10:$D$199,4,FALSE))</f>
        <v/>
      </c>
      <c r="F4242" s="59" t="str">
        <f t="shared" si="259"/>
        <v/>
      </c>
    </row>
    <row r="4243" spans="1:6" ht="12.75" customHeight="1" x14ac:dyDescent="0.2">
      <c r="A4243" s="6"/>
      <c r="B4243" s="71" t="str">
        <f>IF(A4243="","",VLOOKUP(A4243,'A VII.'!$A$10:$D$199,2,FALSE))</f>
        <v/>
      </c>
      <c r="C4243" s="114"/>
      <c r="D4243" s="759" t="str">
        <f>IF(A4243="","",VLOOKUP(A4243,'A VII.'!$A$10:$D$199,3,FALSE))</f>
        <v/>
      </c>
      <c r="E4243" s="85" t="str">
        <f>IF(A4243="","",VLOOKUP(A4243,'A VII.'!$A$10:$D$199,4,FALSE))</f>
        <v/>
      </c>
      <c r="F4243" s="59" t="str">
        <f t="shared" si="259"/>
        <v/>
      </c>
    </row>
    <row r="4244" spans="1:6" ht="12.75" customHeight="1" x14ac:dyDescent="0.2">
      <c r="A4244" s="6"/>
      <c r="B4244" s="71" t="str">
        <f>IF(A4244="","",VLOOKUP(A4244,'A VII.'!$A$10:$D$199,2,FALSE))</f>
        <v/>
      </c>
      <c r="C4244" s="114"/>
      <c r="D4244" s="759" t="str">
        <f>IF(A4244="","",VLOOKUP(A4244,'A VII.'!$A$10:$D$199,3,FALSE))</f>
        <v/>
      </c>
      <c r="E4244" s="85" t="str">
        <f>IF(A4244="","",VLOOKUP(A4244,'A VII.'!$A$10:$D$199,4,FALSE))</f>
        <v/>
      </c>
      <c r="F4244" s="59" t="str">
        <f t="shared" si="259"/>
        <v/>
      </c>
    </row>
    <row r="4245" spans="1:6" ht="12.75" customHeight="1" x14ac:dyDescent="0.2">
      <c r="A4245" s="6"/>
      <c r="B4245" s="71" t="str">
        <f>IF(A4245="","",VLOOKUP(A4245,'A VII.'!$A$10:$D$199,2,FALSE))</f>
        <v/>
      </c>
      <c r="C4245" s="114"/>
      <c r="D4245" s="759" t="str">
        <f>IF(A4245="","",VLOOKUP(A4245,'A VII.'!$A$10:$D$199,3,FALSE))</f>
        <v/>
      </c>
      <c r="E4245" s="85" t="str">
        <f>IF(A4245="","",VLOOKUP(A4245,'A VII.'!$A$10:$D$199,4,FALSE))</f>
        <v/>
      </c>
      <c r="F4245" s="59" t="str">
        <f t="shared" si="259"/>
        <v/>
      </c>
    </row>
    <row r="4246" spans="1:6" ht="12.75" customHeight="1" x14ac:dyDescent="0.2">
      <c r="A4246" s="6"/>
      <c r="B4246" s="71" t="str">
        <f>IF(A4246="","",VLOOKUP(A4246,'A VII.'!$A$10:$D$199,2,FALSE))</f>
        <v/>
      </c>
      <c r="C4246" s="114"/>
      <c r="D4246" s="759" t="str">
        <f>IF(A4246="","",VLOOKUP(A4246,'A VII.'!$A$10:$D$199,3,FALSE))</f>
        <v/>
      </c>
      <c r="E4246" s="85" t="str">
        <f>IF(A4246="","",VLOOKUP(A4246,'A VII.'!$A$10:$D$199,4,FALSE))</f>
        <v/>
      </c>
      <c r="F4246" s="59" t="str">
        <f t="shared" si="259"/>
        <v/>
      </c>
    </row>
    <row r="4247" spans="1:6" ht="12.75" customHeight="1" x14ac:dyDescent="0.2">
      <c r="A4247" s="6"/>
      <c r="B4247" s="71" t="str">
        <f>IF(A4247="","",VLOOKUP(A4247,'A VII.'!$A$10:$D$199,2,FALSE))</f>
        <v/>
      </c>
      <c r="C4247" s="114"/>
      <c r="D4247" s="759" t="str">
        <f>IF(A4247="","",VLOOKUP(A4247,'A VII.'!$A$10:$D$199,3,FALSE))</f>
        <v/>
      </c>
      <c r="E4247" s="85" t="str">
        <f>IF(A4247="","",VLOOKUP(A4247,'A VII.'!$A$10:$D$199,4,FALSE))</f>
        <v/>
      </c>
      <c r="F4247" s="59" t="str">
        <f t="shared" si="259"/>
        <v/>
      </c>
    </row>
    <row r="4248" spans="1:6" ht="12.75" customHeight="1" x14ac:dyDescent="0.2">
      <c r="A4248" s="6"/>
      <c r="B4248" s="71" t="str">
        <f>IF(A4248="","",VLOOKUP(A4248,'A VII.'!$A$10:$D$199,2,FALSE))</f>
        <v/>
      </c>
      <c r="C4248" s="114"/>
      <c r="D4248" s="759" t="str">
        <f>IF(A4248="","",VLOOKUP(A4248,'A VII.'!$A$10:$D$199,3,FALSE))</f>
        <v/>
      </c>
      <c r="E4248" s="85" t="str">
        <f>IF(A4248="","",VLOOKUP(A4248,'A VII.'!$A$10:$D$199,4,FALSE))</f>
        <v/>
      </c>
      <c r="F4248" s="59" t="str">
        <f t="shared" si="259"/>
        <v/>
      </c>
    </row>
    <row r="4249" spans="1:6" ht="12.75" customHeight="1" x14ac:dyDescent="0.2">
      <c r="A4249" s="6"/>
      <c r="B4249" s="71" t="str">
        <f>IF(A4249="","",VLOOKUP(A4249,'A VII.'!$A$10:$D$199,2,FALSE))</f>
        <v/>
      </c>
      <c r="C4249" s="114"/>
      <c r="D4249" s="759" t="str">
        <f>IF(A4249="","",VLOOKUP(A4249,'A VII.'!$A$10:$D$199,3,FALSE))</f>
        <v/>
      </c>
      <c r="E4249" s="85" t="str">
        <f>IF(A4249="","",VLOOKUP(A4249,'A VII.'!$A$10:$D$199,4,FALSE))</f>
        <v/>
      </c>
      <c r="F4249" s="59" t="str">
        <f t="shared" si="259"/>
        <v/>
      </c>
    </row>
    <row r="4250" spans="1:6" ht="12.75" customHeight="1" x14ac:dyDescent="0.2">
      <c r="A4250" s="6"/>
      <c r="B4250" s="71" t="str">
        <f>IF(A4250="","",VLOOKUP(A4250,'A VII.'!$A$10:$D$199,2,FALSE))</f>
        <v/>
      </c>
      <c r="C4250" s="114"/>
      <c r="D4250" s="759" t="str">
        <f>IF(A4250="","",VLOOKUP(A4250,'A VII.'!$A$10:$D$199,3,FALSE))</f>
        <v/>
      </c>
      <c r="E4250" s="85" t="str">
        <f>IF(A4250="","",VLOOKUP(A4250,'A VII.'!$A$10:$D$199,4,FALSE))</f>
        <v/>
      </c>
      <c r="F4250" s="59" t="str">
        <f t="shared" si="259"/>
        <v/>
      </c>
    </row>
    <row r="4251" spans="1:6" ht="12.75" customHeight="1" x14ac:dyDescent="0.2">
      <c r="A4251" s="3"/>
      <c r="B4251" s="71" t="str">
        <f>IF(A4251="","",VLOOKUP(A4251,'A VII.'!$A$10:$D$199,2,FALSE))</f>
        <v/>
      </c>
      <c r="C4251" s="114"/>
      <c r="D4251" s="759" t="str">
        <f>IF(A4251="","",VLOOKUP(A4251,'A VII.'!$A$10:$D$199,3,FALSE))</f>
        <v/>
      </c>
      <c r="E4251" s="85" t="str">
        <f>IF(A4251="","",VLOOKUP(A4251,'A VII.'!$A$10:$D$199,4,FALSE))</f>
        <v/>
      </c>
      <c r="F4251" s="59" t="str">
        <f t="shared" si="259"/>
        <v/>
      </c>
    </row>
    <row r="4252" spans="1:6" ht="12.75" customHeight="1" x14ac:dyDescent="0.2">
      <c r="A4252" s="3"/>
      <c r="B4252" s="71" t="str">
        <f>IF(A4252="","",VLOOKUP(A4252,'A VII.'!$A$10:$D$199,2,FALSE))</f>
        <v/>
      </c>
      <c r="C4252" s="114"/>
      <c r="D4252" s="759" t="str">
        <f>IF(A4252="","",VLOOKUP(A4252,'A VII.'!$A$10:$D$199,3,FALSE))</f>
        <v/>
      </c>
      <c r="E4252" s="85" t="str">
        <f>IF(A4252="","",VLOOKUP(A4252,'A VII.'!$A$10:$D$199,4,FALSE))</f>
        <v/>
      </c>
      <c r="F4252" s="59" t="str">
        <f t="shared" si="259"/>
        <v/>
      </c>
    </row>
    <row r="4253" spans="1:6" ht="12.75" customHeight="1" x14ac:dyDescent="0.2">
      <c r="A4253" s="3"/>
      <c r="B4253" s="86" t="s">
        <v>258</v>
      </c>
      <c r="C4253" s="87"/>
      <c r="D4253" s="88"/>
      <c r="E4253" s="89"/>
      <c r="F4253" s="90">
        <f>SUM(F4237:F4252)</f>
        <v>0</v>
      </c>
    </row>
    <row r="4254" spans="1:6" ht="12.75" customHeight="1" x14ac:dyDescent="0.2">
      <c r="A4254" s="3"/>
      <c r="B4254" s="91" t="s">
        <v>70</v>
      </c>
      <c r="C4254" s="15">
        <f>$D$8</f>
        <v>0</v>
      </c>
      <c r="D4254" s="92"/>
      <c r="E4254" s="93"/>
      <c r="F4254" s="94">
        <f>ROUND(F4253*C4254,2)</f>
        <v>0</v>
      </c>
    </row>
    <row r="4255" spans="1:6" ht="12.75" customHeight="1" x14ac:dyDescent="0.2">
      <c r="A4255" s="95"/>
      <c r="B4255" s="424" t="s">
        <v>259</v>
      </c>
      <c r="C4255" s="425"/>
      <c r="D4255" s="425"/>
      <c r="E4255" s="426"/>
      <c r="F4255" s="96">
        <f>F4253+F4254</f>
        <v>0</v>
      </c>
    </row>
    <row r="4256" spans="1:6" ht="12.75" customHeight="1" x14ac:dyDescent="0.2">
      <c r="A4256" s="1" t="s">
        <v>5</v>
      </c>
      <c r="B4256" s="418" t="s">
        <v>267</v>
      </c>
      <c r="C4256" s="419" t="s">
        <v>263</v>
      </c>
      <c r="D4256" s="419" t="s">
        <v>264</v>
      </c>
      <c r="E4256" s="420" t="s">
        <v>265</v>
      </c>
      <c r="F4256" s="57" t="s">
        <v>266</v>
      </c>
    </row>
    <row r="4257" spans="1:6" ht="12.75" customHeight="1" x14ac:dyDescent="0.2">
      <c r="A4257" s="3" t="str">
        <f>'A VII.'!$A$174</f>
        <v>2.32</v>
      </c>
      <c r="B4257" s="71" t="str">
        <f>IF(A4257="","",VLOOKUP(A4257,'A VII.'!$A$10:$D$199,2,FALSE))</f>
        <v>RECUPERAÇÃO DE CONCRETO ARMADO COM ARMADURAS OXIDADAS E RECOMPOSIÇÃO COM ARGAMASSA POLIMÉRICA</v>
      </c>
      <c r="C4257" s="114">
        <v>1</v>
      </c>
      <c r="D4257" s="759" t="str">
        <f>IF(A4257="","",VLOOKUP(A4257,'A VII.'!$A$10:$D$199,3,FALSE))</f>
        <v>M2</v>
      </c>
      <c r="E4257" s="85">
        <f>IF(A4257="","",VLOOKUP(A4257,'A VII.'!$A$10:$D$199,4,FALSE))</f>
        <v>0</v>
      </c>
      <c r="F4257" s="59">
        <f>IF(A4257="","",ROUND(C4257*E4257,2))</f>
        <v>0</v>
      </c>
    </row>
    <row r="4258" spans="1:6" ht="12.75" customHeight="1" x14ac:dyDescent="0.2">
      <c r="A4258" s="3"/>
      <c r="B4258" s="71" t="str">
        <f>IF(A4258="","",VLOOKUP(A4258,'A VII.'!$A$10:$D$199,2,FALSE))</f>
        <v/>
      </c>
      <c r="C4258" s="114"/>
      <c r="D4258" s="759" t="str">
        <f>IF(A4258="","",VLOOKUP(A4258,'A VII.'!$A$10:$D$199,3,FALSE))</f>
        <v/>
      </c>
      <c r="E4258" s="85" t="str">
        <f>IF(A4258="","",VLOOKUP(A4258,'A VII.'!$A$10:$D$199,4,FALSE))</f>
        <v/>
      </c>
      <c r="F4258" s="59" t="str">
        <f t="shared" ref="F4258:F4266" si="260">IF(A4258="","",ROUND(C4258*E4258,2))</f>
        <v/>
      </c>
    </row>
    <row r="4259" spans="1:6" ht="12.75" customHeight="1" x14ac:dyDescent="0.2">
      <c r="A4259" s="3"/>
      <c r="B4259" s="71" t="str">
        <f>IF(A4259="","",VLOOKUP(A4259,'A VII.'!$A$10:$D$199,2,FALSE))</f>
        <v/>
      </c>
      <c r="C4259" s="114"/>
      <c r="D4259" s="759" t="str">
        <f>IF(A4259="","",VLOOKUP(A4259,'A VII.'!$A$10:$D$199,3,FALSE))</f>
        <v/>
      </c>
      <c r="E4259" s="85" t="str">
        <f>IF(A4259="","",VLOOKUP(A4259,'A VII.'!$A$10:$D$199,4,FALSE))</f>
        <v/>
      </c>
      <c r="F4259" s="59" t="str">
        <f t="shared" si="260"/>
        <v/>
      </c>
    </row>
    <row r="4260" spans="1:6" ht="12.75" customHeight="1" x14ac:dyDescent="0.2">
      <c r="A4260" s="3"/>
      <c r="B4260" s="71" t="str">
        <f>IF(A4260="","",VLOOKUP(A4260,'A VII.'!$A$10:$D$199,2,FALSE))</f>
        <v/>
      </c>
      <c r="C4260" s="114"/>
      <c r="D4260" s="759" t="str">
        <f>IF(A4260="","",VLOOKUP(A4260,'A VII.'!$A$10:$D$199,3,FALSE))</f>
        <v/>
      </c>
      <c r="E4260" s="85" t="str">
        <f>IF(A4260="","",VLOOKUP(A4260,'A VII.'!$A$10:$D$199,4,FALSE))</f>
        <v/>
      </c>
      <c r="F4260" s="59" t="str">
        <f t="shared" si="260"/>
        <v/>
      </c>
    </row>
    <row r="4261" spans="1:6" ht="12.75" customHeight="1" x14ac:dyDescent="0.2">
      <c r="A4261" s="3"/>
      <c r="B4261" s="71" t="str">
        <f>IF(A4261="","",VLOOKUP(A4261,'A VII.'!$A$10:$D$199,2,FALSE))</f>
        <v/>
      </c>
      <c r="C4261" s="114"/>
      <c r="D4261" s="759" t="str">
        <f>IF(A4261="","",VLOOKUP(A4261,'A VII.'!$A$10:$D$199,3,FALSE))</f>
        <v/>
      </c>
      <c r="E4261" s="85" t="str">
        <f>IF(A4261="","",VLOOKUP(A4261,'A VII.'!$A$10:$D$199,4,FALSE))</f>
        <v/>
      </c>
      <c r="F4261" s="59" t="str">
        <f t="shared" si="260"/>
        <v/>
      </c>
    </row>
    <row r="4262" spans="1:6" ht="12.75" customHeight="1" x14ac:dyDescent="0.2">
      <c r="A4262" s="3"/>
      <c r="B4262" s="71" t="str">
        <f>IF(A4262="","",VLOOKUP(A4262,'A VII.'!$A$10:$D$199,2,FALSE))</f>
        <v/>
      </c>
      <c r="C4262" s="114"/>
      <c r="D4262" s="759" t="str">
        <f>IF(A4262="","",VLOOKUP(A4262,'A VII.'!$A$10:$D$199,3,FALSE))</f>
        <v/>
      </c>
      <c r="E4262" s="85" t="str">
        <f>IF(A4262="","",VLOOKUP(A4262,'A VII.'!$A$10:$D$199,4,FALSE))</f>
        <v/>
      </c>
      <c r="F4262" s="59" t="str">
        <f t="shared" si="260"/>
        <v/>
      </c>
    </row>
    <row r="4263" spans="1:6" ht="12.75" customHeight="1" x14ac:dyDescent="0.2">
      <c r="A4263" s="3"/>
      <c r="B4263" s="71" t="str">
        <f>IF(A4263="","",VLOOKUP(A4263,'A VII.'!$A$10:$D$199,2,FALSE))</f>
        <v/>
      </c>
      <c r="C4263" s="114"/>
      <c r="D4263" s="759" t="str">
        <f>IF(A4263="","",VLOOKUP(A4263,'A VII.'!$A$10:$D$199,3,FALSE))</f>
        <v/>
      </c>
      <c r="E4263" s="85" t="str">
        <f>IF(A4263="","",VLOOKUP(A4263,'A VII.'!$A$10:$D$199,4,FALSE))</f>
        <v/>
      </c>
      <c r="F4263" s="59" t="str">
        <f t="shared" si="260"/>
        <v/>
      </c>
    </row>
    <row r="4264" spans="1:6" ht="12.75" customHeight="1" x14ac:dyDescent="0.2">
      <c r="A4264" s="3"/>
      <c r="B4264" s="71" t="str">
        <f>IF(A4264="","",VLOOKUP(A4264,'A VII.'!$A$10:$D$199,2,FALSE))</f>
        <v/>
      </c>
      <c r="C4264" s="114"/>
      <c r="D4264" s="759" t="str">
        <f>IF(A4264="","",VLOOKUP(A4264,'A VII.'!$A$10:$D$199,3,FALSE))</f>
        <v/>
      </c>
      <c r="E4264" s="85" t="str">
        <f>IF(A4264="","",VLOOKUP(A4264,'A VII.'!$A$10:$D$199,4,FALSE))</f>
        <v/>
      </c>
      <c r="F4264" s="59" t="str">
        <f t="shared" si="260"/>
        <v/>
      </c>
    </row>
    <row r="4265" spans="1:6" ht="12.75" customHeight="1" x14ac:dyDescent="0.2">
      <c r="A4265" s="3"/>
      <c r="B4265" s="71" t="str">
        <f>IF(A4265="","",VLOOKUP(A4265,'A VII.'!$A$10:$D$199,2,FALSE))</f>
        <v/>
      </c>
      <c r="C4265" s="114"/>
      <c r="D4265" s="759" t="str">
        <f>IF(A4265="","",VLOOKUP(A4265,'A VII.'!$A$10:$D$199,3,FALSE))</f>
        <v/>
      </c>
      <c r="E4265" s="85" t="str">
        <f>IF(A4265="","",VLOOKUP(A4265,'A VII.'!$A$10:$D$199,4,FALSE))</f>
        <v/>
      </c>
      <c r="F4265" s="59" t="str">
        <f t="shared" si="260"/>
        <v/>
      </c>
    </row>
    <row r="4266" spans="1:6" ht="12.75" customHeight="1" x14ac:dyDescent="0.2">
      <c r="A4266" s="3"/>
      <c r="B4266" s="71" t="str">
        <f>IF(A4266="","",VLOOKUP(A4266,'A VII.'!$A$10:$D$199,2,FALSE))</f>
        <v/>
      </c>
      <c r="C4266" s="114"/>
      <c r="D4266" s="759" t="str">
        <f>IF(A4266="","",VLOOKUP(A4266,'A VII.'!$A$10:$D$199,3,FALSE))</f>
        <v/>
      </c>
      <c r="E4266" s="85" t="str">
        <f>IF(A4266="","",VLOOKUP(A4266,'A VII.'!$A$10:$D$199,4,FALSE))</f>
        <v/>
      </c>
      <c r="F4266" s="59" t="str">
        <f t="shared" si="260"/>
        <v/>
      </c>
    </row>
    <row r="4267" spans="1:6" ht="12.75" customHeight="1" x14ac:dyDescent="0.2">
      <c r="A4267" s="3"/>
      <c r="B4267" s="86" t="s">
        <v>258</v>
      </c>
      <c r="C4267" s="87"/>
      <c r="D4267" s="88"/>
      <c r="E4267" s="89"/>
      <c r="F4267" s="90">
        <f>SUM(F4257:F4266)</f>
        <v>0</v>
      </c>
    </row>
    <row r="4268" spans="1:6" ht="12.75" customHeight="1" x14ac:dyDescent="0.2">
      <c r="A4268" s="3"/>
      <c r="B4268" s="91" t="s">
        <v>70</v>
      </c>
      <c r="C4268" s="15">
        <f>$D$8</f>
        <v>0</v>
      </c>
      <c r="D4268" s="92"/>
      <c r="E4268" s="93"/>
      <c r="F4268" s="94">
        <f>ROUND(C4268*F4267,2)</f>
        <v>0</v>
      </c>
    </row>
    <row r="4269" spans="1:6" ht="12.75" customHeight="1" x14ac:dyDescent="0.2">
      <c r="A4269" s="95"/>
      <c r="B4269" s="424" t="s">
        <v>260</v>
      </c>
      <c r="C4269" s="425"/>
      <c r="D4269" s="425"/>
      <c r="E4269" s="426"/>
      <c r="F4269" s="96">
        <f>F4267+F4268</f>
        <v>0</v>
      </c>
    </row>
    <row r="4270" spans="1:6" ht="12.75" customHeight="1" x14ac:dyDescent="0.2">
      <c r="A4270" s="97" t="s">
        <v>54</v>
      </c>
      <c r="B4270" s="427" t="s">
        <v>268</v>
      </c>
      <c r="C4270" s="428" t="s">
        <v>263</v>
      </c>
      <c r="D4270" s="429" t="s">
        <v>264</v>
      </c>
      <c r="E4270" s="430" t="s">
        <v>265</v>
      </c>
      <c r="F4270" s="57" t="s">
        <v>266</v>
      </c>
    </row>
    <row r="4271" spans="1:6" ht="12.75" customHeight="1" x14ac:dyDescent="0.2">
      <c r="A4271" s="3"/>
      <c r="B4271" s="71" t="str">
        <f>IF(A4271="","",VLOOKUP(A4271,'A VII.'!$A$10:$D$199,2,FALSE))</f>
        <v/>
      </c>
      <c r="C4271" s="114"/>
      <c r="D4271" s="759" t="str">
        <f>IF(A4271="","",VLOOKUP(A4271,'A VII.'!$A$10:$D$199,3,FALSE))</f>
        <v/>
      </c>
      <c r="E4271" s="85" t="str">
        <f>IF(A4271="","",VLOOKUP(A4271,'A VII.'!$A$10:$D$199,4,FALSE))</f>
        <v/>
      </c>
      <c r="F4271" s="59" t="str">
        <f>IF(A4271="","",ROUND(C4271*E4271,2))</f>
        <v/>
      </c>
    </row>
    <row r="4272" spans="1:6" ht="12.75" customHeight="1" x14ac:dyDescent="0.2">
      <c r="A4272" s="3"/>
      <c r="B4272" s="71" t="str">
        <f>IF(A4272="","",VLOOKUP(A4272,'A VII.'!$A$10:$D$199,2,FALSE))</f>
        <v/>
      </c>
      <c r="C4272" s="114"/>
      <c r="D4272" s="759" t="str">
        <f>IF(A4272="","",VLOOKUP(A4272,'A VII.'!$A$10:$D$199,3,FALSE))</f>
        <v/>
      </c>
      <c r="E4272" s="85" t="str">
        <f>IF(A4272="","",VLOOKUP(A4272,'A VII.'!$A$10:$D$199,4,FALSE))</f>
        <v/>
      </c>
      <c r="F4272" s="59" t="str">
        <f t="shared" ref="F4272:F4277" si="261">IF(A4272="","",ROUND(C4272*E4272,2))</f>
        <v/>
      </c>
    </row>
    <row r="4273" spans="1:6" ht="12.75" customHeight="1" x14ac:dyDescent="0.2">
      <c r="A4273" s="3"/>
      <c r="B4273" s="71" t="str">
        <f>IF(A4273="","",VLOOKUP(A4273,'A VII.'!$A$10:$D$199,2,FALSE))</f>
        <v/>
      </c>
      <c r="C4273" s="114"/>
      <c r="D4273" s="759" t="str">
        <f>IF(A4273="","",VLOOKUP(A4273,'A VII.'!$A$10:$D$199,3,FALSE))</f>
        <v/>
      </c>
      <c r="E4273" s="85" t="str">
        <f>IF(A4273="","",VLOOKUP(A4273,'A VII.'!$A$10:$D$199,4,FALSE))</f>
        <v/>
      </c>
      <c r="F4273" s="59" t="str">
        <f t="shared" si="261"/>
        <v/>
      </c>
    </row>
    <row r="4274" spans="1:6" ht="12.75" customHeight="1" x14ac:dyDescent="0.2">
      <c r="A4274" s="3"/>
      <c r="B4274" s="71" t="str">
        <f>IF(A4274="","",VLOOKUP(A4274,'A VII.'!$A$10:$D$199,2,FALSE))</f>
        <v/>
      </c>
      <c r="C4274" s="114"/>
      <c r="D4274" s="759" t="str">
        <f>IF(A4274="","",VLOOKUP(A4274,'A VII.'!$A$10:$D$199,3,FALSE))</f>
        <v/>
      </c>
      <c r="E4274" s="85" t="str">
        <f>IF(A4274="","",VLOOKUP(A4274,'A VII.'!$A$10:$D$199,4,FALSE))</f>
        <v/>
      </c>
      <c r="F4274" s="59" t="str">
        <f t="shared" si="261"/>
        <v/>
      </c>
    </row>
    <row r="4275" spans="1:6" ht="12.75" customHeight="1" x14ac:dyDescent="0.2">
      <c r="A4275" s="3"/>
      <c r="B4275" s="71" t="str">
        <f>IF(A4275="","",VLOOKUP(A4275,'A VII.'!$A$10:$D$199,2,FALSE))</f>
        <v/>
      </c>
      <c r="C4275" s="114"/>
      <c r="D4275" s="759" t="str">
        <f>IF(A4275="","",VLOOKUP(A4275,'A VII.'!$A$10:$D$199,3,FALSE))</f>
        <v/>
      </c>
      <c r="E4275" s="85" t="str">
        <f>IF(A4275="","",VLOOKUP(A4275,'A VII.'!$A$10:$D$199,4,FALSE))</f>
        <v/>
      </c>
      <c r="F4275" s="59" t="str">
        <f t="shared" si="261"/>
        <v/>
      </c>
    </row>
    <row r="4276" spans="1:6" ht="12.75" customHeight="1" x14ac:dyDescent="0.2">
      <c r="A4276" s="3"/>
      <c r="B4276" s="71" t="str">
        <f>IF(A4276="","",VLOOKUP(A4276,'A VII.'!$A$10:$D$199,2,FALSE))</f>
        <v/>
      </c>
      <c r="C4276" s="114"/>
      <c r="D4276" s="759" t="str">
        <f>IF(A4276="","",VLOOKUP(A4276,'A VII.'!$A$10:$D$199,3,FALSE))</f>
        <v/>
      </c>
      <c r="E4276" s="85" t="str">
        <f>IF(A4276="","",VLOOKUP(A4276,'A VII.'!$A$10:$D$199,4,FALSE))</f>
        <v/>
      </c>
      <c r="F4276" s="59" t="str">
        <f t="shared" si="261"/>
        <v/>
      </c>
    </row>
    <row r="4277" spans="1:6" ht="12.75" customHeight="1" x14ac:dyDescent="0.2">
      <c r="A4277" s="3"/>
      <c r="B4277" s="71" t="str">
        <f>IF(A4277="","",VLOOKUP(A4277,'A VII.'!$A$10:$D$199,2,FALSE))</f>
        <v/>
      </c>
      <c r="C4277" s="114"/>
      <c r="D4277" s="759" t="str">
        <f>IF(A4277="","",VLOOKUP(A4277,'A VII.'!$A$10:$D$199,3,FALSE))</f>
        <v/>
      </c>
      <c r="E4277" s="85" t="str">
        <f>IF(A4277="","",VLOOKUP(A4277,'A VII.'!$A$10:$D$199,4,FALSE))</f>
        <v/>
      </c>
      <c r="F4277" s="59" t="str">
        <f t="shared" si="261"/>
        <v/>
      </c>
    </row>
    <row r="4278" spans="1:6" ht="12.75" customHeight="1" x14ac:dyDescent="0.2">
      <c r="A4278" s="3"/>
      <c r="B4278" s="86" t="s">
        <v>258</v>
      </c>
      <c r="C4278" s="87"/>
      <c r="D4278" s="88"/>
      <c r="E4278" s="89"/>
      <c r="F4278" s="90">
        <f>SUM(F4271:F4277)</f>
        <v>0</v>
      </c>
    </row>
    <row r="4279" spans="1:6" ht="12.75" customHeight="1" x14ac:dyDescent="0.2">
      <c r="A4279" s="3"/>
      <c r="B4279" s="91" t="s">
        <v>261</v>
      </c>
      <c r="C4279" s="15">
        <f>'A IX.'!$C$45</f>
        <v>0</v>
      </c>
      <c r="D4279" s="92"/>
      <c r="E4279" s="93"/>
      <c r="F4279" s="94">
        <f>ROUND(F4278*C4279,2)</f>
        <v>0</v>
      </c>
    </row>
    <row r="4280" spans="1:6" ht="12.75" customHeight="1" x14ac:dyDescent="0.2">
      <c r="A4280" s="3"/>
      <c r="B4280" s="91" t="s">
        <v>70</v>
      </c>
      <c r="C4280" s="15">
        <f>$D$8</f>
        <v>0</v>
      </c>
      <c r="D4280" s="92"/>
      <c r="E4280" s="93"/>
      <c r="F4280" s="94">
        <f>ROUND(SUM(F4278:F4279)*C4280,2)</f>
        <v>0</v>
      </c>
    </row>
    <row r="4281" spans="1:6" ht="12.75" customHeight="1" thickBot="1" x14ac:dyDescent="0.25">
      <c r="A4281" s="98"/>
      <c r="B4281" s="99" t="s">
        <v>262</v>
      </c>
      <c r="C4281" s="100"/>
      <c r="D4281" s="100"/>
      <c r="E4281" s="101"/>
      <c r="F4281" s="102">
        <f>SUM(F4278:F4280)</f>
        <v>0</v>
      </c>
    </row>
    <row r="4282" spans="1:6" ht="12.75" customHeight="1" thickBot="1" x14ac:dyDescent="0.25">
      <c r="A4282" s="81"/>
      <c r="B4282" s="82"/>
      <c r="C4282" s="83"/>
      <c r="D4282" s="83"/>
      <c r="E4282" s="84"/>
      <c r="F4282" s="103"/>
    </row>
    <row r="4283" spans="1:6" ht="30" customHeight="1" x14ac:dyDescent="0.2">
      <c r="A4283" s="5" t="str">
        <f>'A IV.A'!A131</f>
        <v>5.4</v>
      </c>
      <c r="B4283" s="416" t="str">
        <f>'A IV.A'!B131</f>
        <v xml:space="preserve">IMPERMEABILIZACAO DE SUPERFICIE COM IMPERMEABILIZANTE FLEXIVEL A BASE DE RESINA ACRÍLICA </v>
      </c>
      <c r="C4283" s="526" t="s">
        <v>269</v>
      </c>
      <c r="D4283" s="527"/>
      <c r="E4283" s="417" t="str">
        <f>'A IV.A'!C131</f>
        <v>M2</v>
      </c>
      <c r="F4283" s="58">
        <f>ROUND(F4303+F4317+F4329,2)</f>
        <v>0</v>
      </c>
    </row>
    <row r="4284" spans="1:6" ht="12.75" customHeight="1" x14ac:dyDescent="0.2">
      <c r="A4284" s="1" t="s">
        <v>17</v>
      </c>
      <c r="B4284" s="418" t="s">
        <v>162</v>
      </c>
      <c r="C4284" s="419" t="s">
        <v>263</v>
      </c>
      <c r="D4284" s="419" t="s">
        <v>264</v>
      </c>
      <c r="E4284" s="420" t="s">
        <v>265</v>
      </c>
      <c r="F4284" s="57" t="s">
        <v>266</v>
      </c>
    </row>
    <row r="4285" spans="1:6" ht="12.75" customHeight="1" x14ac:dyDescent="0.2">
      <c r="A4285" s="6" t="str">
        <f>'A VII.'!$A$61</f>
        <v>1.52</v>
      </c>
      <c r="B4285" s="421" t="str">
        <f>'A VII.'!B61</f>
        <v>IMPERMEABILIZANTE FLEXIVEL BRANCO DE BASE ACRILICA</v>
      </c>
      <c r="C4285" s="114">
        <v>2.5</v>
      </c>
      <c r="D4285" s="757" t="str">
        <f>'A VII.'!C61</f>
        <v>KG</v>
      </c>
      <c r="E4285" s="85">
        <f>'A VII.'!D61</f>
        <v>0</v>
      </c>
      <c r="F4285" s="59">
        <f t="shared" ref="F4285:F4293" si="262">ROUND(C4285*E4285,2)</f>
        <v>0</v>
      </c>
    </row>
    <row r="4286" spans="1:6" ht="12.75" customHeight="1" x14ac:dyDescent="0.2">
      <c r="A4286" s="6"/>
      <c r="B4286" s="421"/>
      <c r="C4286" s="114"/>
      <c r="D4286" s="757"/>
      <c r="E4286" s="85"/>
      <c r="F4286" s="59">
        <f t="shared" si="262"/>
        <v>0</v>
      </c>
    </row>
    <row r="4287" spans="1:6" ht="12.75" customHeight="1" x14ac:dyDescent="0.2">
      <c r="A4287" s="6"/>
      <c r="B4287" s="421"/>
      <c r="C4287" s="114"/>
      <c r="D4287" s="757"/>
      <c r="E4287" s="85"/>
      <c r="F4287" s="59">
        <f t="shared" si="262"/>
        <v>0</v>
      </c>
    </row>
    <row r="4288" spans="1:6" ht="12.75" customHeight="1" x14ac:dyDescent="0.2">
      <c r="A4288" s="6"/>
      <c r="B4288" s="421"/>
      <c r="C4288" s="114"/>
      <c r="D4288" s="757"/>
      <c r="E4288" s="85"/>
      <c r="F4288" s="59">
        <f t="shared" si="262"/>
        <v>0</v>
      </c>
    </row>
    <row r="4289" spans="1:6" ht="12.75" customHeight="1" x14ac:dyDescent="0.2">
      <c r="A4289" s="6"/>
      <c r="B4289" s="421"/>
      <c r="C4289" s="114"/>
      <c r="D4289" s="757"/>
      <c r="E4289" s="85"/>
      <c r="F4289" s="59">
        <f t="shared" si="262"/>
        <v>0</v>
      </c>
    </row>
    <row r="4290" spans="1:6" ht="12.75" customHeight="1" x14ac:dyDescent="0.2">
      <c r="A4290" s="6"/>
      <c r="B4290" s="421"/>
      <c r="C4290" s="114"/>
      <c r="D4290" s="757"/>
      <c r="E4290" s="85"/>
      <c r="F4290" s="59">
        <f t="shared" si="262"/>
        <v>0</v>
      </c>
    </row>
    <row r="4291" spans="1:6" ht="12.75" customHeight="1" x14ac:dyDescent="0.2">
      <c r="A4291" s="6"/>
      <c r="B4291" s="421"/>
      <c r="C4291" s="114"/>
      <c r="D4291" s="757"/>
      <c r="E4291" s="85"/>
      <c r="F4291" s="59">
        <f t="shared" si="262"/>
        <v>0</v>
      </c>
    </row>
    <row r="4292" spans="1:6" ht="12.75" customHeight="1" x14ac:dyDescent="0.2">
      <c r="A4292" s="6"/>
      <c r="B4292" s="421"/>
      <c r="C4292" s="114"/>
      <c r="D4292" s="757"/>
      <c r="E4292" s="85"/>
      <c r="F4292" s="59">
        <f t="shared" si="262"/>
        <v>0</v>
      </c>
    </row>
    <row r="4293" spans="1:6" ht="12.75" customHeight="1" x14ac:dyDescent="0.2">
      <c r="A4293" s="6"/>
      <c r="B4293" s="421"/>
      <c r="C4293" s="114"/>
      <c r="D4293" s="757"/>
      <c r="E4293" s="85"/>
      <c r="F4293" s="59">
        <f t="shared" si="262"/>
        <v>0</v>
      </c>
    </row>
    <row r="4294" spans="1:6" ht="12.75" customHeight="1" x14ac:dyDescent="0.2">
      <c r="A4294" s="6"/>
      <c r="B4294" s="421"/>
      <c r="C4294" s="114"/>
      <c r="D4294" s="757"/>
      <c r="E4294" s="85"/>
      <c r="F4294" s="59"/>
    </row>
    <row r="4295" spans="1:6" ht="12.75" customHeight="1" x14ac:dyDescent="0.2">
      <c r="A4295" s="6"/>
      <c r="B4295" s="421"/>
      <c r="C4295" s="114"/>
      <c r="D4295" s="757"/>
      <c r="E4295" s="85"/>
      <c r="F4295" s="59">
        <f t="shared" ref="F4295:F4300" si="263">ROUND(C4295*E4295,2)</f>
        <v>0</v>
      </c>
    </row>
    <row r="4296" spans="1:6" ht="12.75" customHeight="1" x14ac:dyDescent="0.2">
      <c r="A4296" s="6"/>
      <c r="B4296" s="421"/>
      <c r="C4296" s="114"/>
      <c r="D4296" s="758"/>
      <c r="E4296" s="85"/>
      <c r="F4296" s="59">
        <f t="shared" si="263"/>
        <v>0</v>
      </c>
    </row>
    <row r="4297" spans="1:6" ht="12.75" customHeight="1" x14ac:dyDescent="0.2">
      <c r="A4297" s="6"/>
      <c r="B4297" s="421"/>
      <c r="C4297" s="114"/>
      <c r="D4297" s="758"/>
      <c r="E4297" s="85"/>
      <c r="F4297" s="59">
        <f t="shared" si="263"/>
        <v>0</v>
      </c>
    </row>
    <row r="4298" spans="1:6" ht="12.75" customHeight="1" x14ac:dyDescent="0.2">
      <c r="A4298" s="6"/>
      <c r="B4298" s="421"/>
      <c r="C4298" s="114"/>
      <c r="D4298" s="758"/>
      <c r="E4298" s="85"/>
      <c r="F4298" s="59">
        <f t="shared" si="263"/>
        <v>0</v>
      </c>
    </row>
    <row r="4299" spans="1:6" ht="12.75" customHeight="1" x14ac:dyDescent="0.2">
      <c r="A4299" s="3"/>
      <c r="C4299" s="114"/>
      <c r="D4299" s="759"/>
      <c r="E4299" s="85"/>
      <c r="F4299" s="59">
        <f t="shared" si="263"/>
        <v>0</v>
      </c>
    </row>
    <row r="4300" spans="1:6" ht="12.75" customHeight="1" x14ac:dyDescent="0.2">
      <c r="A4300" s="3"/>
      <c r="C4300" s="114"/>
      <c r="D4300" s="759"/>
      <c r="E4300" s="85"/>
      <c r="F4300" s="59">
        <f t="shared" si="263"/>
        <v>0</v>
      </c>
    </row>
    <row r="4301" spans="1:6" ht="12.75" customHeight="1" x14ac:dyDescent="0.2">
      <c r="A4301" s="3"/>
      <c r="B4301" s="86" t="s">
        <v>258</v>
      </c>
      <c r="C4301" s="87"/>
      <c r="D4301" s="88"/>
      <c r="E4301" s="89"/>
      <c r="F4301" s="90">
        <f>SUM(F4285:F4300)</f>
        <v>0</v>
      </c>
    </row>
    <row r="4302" spans="1:6" ht="12.75" customHeight="1" x14ac:dyDescent="0.2">
      <c r="A4302" s="3"/>
      <c r="B4302" s="91" t="s">
        <v>70</v>
      </c>
      <c r="C4302" s="15">
        <f>$D$8</f>
        <v>0</v>
      </c>
      <c r="D4302" s="92"/>
      <c r="E4302" s="93"/>
      <c r="F4302" s="94">
        <f>ROUND(F4301*C4302,2)</f>
        <v>0</v>
      </c>
    </row>
    <row r="4303" spans="1:6" ht="12.75" customHeight="1" x14ac:dyDescent="0.2">
      <c r="A4303" s="95"/>
      <c r="B4303" s="424" t="s">
        <v>259</v>
      </c>
      <c r="C4303" s="425"/>
      <c r="D4303" s="425"/>
      <c r="E4303" s="426"/>
      <c r="F4303" s="96">
        <f>F4301+F4302</f>
        <v>0</v>
      </c>
    </row>
    <row r="4304" spans="1:6" ht="12.75" customHeight="1" x14ac:dyDescent="0.2">
      <c r="A4304" s="1" t="s">
        <v>5</v>
      </c>
      <c r="B4304" s="418" t="s">
        <v>267</v>
      </c>
      <c r="C4304" s="419" t="s">
        <v>263</v>
      </c>
      <c r="D4304" s="419" t="s">
        <v>264</v>
      </c>
      <c r="E4304" s="420" t="s">
        <v>265</v>
      </c>
      <c r="F4304" s="57" t="s">
        <v>266</v>
      </c>
    </row>
    <row r="4305" spans="1:6" ht="12.75" customHeight="1" x14ac:dyDescent="0.2">
      <c r="A4305" s="3"/>
      <c r="B4305" s="71"/>
      <c r="C4305" s="114"/>
      <c r="D4305" s="759"/>
      <c r="E4305" s="85"/>
      <c r="F4305" s="59">
        <f t="shared" ref="F4305:F4314" si="264">ROUND(C4305*E4305,2)</f>
        <v>0</v>
      </c>
    </row>
    <row r="4306" spans="1:6" ht="12.75" customHeight="1" x14ac:dyDescent="0.2">
      <c r="A4306" s="3"/>
      <c r="C4306" s="114"/>
      <c r="D4306" s="759"/>
      <c r="E4306" s="85"/>
      <c r="F4306" s="59">
        <f t="shared" si="264"/>
        <v>0</v>
      </c>
    </row>
    <row r="4307" spans="1:6" ht="12.75" customHeight="1" x14ac:dyDescent="0.2">
      <c r="A4307" s="3"/>
      <c r="C4307" s="114"/>
      <c r="D4307" s="759"/>
      <c r="E4307" s="85"/>
      <c r="F4307" s="59">
        <f t="shared" si="264"/>
        <v>0</v>
      </c>
    </row>
    <row r="4308" spans="1:6" ht="12.75" customHeight="1" x14ac:dyDescent="0.2">
      <c r="A4308" s="3"/>
      <c r="C4308" s="114"/>
      <c r="D4308" s="759"/>
      <c r="E4308" s="85"/>
      <c r="F4308" s="59">
        <f t="shared" si="264"/>
        <v>0</v>
      </c>
    </row>
    <row r="4309" spans="1:6" ht="12.75" customHeight="1" x14ac:dyDescent="0.2">
      <c r="A4309" s="3"/>
      <c r="C4309" s="114"/>
      <c r="D4309" s="759"/>
      <c r="E4309" s="85"/>
      <c r="F4309" s="59">
        <f t="shared" si="264"/>
        <v>0</v>
      </c>
    </row>
    <row r="4310" spans="1:6" ht="12.75" customHeight="1" x14ac:dyDescent="0.2">
      <c r="A4310" s="3"/>
      <c r="C4310" s="114"/>
      <c r="D4310" s="759"/>
      <c r="E4310" s="85"/>
      <c r="F4310" s="59">
        <f t="shared" si="264"/>
        <v>0</v>
      </c>
    </row>
    <row r="4311" spans="1:6" ht="12.75" customHeight="1" x14ac:dyDescent="0.2">
      <c r="A4311" s="3"/>
      <c r="C4311" s="114"/>
      <c r="D4311" s="759"/>
      <c r="E4311" s="85"/>
      <c r="F4311" s="59">
        <f t="shared" si="264"/>
        <v>0</v>
      </c>
    </row>
    <row r="4312" spans="1:6" ht="12.75" customHeight="1" x14ac:dyDescent="0.2">
      <c r="A4312" s="3"/>
      <c r="C4312" s="114"/>
      <c r="D4312" s="759"/>
      <c r="E4312" s="85"/>
      <c r="F4312" s="59">
        <f t="shared" si="264"/>
        <v>0</v>
      </c>
    </row>
    <row r="4313" spans="1:6" ht="12.75" customHeight="1" x14ac:dyDescent="0.2">
      <c r="A4313" s="3"/>
      <c r="C4313" s="114"/>
      <c r="D4313" s="759"/>
      <c r="E4313" s="85"/>
      <c r="F4313" s="59">
        <f t="shared" si="264"/>
        <v>0</v>
      </c>
    </row>
    <row r="4314" spans="1:6" ht="12.75" customHeight="1" x14ac:dyDescent="0.2">
      <c r="A4314" s="3"/>
      <c r="C4314" s="114"/>
      <c r="D4314" s="759"/>
      <c r="E4314" s="85"/>
      <c r="F4314" s="59">
        <f t="shared" si="264"/>
        <v>0</v>
      </c>
    </row>
    <row r="4315" spans="1:6" ht="12.75" customHeight="1" x14ac:dyDescent="0.2">
      <c r="A4315" s="3"/>
      <c r="B4315" s="86" t="s">
        <v>258</v>
      </c>
      <c r="C4315" s="87"/>
      <c r="D4315" s="88"/>
      <c r="E4315" s="89"/>
      <c r="F4315" s="90">
        <f>SUM(F4305:F4314)</f>
        <v>0</v>
      </c>
    </row>
    <row r="4316" spans="1:6" ht="12.75" customHeight="1" x14ac:dyDescent="0.2">
      <c r="A4316" s="3"/>
      <c r="B4316" s="91" t="s">
        <v>70</v>
      </c>
      <c r="C4316" s="15">
        <f>$D$8</f>
        <v>0</v>
      </c>
      <c r="D4316" s="92"/>
      <c r="E4316" s="93"/>
      <c r="F4316" s="94">
        <f>ROUND(C4316*F4315,2)</f>
        <v>0</v>
      </c>
    </row>
    <row r="4317" spans="1:6" ht="12.75" customHeight="1" x14ac:dyDescent="0.2">
      <c r="A4317" s="95"/>
      <c r="B4317" s="424" t="s">
        <v>260</v>
      </c>
      <c r="C4317" s="425"/>
      <c r="D4317" s="425"/>
      <c r="E4317" s="426"/>
      <c r="F4317" s="96">
        <f>F4315+F4316</f>
        <v>0</v>
      </c>
    </row>
    <row r="4318" spans="1:6" ht="12.75" customHeight="1" x14ac:dyDescent="0.2">
      <c r="A4318" s="97" t="s">
        <v>54</v>
      </c>
      <c r="B4318" s="427" t="s">
        <v>268</v>
      </c>
      <c r="C4318" s="428" t="s">
        <v>263</v>
      </c>
      <c r="D4318" s="429" t="s">
        <v>264</v>
      </c>
      <c r="E4318" s="430" t="s">
        <v>265</v>
      </c>
      <c r="F4318" s="57" t="s">
        <v>266</v>
      </c>
    </row>
    <row r="4319" spans="1:6" ht="12.75" customHeight="1" x14ac:dyDescent="0.2">
      <c r="A4319" s="3" t="str">
        <f>'A VII.'!$A$191</f>
        <v>3.11</v>
      </c>
      <c r="B4319" s="74" t="str">
        <f>'A VII.'!B191</f>
        <v>IMPERMEABILIZADOR COM ENCARGOS COMPLEMENTARES</v>
      </c>
      <c r="C4319" s="114">
        <v>1.4</v>
      </c>
      <c r="D4319" s="759" t="str">
        <f>'A VII.'!C191</f>
        <v>H</v>
      </c>
      <c r="E4319" s="85">
        <f>'A VII.'!D191</f>
        <v>0</v>
      </c>
      <c r="F4319" s="59">
        <f t="shared" ref="F4319:F4325" si="265">ROUND(C4319*E4319,2)</f>
        <v>0</v>
      </c>
    </row>
    <row r="4320" spans="1:6" ht="12.75" customHeight="1" x14ac:dyDescent="0.2">
      <c r="A4320" s="3" t="str">
        <f>'A VII.'!$A$196</f>
        <v>3.16</v>
      </c>
      <c r="B4320" s="74" t="str">
        <f>'A VII.'!B196</f>
        <v>SERVENTE COM ENCARGOS COMPLEMENTARES</v>
      </c>
      <c r="C4320" s="114">
        <v>0.7</v>
      </c>
      <c r="D4320" s="759" t="str">
        <f>'A VII.'!C196</f>
        <v>H</v>
      </c>
      <c r="E4320" s="85">
        <f>'A VII.'!D196</f>
        <v>0</v>
      </c>
      <c r="F4320" s="59">
        <f t="shared" si="265"/>
        <v>0</v>
      </c>
    </row>
    <row r="4321" spans="1:6" ht="12.75" customHeight="1" x14ac:dyDescent="0.2">
      <c r="A4321" s="3"/>
      <c r="C4321" s="114"/>
      <c r="D4321" s="759"/>
      <c r="E4321" s="85"/>
      <c r="F4321" s="59">
        <f t="shared" si="265"/>
        <v>0</v>
      </c>
    </row>
    <row r="4322" spans="1:6" ht="12.75" customHeight="1" x14ac:dyDescent="0.2">
      <c r="A4322" s="3"/>
      <c r="C4322" s="114"/>
      <c r="D4322" s="759"/>
      <c r="E4322" s="85"/>
      <c r="F4322" s="59">
        <f t="shared" si="265"/>
        <v>0</v>
      </c>
    </row>
    <row r="4323" spans="1:6" ht="12.75" customHeight="1" x14ac:dyDescent="0.2">
      <c r="A4323" s="3"/>
      <c r="C4323" s="114"/>
      <c r="D4323" s="759"/>
      <c r="E4323" s="85"/>
      <c r="F4323" s="59">
        <f t="shared" si="265"/>
        <v>0</v>
      </c>
    </row>
    <row r="4324" spans="1:6" ht="12.75" customHeight="1" x14ac:dyDescent="0.2">
      <c r="A4324" s="3"/>
      <c r="C4324" s="114"/>
      <c r="D4324" s="759"/>
      <c r="E4324" s="85"/>
      <c r="F4324" s="59">
        <f t="shared" si="265"/>
        <v>0</v>
      </c>
    </row>
    <row r="4325" spans="1:6" ht="12.75" customHeight="1" x14ac:dyDescent="0.2">
      <c r="A4325" s="3"/>
      <c r="C4325" s="114"/>
      <c r="D4325" s="759"/>
      <c r="E4325" s="85"/>
      <c r="F4325" s="59">
        <f t="shared" si="265"/>
        <v>0</v>
      </c>
    </row>
    <row r="4326" spans="1:6" ht="12.75" customHeight="1" x14ac:dyDescent="0.2">
      <c r="A4326" s="3"/>
      <c r="B4326" s="86" t="s">
        <v>258</v>
      </c>
      <c r="C4326" s="87"/>
      <c r="D4326" s="88"/>
      <c r="E4326" s="89"/>
      <c r="F4326" s="90">
        <f>SUM(F4319:F4325)</f>
        <v>0</v>
      </c>
    </row>
    <row r="4327" spans="1:6" ht="12.75" customHeight="1" x14ac:dyDescent="0.2">
      <c r="A4327" s="3"/>
      <c r="B4327" s="91" t="s">
        <v>261</v>
      </c>
      <c r="C4327" s="15">
        <f>'A IX.'!$C$45</f>
        <v>0</v>
      </c>
      <c r="D4327" s="92"/>
      <c r="E4327" s="93"/>
      <c r="F4327" s="94">
        <f>ROUND(F4326*C4327,2)</f>
        <v>0</v>
      </c>
    </row>
    <row r="4328" spans="1:6" ht="12.75" customHeight="1" x14ac:dyDescent="0.2">
      <c r="A4328" s="3"/>
      <c r="B4328" s="91" t="s">
        <v>70</v>
      </c>
      <c r="C4328" s="15">
        <f>$D$8</f>
        <v>0</v>
      </c>
      <c r="D4328" s="92"/>
      <c r="E4328" s="93"/>
      <c r="F4328" s="94">
        <f>ROUND(SUM(F4326:F4327)*C4328,2)</f>
        <v>0</v>
      </c>
    </row>
    <row r="4329" spans="1:6" ht="12.75" customHeight="1" thickBot="1" x14ac:dyDescent="0.25">
      <c r="A4329" s="98"/>
      <c r="B4329" s="99" t="s">
        <v>262</v>
      </c>
      <c r="C4329" s="100"/>
      <c r="D4329" s="100"/>
      <c r="E4329" s="101"/>
      <c r="F4329" s="102">
        <f>SUM(F4326:F4328)</f>
        <v>0</v>
      </c>
    </row>
    <row r="4330" spans="1:6" ht="12.75" customHeight="1" thickBot="1" x14ac:dyDescent="0.25">
      <c r="A4330" s="252"/>
      <c r="B4330" s="253"/>
      <c r="C4330" s="254"/>
      <c r="D4330" s="254"/>
      <c r="E4330" s="255"/>
      <c r="F4330" s="256"/>
    </row>
    <row r="4331" spans="1:6" ht="30" customHeight="1" x14ac:dyDescent="0.2">
      <c r="A4331" s="5" t="str">
        <f>'A IV.A'!$A$132</f>
        <v>5.5</v>
      </c>
      <c r="B4331" s="416" t="str">
        <f>'A IV.A'!$B$132</f>
        <v xml:space="preserve">TRATAMENTO FLEXÍVEL C/INJEÇÃO DE SELANTE À BASE DE POLIURETANO HIDROATIVADO E GEL </v>
      </c>
      <c r="C4331" s="526" t="s">
        <v>269</v>
      </c>
      <c r="D4331" s="527"/>
      <c r="E4331" s="417" t="str">
        <f>'A IV.A'!C$132</f>
        <v>M</v>
      </c>
      <c r="F4331" s="58">
        <f>ROUND(F4351+F4365+F4377,2)</f>
        <v>0</v>
      </c>
    </row>
    <row r="4332" spans="1:6" ht="12.75" customHeight="1" x14ac:dyDescent="0.2">
      <c r="A4332" s="1" t="s">
        <v>17</v>
      </c>
      <c r="B4332" s="418" t="s">
        <v>162</v>
      </c>
      <c r="C4332" s="419" t="s">
        <v>263</v>
      </c>
      <c r="D4332" s="419" t="s">
        <v>264</v>
      </c>
      <c r="E4332" s="420" t="s">
        <v>265</v>
      </c>
      <c r="F4332" s="57" t="s">
        <v>266</v>
      </c>
    </row>
    <row r="4333" spans="1:6" ht="12.75" customHeight="1" x14ac:dyDescent="0.2">
      <c r="A4333" s="6"/>
      <c r="B4333" s="421"/>
      <c r="C4333" s="114"/>
      <c r="D4333" s="757"/>
      <c r="E4333" s="85"/>
      <c r="F4333" s="59">
        <f>ROUND(C4333*E4333,2)</f>
        <v>0</v>
      </c>
    </row>
    <row r="4334" spans="1:6" ht="12.75" customHeight="1" x14ac:dyDescent="0.2">
      <c r="A4334" s="6"/>
      <c r="B4334" s="421"/>
      <c r="C4334" s="114"/>
      <c r="D4334" s="757"/>
      <c r="E4334" s="85"/>
      <c r="F4334" s="59">
        <f t="shared" ref="F4334:F4348" si="266">ROUND(C4334*E4334,2)</f>
        <v>0</v>
      </c>
    </row>
    <row r="4335" spans="1:6" ht="12.75" customHeight="1" x14ac:dyDescent="0.2">
      <c r="A4335" s="6"/>
      <c r="B4335" s="421"/>
      <c r="C4335" s="114"/>
      <c r="D4335" s="757"/>
      <c r="E4335" s="85"/>
      <c r="F4335" s="59">
        <f t="shared" si="266"/>
        <v>0</v>
      </c>
    </row>
    <row r="4336" spans="1:6" ht="12.75" customHeight="1" x14ac:dyDescent="0.2">
      <c r="A4336" s="6"/>
      <c r="B4336" s="421"/>
      <c r="C4336" s="114"/>
      <c r="D4336" s="757"/>
      <c r="E4336" s="85"/>
      <c r="F4336" s="59">
        <f t="shared" si="266"/>
        <v>0</v>
      </c>
    </row>
    <row r="4337" spans="1:6" ht="12.75" customHeight="1" x14ac:dyDescent="0.2">
      <c r="A4337" s="6"/>
      <c r="B4337" s="421"/>
      <c r="C4337" s="114"/>
      <c r="D4337" s="757"/>
      <c r="E4337" s="85"/>
      <c r="F4337" s="59">
        <f t="shared" si="266"/>
        <v>0</v>
      </c>
    </row>
    <row r="4338" spans="1:6" ht="12.75" customHeight="1" x14ac:dyDescent="0.2">
      <c r="A4338" s="6"/>
      <c r="B4338" s="421"/>
      <c r="C4338" s="114"/>
      <c r="D4338" s="757"/>
      <c r="E4338" s="85"/>
      <c r="F4338" s="59">
        <f t="shared" si="266"/>
        <v>0</v>
      </c>
    </row>
    <row r="4339" spans="1:6" ht="12.75" customHeight="1" x14ac:dyDescent="0.2">
      <c r="A4339" s="6"/>
      <c r="B4339" s="421"/>
      <c r="C4339" s="114"/>
      <c r="D4339" s="757"/>
      <c r="E4339" s="85"/>
      <c r="F4339" s="59">
        <f t="shared" si="266"/>
        <v>0</v>
      </c>
    </row>
    <row r="4340" spans="1:6" ht="12.75" customHeight="1" x14ac:dyDescent="0.2">
      <c r="A4340" s="6"/>
      <c r="B4340" s="421"/>
      <c r="C4340" s="114"/>
      <c r="D4340" s="757"/>
      <c r="E4340" s="85"/>
      <c r="F4340" s="59">
        <f t="shared" si="266"/>
        <v>0</v>
      </c>
    </row>
    <row r="4341" spans="1:6" ht="12.75" customHeight="1" x14ac:dyDescent="0.2">
      <c r="A4341" s="6"/>
      <c r="B4341" s="421"/>
      <c r="C4341" s="114"/>
      <c r="D4341" s="757"/>
      <c r="E4341" s="85"/>
      <c r="F4341" s="59">
        <f t="shared" si="266"/>
        <v>0</v>
      </c>
    </row>
    <row r="4342" spans="1:6" ht="12.75" customHeight="1" x14ac:dyDescent="0.2">
      <c r="A4342" s="6"/>
      <c r="B4342" s="421"/>
      <c r="C4342" s="114"/>
      <c r="D4342" s="757"/>
      <c r="E4342" s="85"/>
      <c r="F4342" s="59">
        <f t="shared" si="266"/>
        <v>0</v>
      </c>
    </row>
    <row r="4343" spans="1:6" ht="12.75" customHeight="1" x14ac:dyDescent="0.2">
      <c r="A4343" s="6"/>
      <c r="B4343" s="421"/>
      <c r="C4343" s="114"/>
      <c r="D4343" s="757"/>
      <c r="E4343" s="85"/>
      <c r="F4343" s="59">
        <f t="shared" si="266"/>
        <v>0</v>
      </c>
    </row>
    <row r="4344" spans="1:6" ht="12.75" customHeight="1" x14ac:dyDescent="0.2">
      <c r="A4344" s="6"/>
      <c r="B4344" s="421"/>
      <c r="C4344" s="114"/>
      <c r="D4344" s="758"/>
      <c r="E4344" s="85"/>
      <c r="F4344" s="59">
        <f t="shared" si="266"/>
        <v>0</v>
      </c>
    </row>
    <row r="4345" spans="1:6" ht="12.75" customHeight="1" x14ac:dyDescent="0.2">
      <c r="A4345" s="6"/>
      <c r="B4345" s="421"/>
      <c r="C4345" s="114"/>
      <c r="D4345" s="758"/>
      <c r="E4345" s="85"/>
      <c r="F4345" s="59">
        <f t="shared" si="266"/>
        <v>0</v>
      </c>
    </row>
    <row r="4346" spans="1:6" ht="12.75" customHeight="1" x14ac:dyDescent="0.2">
      <c r="A4346" s="6"/>
      <c r="B4346" s="421"/>
      <c r="C4346" s="114"/>
      <c r="D4346" s="758"/>
      <c r="E4346" s="85"/>
      <c r="F4346" s="59">
        <f t="shared" si="266"/>
        <v>0</v>
      </c>
    </row>
    <row r="4347" spans="1:6" ht="12.75" customHeight="1" x14ac:dyDescent="0.2">
      <c r="A4347" s="3"/>
      <c r="C4347" s="114"/>
      <c r="D4347" s="759"/>
      <c r="E4347" s="85"/>
      <c r="F4347" s="59">
        <f t="shared" si="266"/>
        <v>0</v>
      </c>
    </row>
    <row r="4348" spans="1:6" ht="12.75" customHeight="1" x14ac:dyDescent="0.2">
      <c r="A4348" s="3"/>
      <c r="C4348" s="114"/>
      <c r="D4348" s="759"/>
      <c r="E4348" s="85"/>
      <c r="F4348" s="59">
        <f t="shared" si="266"/>
        <v>0</v>
      </c>
    </row>
    <row r="4349" spans="1:6" ht="12.75" customHeight="1" x14ac:dyDescent="0.2">
      <c r="A4349" s="3"/>
      <c r="B4349" s="86" t="s">
        <v>258</v>
      </c>
      <c r="C4349" s="87"/>
      <c r="D4349" s="88"/>
      <c r="E4349" s="89"/>
      <c r="F4349" s="90">
        <f>SUM(F4333:F4348)</f>
        <v>0</v>
      </c>
    </row>
    <row r="4350" spans="1:6" ht="12.75" customHeight="1" x14ac:dyDescent="0.2">
      <c r="A4350" s="3"/>
      <c r="B4350" s="91" t="s">
        <v>70</v>
      </c>
      <c r="C4350" s="15">
        <f>$D$8</f>
        <v>0</v>
      </c>
      <c r="D4350" s="92"/>
      <c r="E4350" s="93"/>
      <c r="F4350" s="94">
        <f>ROUND(F4349*C4350,2)</f>
        <v>0</v>
      </c>
    </row>
    <row r="4351" spans="1:6" ht="12.75" customHeight="1" x14ac:dyDescent="0.2">
      <c r="A4351" s="95"/>
      <c r="B4351" s="424" t="s">
        <v>259</v>
      </c>
      <c r="C4351" s="425"/>
      <c r="D4351" s="425"/>
      <c r="E4351" s="426"/>
      <c r="F4351" s="96">
        <f>F4349+F4350</f>
        <v>0</v>
      </c>
    </row>
    <row r="4352" spans="1:6" ht="12.75" customHeight="1" x14ac:dyDescent="0.2">
      <c r="A4352" s="1" t="s">
        <v>5</v>
      </c>
      <c r="B4352" s="418" t="s">
        <v>267</v>
      </c>
      <c r="C4352" s="419" t="s">
        <v>263</v>
      </c>
      <c r="D4352" s="419" t="s">
        <v>264</v>
      </c>
      <c r="E4352" s="420" t="s">
        <v>265</v>
      </c>
      <c r="F4352" s="57" t="s">
        <v>266</v>
      </c>
    </row>
    <row r="4353" spans="1:6" ht="12.75" customHeight="1" x14ac:dyDescent="0.2">
      <c r="A4353" s="6" t="str">
        <f>'A VII.'!$A$161</f>
        <v>2.19</v>
      </c>
      <c r="B4353" s="421" t="str">
        <f>VLOOKUP(A4353,'A VII.'!$A$10:$D$199,2,FALSE)</f>
        <v>TRATAMENTO FLEXÍVEL C/INJEÇÃO DE SELANTE À BASE DE POLIURETANO HIDROATIVADO E GEL</v>
      </c>
      <c r="C4353" s="114">
        <v>1</v>
      </c>
      <c r="D4353" s="759" t="str">
        <f>VLOOKUP(A4353,'A VII.'!$A$10:$D$199,3,FALSE)</f>
        <v>M</v>
      </c>
      <c r="E4353" s="85">
        <f>'A VII.'!D161</f>
        <v>0</v>
      </c>
      <c r="F4353" s="59">
        <f t="shared" ref="F4353:F4362" si="267">ROUND(C4353*E4353,2)</f>
        <v>0</v>
      </c>
    </row>
    <row r="4354" spans="1:6" ht="12.75" customHeight="1" x14ac:dyDescent="0.2">
      <c r="A4354" s="3"/>
      <c r="C4354" s="114"/>
      <c r="D4354" s="759"/>
      <c r="E4354" s="85"/>
      <c r="F4354" s="59">
        <f t="shared" si="267"/>
        <v>0</v>
      </c>
    </row>
    <row r="4355" spans="1:6" ht="12.75" customHeight="1" x14ac:dyDescent="0.2">
      <c r="A4355" s="3"/>
      <c r="C4355" s="114"/>
      <c r="D4355" s="759"/>
      <c r="E4355" s="85"/>
      <c r="F4355" s="59">
        <f t="shared" si="267"/>
        <v>0</v>
      </c>
    </row>
    <row r="4356" spans="1:6" ht="12.75" customHeight="1" x14ac:dyDescent="0.2">
      <c r="A4356" s="3"/>
      <c r="C4356" s="114"/>
      <c r="D4356" s="759"/>
      <c r="E4356" s="85"/>
      <c r="F4356" s="59">
        <f t="shared" si="267"/>
        <v>0</v>
      </c>
    </row>
    <row r="4357" spans="1:6" ht="12.75" customHeight="1" x14ac:dyDescent="0.2">
      <c r="A4357" s="3"/>
      <c r="C4357" s="114"/>
      <c r="D4357" s="759"/>
      <c r="E4357" s="85"/>
      <c r="F4357" s="59">
        <f t="shared" si="267"/>
        <v>0</v>
      </c>
    </row>
    <row r="4358" spans="1:6" ht="12.75" customHeight="1" x14ac:dyDescent="0.2">
      <c r="A4358" s="3"/>
      <c r="C4358" s="114"/>
      <c r="D4358" s="759"/>
      <c r="E4358" s="85"/>
      <c r="F4358" s="59">
        <f t="shared" si="267"/>
        <v>0</v>
      </c>
    </row>
    <row r="4359" spans="1:6" ht="12.75" customHeight="1" x14ac:dyDescent="0.2">
      <c r="A4359" s="3"/>
      <c r="C4359" s="114"/>
      <c r="D4359" s="759"/>
      <c r="E4359" s="85"/>
      <c r="F4359" s="59">
        <f t="shared" si="267"/>
        <v>0</v>
      </c>
    </row>
    <row r="4360" spans="1:6" ht="12.75" customHeight="1" x14ac:dyDescent="0.2">
      <c r="A4360" s="3"/>
      <c r="C4360" s="114"/>
      <c r="D4360" s="759"/>
      <c r="E4360" s="85"/>
      <c r="F4360" s="59">
        <f t="shared" si="267"/>
        <v>0</v>
      </c>
    </row>
    <row r="4361" spans="1:6" ht="12.75" customHeight="1" x14ac:dyDescent="0.2">
      <c r="A4361" s="3"/>
      <c r="C4361" s="114"/>
      <c r="D4361" s="759"/>
      <c r="E4361" s="85"/>
      <c r="F4361" s="59">
        <f t="shared" si="267"/>
        <v>0</v>
      </c>
    </row>
    <row r="4362" spans="1:6" ht="12.75" customHeight="1" x14ac:dyDescent="0.2">
      <c r="A4362" s="3"/>
      <c r="C4362" s="114"/>
      <c r="D4362" s="759"/>
      <c r="E4362" s="85"/>
      <c r="F4362" s="59">
        <f t="shared" si="267"/>
        <v>0</v>
      </c>
    </row>
    <row r="4363" spans="1:6" ht="12.75" customHeight="1" x14ac:dyDescent="0.2">
      <c r="A4363" s="3"/>
      <c r="B4363" s="86" t="s">
        <v>258</v>
      </c>
      <c r="C4363" s="87"/>
      <c r="D4363" s="88"/>
      <c r="E4363" s="89"/>
      <c r="F4363" s="90">
        <f>SUM(F4353:F4362)</f>
        <v>0</v>
      </c>
    </row>
    <row r="4364" spans="1:6" ht="12.75" customHeight="1" x14ac:dyDescent="0.2">
      <c r="A4364" s="3"/>
      <c r="B4364" s="91" t="s">
        <v>70</v>
      </c>
      <c r="C4364" s="15">
        <f>$D$8</f>
        <v>0</v>
      </c>
      <c r="D4364" s="92"/>
      <c r="E4364" s="93"/>
      <c r="F4364" s="94">
        <f>ROUND(C4364*F4363,2)</f>
        <v>0</v>
      </c>
    </row>
    <row r="4365" spans="1:6" ht="12.75" customHeight="1" x14ac:dyDescent="0.2">
      <c r="A4365" s="95"/>
      <c r="B4365" s="424" t="s">
        <v>260</v>
      </c>
      <c r="C4365" s="425"/>
      <c r="D4365" s="425"/>
      <c r="E4365" s="426"/>
      <c r="F4365" s="96">
        <f>F4363+F4364</f>
        <v>0</v>
      </c>
    </row>
    <row r="4366" spans="1:6" ht="12.75" customHeight="1" x14ac:dyDescent="0.2">
      <c r="A4366" s="97" t="s">
        <v>54</v>
      </c>
      <c r="B4366" s="427" t="s">
        <v>268</v>
      </c>
      <c r="C4366" s="428" t="s">
        <v>263</v>
      </c>
      <c r="D4366" s="429" t="s">
        <v>264</v>
      </c>
      <c r="E4366" s="430" t="s">
        <v>265</v>
      </c>
      <c r="F4366" s="57" t="s">
        <v>266</v>
      </c>
    </row>
    <row r="4367" spans="1:6" ht="12.75" customHeight="1" x14ac:dyDescent="0.2">
      <c r="A4367" s="3"/>
      <c r="C4367" s="114"/>
      <c r="D4367" s="759"/>
      <c r="E4367" s="85"/>
      <c r="F4367" s="59">
        <f t="shared" ref="F4367:F4373" si="268">ROUND(C4367*E4367,2)</f>
        <v>0</v>
      </c>
    </row>
    <row r="4368" spans="1:6" ht="12.75" customHeight="1" x14ac:dyDescent="0.2">
      <c r="A4368" s="3"/>
      <c r="C4368" s="114"/>
      <c r="D4368" s="759"/>
      <c r="E4368" s="85"/>
      <c r="F4368" s="59">
        <f t="shared" si="268"/>
        <v>0</v>
      </c>
    </row>
    <row r="4369" spans="1:6" ht="12.75" customHeight="1" x14ac:dyDescent="0.2">
      <c r="A4369" s="3"/>
      <c r="C4369" s="114"/>
      <c r="D4369" s="759"/>
      <c r="E4369" s="85"/>
      <c r="F4369" s="59">
        <f t="shared" si="268"/>
        <v>0</v>
      </c>
    </row>
    <row r="4370" spans="1:6" ht="12.75" customHeight="1" x14ac:dyDescent="0.2">
      <c r="A4370" s="3"/>
      <c r="C4370" s="114"/>
      <c r="D4370" s="759"/>
      <c r="E4370" s="85"/>
      <c r="F4370" s="59">
        <f t="shared" si="268"/>
        <v>0</v>
      </c>
    </row>
    <row r="4371" spans="1:6" ht="12.75" customHeight="1" x14ac:dyDescent="0.2">
      <c r="A4371" s="3"/>
      <c r="C4371" s="114"/>
      <c r="D4371" s="759"/>
      <c r="E4371" s="85"/>
      <c r="F4371" s="59">
        <f t="shared" si="268"/>
        <v>0</v>
      </c>
    </row>
    <row r="4372" spans="1:6" ht="12.75" customHeight="1" x14ac:dyDescent="0.2">
      <c r="A4372" s="3"/>
      <c r="C4372" s="114"/>
      <c r="D4372" s="759"/>
      <c r="E4372" s="85"/>
      <c r="F4372" s="59">
        <f t="shared" si="268"/>
        <v>0</v>
      </c>
    </row>
    <row r="4373" spans="1:6" ht="12.75" customHeight="1" x14ac:dyDescent="0.2">
      <c r="A4373" s="3"/>
      <c r="C4373" s="114"/>
      <c r="D4373" s="759"/>
      <c r="E4373" s="85"/>
      <c r="F4373" s="59">
        <f t="shared" si="268"/>
        <v>0</v>
      </c>
    </row>
    <row r="4374" spans="1:6" ht="12.75" customHeight="1" x14ac:dyDescent="0.2">
      <c r="A4374" s="3"/>
      <c r="B4374" s="86" t="s">
        <v>258</v>
      </c>
      <c r="C4374" s="87"/>
      <c r="D4374" s="88"/>
      <c r="E4374" s="89"/>
      <c r="F4374" s="90">
        <f>SUM(F4367:F4373)</f>
        <v>0</v>
      </c>
    </row>
    <row r="4375" spans="1:6" ht="12.75" customHeight="1" x14ac:dyDescent="0.2">
      <c r="A4375" s="3"/>
      <c r="B4375" s="91" t="s">
        <v>261</v>
      </c>
      <c r="C4375" s="15">
        <f>'A IX.'!$C$45</f>
        <v>0</v>
      </c>
      <c r="D4375" s="92"/>
      <c r="E4375" s="93"/>
      <c r="F4375" s="94">
        <f>ROUND(F4374*C4375,2)</f>
        <v>0</v>
      </c>
    </row>
    <row r="4376" spans="1:6" ht="12.75" customHeight="1" x14ac:dyDescent="0.2">
      <c r="A4376" s="3"/>
      <c r="B4376" s="91" t="s">
        <v>70</v>
      </c>
      <c r="C4376" s="15">
        <f>$D$8</f>
        <v>0</v>
      </c>
      <c r="D4376" s="92"/>
      <c r="E4376" s="93"/>
      <c r="F4376" s="94">
        <f>ROUND(SUM(F4374:F4375)*C4376,2)</f>
        <v>0</v>
      </c>
    </row>
    <row r="4377" spans="1:6" ht="12.75" customHeight="1" thickBot="1" x14ac:dyDescent="0.25">
      <c r="A4377" s="98"/>
      <c r="B4377" s="99" t="s">
        <v>262</v>
      </c>
      <c r="C4377" s="100"/>
      <c r="D4377" s="100"/>
      <c r="E4377" s="101"/>
      <c r="F4377" s="102">
        <f>SUM(F4374:F4376)</f>
        <v>0</v>
      </c>
    </row>
    <row r="4378" spans="1:6" ht="12.75" customHeight="1" thickBot="1" x14ac:dyDescent="0.25">
      <c r="A4378" s="81"/>
      <c r="B4378" s="82"/>
      <c r="C4378" s="83"/>
      <c r="D4378" s="83"/>
      <c r="E4378" s="84"/>
      <c r="F4378" s="103"/>
    </row>
    <row r="4379" spans="1:6" ht="30" customHeight="1" x14ac:dyDescent="0.2">
      <c r="A4379" s="5" t="str">
        <f>'A IV.A'!$A$137</f>
        <v>6.1.1</v>
      </c>
      <c r="B4379" s="416" t="str">
        <f>'A IV.A'!$B$137</f>
        <v>HIDROJATEAMENTO  DE RESERVATÓRIO ELEVADO</v>
      </c>
      <c r="C4379" s="526" t="s">
        <v>269</v>
      </c>
      <c r="D4379" s="527"/>
      <c r="E4379" s="417" t="str">
        <f>'A IV.A'!$C$137</f>
        <v>M2</v>
      </c>
      <c r="F4379" s="58">
        <f>ROUND(F4399+F4413+F4425,2)</f>
        <v>0</v>
      </c>
    </row>
    <row r="4380" spans="1:6" ht="12.75" customHeight="1" x14ac:dyDescent="0.2">
      <c r="A4380" s="1" t="s">
        <v>17</v>
      </c>
      <c r="B4380" s="418" t="s">
        <v>162</v>
      </c>
      <c r="C4380" s="419" t="s">
        <v>263</v>
      </c>
      <c r="D4380" s="419" t="s">
        <v>264</v>
      </c>
      <c r="E4380" s="420" t="s">
        <v>265</v>
      </c>
      <c r="F4380" s="57" t="s">
        <v>266</v>
      </c>
    </row>
    <row r="4381" spans="1:6" ht="12.75" customHeight="1" x14ac:dyDescent="0.2">
      <c r="A4381" s="6"/>
      <c r="B4381" s="421"/>
      <c r="C4381" s="114"/>
      <c r="D4381" s="757"/>
      <c r="E4381" s="85"/>
      <c r="F4381" s="59">
        <f>ROUND(C4381*E4381,2)</f>
        <v>0</v>
      </c>
    </row>
    <row r="4382" spans="1:6" ht="12.75" customHeight="1" x14ac:dyDescent="0.2">
      <c r="A4382" s="6"/>
      <c r="B4382" s="421"/>
      <c r="C4382" s="114"/>
      <c r="D4382" s="757"/>
      <c r="E4382" s="85"/>
      <c r="F4382" s="59">
        <f t="shared" ref="F4382:F4396" si="269">ROUND(C4382*E4382,2)</f>
        <v>0</v>
      </c>
    </row>
    <row r="4383" spans="1:6" ht="12.75" customHeight="1" x14ac:dyDescent="0.2">
      <c r="A4383" s="6"/>
      <c r="B4383" s="421"/>
      <c r="C4383" s="114"/>
      <c r="D4383" s="757"/>
      <c r="E4383" s="85"/>
      <c r="F4383" s="59">
        <f t="shared" si="269"/>
        <v>0</v>
      </c>
    </row>
    <row r="4384" spans="1:6" ht="12.75" customHeight="1" x14ac:dyDescent="0.2">
      <c r="A4384" s="6"/>
      <c r="B4384" s="421"/>
      <c r="C4384" s="114"/>
      <c r="D4384" s="757"/>
      <c r="E4384" s="85"/>
      <c r="F4384" s="59">
        <f t="shared" si="269"/>
        <v>0</v>
      </c>
    </row>
    <row r="4385" spans="1:6" ht="12.75" customHeight="1" x14ac:dyDescent="0.2">
      <c r="A4385" s="6"/>
      <c r="B4385" s="421"/>
      <c r="C4385" s="114"/>
      <c r="D4385" s="757"/>
      <c r="E4385" s="85"/>
      <c r="F4385" s="59">
        <f t="shared" si="269"/>
        <v>0</v>
      </c>
    </row>
    <row r="4386" spans="1:6" ht="12.75" customHeight="1" x14ac:dyDescent="0.2">
      <c r="A4386" s="6"/>
      <c r="B4386" s="421"/>
      <c r="C4386" s="114"/>
      <c r="D4386" s="757"/>
      <c r="E4386" s="85"/>
      <c r="F4386" s="59">
        <f t="shared" si="269"/>
        <v>0</v>
      </c>
    </row>
    <row r="4387" spans="1:6" ht="12.75" customHeight="1" x14ac:dyDescent="0.2">
      <c r="A4387" s="6"/>
      <c r="B4387" s="421"/>
      <c r="C4387" s="114"/>
      <c r="D4387" s="757"/>
      <c r="E4387" s="85"/>
      <c r="F4387" s="59">
        <f t="shared" si="269"/>
        <v>0</v>
      </c>
    </row>
    <row r="4388" spans="1:6" ht="12.75" customHeight="1" x14ac:dyDescent="0.2">
      <c r="A4388" s="6"/>
      <c r="B4388" s="421"/>
      <c r="C4388" s="114"/>
      <c r="D4388" s="757"/>
      <c r="E4388" s="85"/>
      <c r="F4388" s="59">
        <f t="shared" si="269"/>
        <v>0</v>
      </c>
    </row>
    <row r="4389" spans="1:6" ht="12.75" customHeight="1" x14ac:dyDescent="0.2">
      <c r="A4389" s="6"/>
      <c r="B4389" s="421"/>
      <c r="C4389" s="114"/>
      <c r="D4389" s="757"/>
      <c r="E4389" s="85"/>
      <c r="F4389" s="59">
        <f t="shared" si="269"/>
        <v>0</v>
      </c>
    </row>
    <row r="4390" spans="1:6" ht="12.75" customHeight="1" x14ac:dyDescent="0.2">
      <c r="A4390" s="6"/>
      <c r="B4390" s="421"/>
      <c r="C4390" s="114"/>
      <c r="D4390" s="757"/>
      <c r="E4390" s="85"/>
      <c r="F4390" s="59">
        <f t="shared" si="269"/>
        <v>0</v>
      </c>
    </row>
    <row r="4391" spans="1:6" ht="12.75" customHeight="1" x14ac:dyDescent="0.2">
      <c r="A4391" s="6"/>
      <c r="B4391" s="421"/>
      <c r="C4391" s="114"/>
      <c r="D4391" s="757"/>
      <c r="E4391" s="85"/>
      <c r="F4391" s="59">
        <f t="shared" si="269"/>
        <v>0</v>
      </c>
    </row>
    <row r="4392" spans="1:6" ht="12.75" customHeight="1" x14ac:dyDescent="0.2">
      <c r="A4392" s="6"/>
      <c r="B4392" s="421"/>
      <c r="C4392" s="114"/>
      <c r="D4392" s="758"/>
      <c r="E4392" s="85"/>
      <c r="F4392" s="59">
        <f t="shared" si="269"/>
        <v>0</v>
      </c>
    </row>
    <row r="4393" spans="1:6" ht="12.75" customHeight="1" x14ac:dyDescent="0.2">
      <c r="A4393" s="6"/>
      <c r="B4393" s="421"/>
      <c r="C4393" s="114"/>
      <c r="D4393" s="758"/>
      <c r="E4393" s="85"/>
      <c r="F4393" s="59">
        <f t="shared" si="269"/>
        <v>0</v>
      </c>
    </row>
    <row r="4394" spans="1:6" ht="12.75" customHeight="1" x14ac:dyDescent="0.2">
      <c r="A4394" s="6"/>
      <c r="B4394" s="421"/>
      <c r="C4394" s="114"/>
      <c r="D4394" s="758"/>
      <c r="E4394" s="85"/>
      <c r="F4394" s="59">
        <f t="shared" si="269"/>
        <v>0</v>
      </c>
    </row>
    <row r="4395" spans="1:6" ht="12.75" customHeight="1" x14ac:dyDescent="0.2">
      <c r="A4395" s="3"/>
      <c r="C4395" s="114"/>
      <c r="D4395" s="759"/>
      <c r="E4395" s="85"/>
      <c r="F4395" s="59">
        <f t="shared" si="269"/>
        <v>0</v>
      </c>
    </row>
    <row r="4396" spans="1:6" ht="12.75" customHeight="1" x14ac:dyDescent="0.2">
      <c r="A4396" s="3"/>
      <c r="C4396" s="114"/>
      <c r="D4396" s="759"/>
      <c r="E4396" s="85"/>
      <c r="F4396" s="59">
        <f t="shared" si="269"/>
        <v>0</v>
      </c>
    </row>
    <row r="4397" spans="1:6" ht="12.75" customHeight="1" x14ac:dyDescent="0.2">
      <c r="A4397" s="3"/>
      <c r="B4397" s="86" t="s">
        <v>258</v>
      </c>
      <c r="C4397" s="87"/>
      <c r="D4397" s="88"/>
      <c r="E4397" s="89"/>
      <c r="F4397" s="90">
        <f>SUM(F4381:F4396)</f>
        <v>0</v>
      </c>
    </row>
    <row r="4398" spans="1:6" ht="12.75" customHeight="1" x14ac:dyDescent="0.2">
      <c r="A4398" s="3"/>
      <c r="B4398" s="91" t="s">
        <v>70</v>
      </c>
      <c r="C4398" s="15">
        <f>$D$8</f>
        <v>0</v>
      </c>
      <c r="D4398" s="92"/>
      <c r="E4398" s="93"/>
      <c r="F4398" s="94">
        <f>ROUND(F4397*C4398,2)</f>
        <v>0</v>
      </c>
    </row>
    <row r="4399" spans="1:6" ht="12.75" customHeight="1" x14ac:dyDescent="0.2">
      <c r="A4399" s="95"/>
      <c r="B4399" s="424" t="s">
        <v>259</v>
      </c>
      <c r="C4399" s="425"/>
      <c r="D4399" s="425"/>
      <c r="E4399" s="426"/>
      <c r="F4399" s="96">
        <f>F4397+F4398</f>
        <v>0</v>
      </c>
    </row>
    <row r="4400" spans="1:6" ht="12.75" customHeight="1" x14ac:dyDescent="0.2">
      <c r="A4400" s="1" t="s">
        <v>5</v>
      </c>
      <c r="B4400" s="418" t="s">
        <v>267</v>
      </c>
      <c r="C4400" s="419" t="s">
        <v>263</v>
      </c>
      <c r="D4400" s="419" t="s">
        <v>264</v>
      </c>
      <c r="E4400" s="420" t="s">
        <v>265</v>
      </c>
      <c r="F4400" s="57" t="s">
        <v>266</v>
      </c>
    </row>
    <row r="4401" spans="1:6" ht="12.75" customHeight="1" x14ac:dyDescent="0.2">
      <c r="A4401" s="3" t="str">
        <f>'A VII.'!$A$160</f>
        <v>2.18</v>
      </c>
      <c r="B4401" s="71" t="str">
        <f>VLOOKUP(A4401,'A VII.'!$A$10:$D$199,2,FALSE)</f>
        <v>HIDROJATEAMENTO DE ALTA PRESSÃO C/ÁGUA QUENTE OU FRIA E SOLUÇÃO LIMPADORA ATÉ DE 17 MPA</v>
      </c>
      <c r="C4401" s="114">
        <v>1</v>
      </c>
      <c r="D4401" s="759" t="str">
        <f>VLOOKUP(A4401,'A VII.'!$A$10:$D$199,3,FALSE)</f>
        <v>M2</v>
      </c>
      <c r="E4401" s="85">
        <f>'A VII.'!D160</f>
        <v>0</v>
      </c>
      <c r="F4401" s="59">
        <f t="shared" ref="F4401:F4410" si="270">ROUND(C4401*E4401,2)</f>
        <v>0</v>
      </c>
    </row>
    <row r="4402" spans="1:6" ht="12.75" customHeight="1" x14ac:dyDescent="0.2">
      <c r="A4402" s="3"/>
      <c r="C4402" s="114"/>
      <c r="D4402" s="759"/>
      <c r="E4402" s="85"/>
      <c r="F4402" s="59">
        <f t="shared" si="270"/>
        <v>0</v>
      </c>
    </row>
    <row r="4403" spans="1:6" ht="12.75" customHeight="1" x14ac:dyDescent="0.2">
      <c r="A4403" s="3"/>
      <c r="C4403" s="114"/>
      <c r="D4403" s="759"/>
      <c r="E4403" s="85"/>
      <c r="F4403" s="59">
        <f t="shared" si="270"/>
        <v>0</v>
      </c>
    </row>
    <row r="4404" spans="1:6" ht="12.75" customHeight="1" x14ac:dyDescent="0.2">
      <c r="A4404" s="3"/>
      <c r="C4404" s="114"/>
      <c r="D4404" s="759"/>
      <c r="E4404" s="85"/>
      <c r="F4404" s="59">
        <f t="shared" si="270"/>
        <v>0</v>
      </c>
    </row>
    <row r="4405" spans="1:6" ht="12.75" customHeight="1" x14ac:dyDescent="0.2">
      <c r="A4405" s="3"/>
      <c r="C4405" s="114"/>
      <c r="D4405" s="759"/>
      <c r="E4405" s="85"/>
      <c r="F4405" s="59">
        <f t="shared" si="270"/>
        <v>0</v>
      </c>
    </row>
    <row r="4406" spans="1:6" ht="12.75" customHeight="1" x14ac:dyDescent="0.2">
      <c r="A4406" s="3"/>
      <c r="C4406" s="114"/>
      <c r="D4406" s="759"/>
      <c r="E4406" s="85"/>
      <c r="F4406" s="59">
        <f t="shared" si="270"/>
        <v>0</v>
      </c>
    </row>
    <row r="4407" spans="1:6" ht="12.75" customHeight="1" x14ac:dyDescent="0.2">
      <c r="A4407" s="3"/>
      <c r="C4407" s="114"/>
      <c r="D4407" s="759"/>
      <c r="E4407" s="85"/>
      <c r="F4407" s="59">
        <f t="shared" si="270"/>
        <v>0</v>
      </c>
    </row>
    <row r="4408" spans="1:6" ht="12.75" customHeight="1" x14ac:dyDescent="0.2">
      <c r="A4408" s="3"/>
      <c r="C4408" s="114"/>
      <c r="D4408" s="759"/>
      <c r="E4408" s="85"/>
      <c r="F4408" s="59">
        <f t="shared" si="270"/>
        <v>0</v>
      </c>
    </row>
    <row r="4409" spans="1:6" ht="12.75" customHeight="1" x14ac:dyDescent="0.2">
      <c r="A4409" s="3"/>
      <c r="C4409" s="114"/>
      <c r="D4409" s="759"/>
      <c r="E4409" s="85"/>
      <c r="F4409" s="59">
        <f t="shared" si="270"/>
        <v>0</v>
      </c>
    </row>
    <row r="4410" spans="1:6" ht="12.75" customHeight="1" x14ac:dyDescent="0.2">
      <c r="A4410" s="3"/>
      <c r="C4410" s="114"/>
      <c r="D4410" s="759"/>
      <c r="E4410" s="85"/>
      <c r="F4410" s="59">
        <f t="shared" si="270"/>
        <v>0</v>
      </c>
    </row>
    <row r="4411" spans="1:6" ht="12.75" customHeight="1" x14ac:dyDescent="0.2">
      <c r="A4411" s="3"/>
      <c r="B4411" s="86" t="s">
        <v>258</v>
      </c>
      <c r="C4411" s="87"/>
      <c r="D4411" s="88"/>
      <c r="E4411" s="89"/>
      <c r="F4411" s="90">
        <f>SUM(F4401:F4410)</f>
        <v>0</v>
      </c>
    </row>
    <row r="4412" spans="1:6" ht="12.75" customHeight="1" x14ac:dyDescent="0.2">
      <c r="A4412" s="3"/>
      <c r="B4412" s="91" t="s">
        <v>70</v>
      </c>
      <c r="C4412" s="15">
        <f>$D$8</f>
        <v>0</v>
      </c>
      <c r="D4412" s="92"/>
      <c r="E4412" s="93"/>
      <c r="F4412" s="94">
        <f>ROUND(C4412*F4411,2)</f>
        <v>0</v>
      </c>
    </row>
    <row r="4413" spans="1:6" ht="12.75" customHeight="1" x14ac:dyDescent="0.2">
      <c r="A4413" s="95"/>
      <c r="B4413" s="424" t="s">
        <v>260</v>
      </c>
      <c r="C4413" s="425"/>
      <c r="D4413" s="425"/>
      <c r="E4413" s="426"/>
      <c r="F4413" s="96">
        <f>F4411+F4412</f>
        <v>0</v>
      </c>
    </row>
    <row r="4414" spans="1:6" ht="12.75" customHeight="1" x14ac:dyDescent="0.2">
      <c r="A4414" s="97" t="s">
        <v>54</v>
      </c>
      <c r="B4414" s="427" t="s">
        <v>268</v>
      </c>
      <c r="C4414" s="428" t="s">
        <v>263</v>
      </c>
      <c r="D4414" s="429" t="s">
        <v>264</v>
      </c>
      <c r="E4414" s="430" t="s">
        <v>265</v>
      </c>
      <c r="F4414" s="57" t="s">
        <v>266</v>
      </c>
    </row>
    <row r="4415" spans="1:6" ht="12.75" customHeight="1" x14ac:dyDescent="0.2">
      <c r="A4415" s="3"/>
      <c r="C4415" s="114"/>
      <c r="D4415" s="759"/>
      <c r="E4415" s="85"/>
      <c r="F4415" s="59">
        <f t="shared" ref="F4415:F4421" si="271">ROUND(C4415*E4415,2)</f>
        <v>0</v>
      </c>
    </row>
    <row r="4416" spans="1:6" ht="12.75" customHeight="1" x14ac:dyDescent="0.2">
      <c r="A4416" s="3"/>
      <c r="C4416" s="114"/>
      <c r="D4416" s="759"/>
      <c r="E4416" s="85"/>
      <c r="F4416" s="59">
        <f t="shared" si="271"/>
        <v>0</v>
      </c>
    </row>
    <row r="4417" spans="1:6" ht="12.75" customHeight="1" x14ac:dyDescent="0.2">
      <c r="A4417" s="3"/>
      <c r="C4417" s="114"/>
      <c r="D4417" s="759"/>
      <c r="E4417" s="85"/>
      <c r="F4417" s="59">
        <f t="shared" si="271"/>
        <v>0</v>
      </c>
    </row>
    <row r="4418" spans="1:6" ht="12.75" customHeight="1" x14ac:dyDescent="0.2">
      <c r="A4418" s="3"/>
      <c r="C4418" s="114"/>
      <c r="D4418" s="759"/>
      <c r="E4418" s="85"/>
      <c r="F4418" s="59">
        <f t="shared" si="271"/>
        <v>0</v>
      </c>
    </row>
    <row r="4419" spans="1:6" ht="12.75" customHeight="1" x14ac:dyDescent="0.2">
      <c r="A4419" s="3"/>
      <c r="C4419" s="114"/>
      <c r="D4419" s="759"/>
      <c r="E4419" s="85"/>
      <c r="F4419" s="59">
        <f t="shared" si="271"/>
        <v>0</v>
      </c>
    </row>
    <row r="4420" spans="1:6" ht="12.75" customHeight="1" x14ac:dyDescent="0.2">
      <c r="A4420" s="3"/>
      <c r="C4420" s="114"/>
      <c r="D4420" s="759"/>
      <c r="E4420" s="85"/>
      <c r="F4420" s="59">
        <f t="shared" si="271"/>
        <v>0</v>
      </c>
    </row>
    <row r="4421" spans="1:6" ht="12.75" customHeight="1" x14ac:dyDescent="0.2">
      <c r="A4421" s="3"/>
      <c r="C4421" s="114"/>
      <c r="D4421" s="759"/>
      <c r="E4421" s="85"/>
      <c r="F4421" s="59">
        <f t="shared" si="271"/>
        <v>0</v>
      </c>
    </row>
    <row r="4422" spans="1:6" ht="12.75" customHeight="1" x14ac:dyDescent="0.2">
      <c r="A4422" s="3"/>
      <c r="B4422" s="86" t="s">
        <v>258</v>
      </c>
      <c r="C4422" s="87"/>
      <c r="D4422" s="88"/>
      <c r="E4422" s="89"/>
      <c r="F4422" s="90">
        <f>SUM(F4415:F4421)</f>
        <v>0</v>
      </c>
    </row>
    <row r="4423" spans="1:6" ht="12.75" customHeight="1" x14ac:dyDescent="0.2">
      <c r="A4423" s="3"/>
      <c r="B4423" s="91" t="s">
        <v>261</v>
      </c>
      <c r="C4423" s="15">
        <f>'A IX.'!$C$45</f>
        <v>0</v>
      </c>
      <c r="D4423" s="92"/>
      <c r="E4423" s="93"/>
      <c r="F4423" s="94">
        <f>ROUND(F4422*C4423,2)</f>
        <v>0</v>
      </c>
    </row>
    <row r="4424" spans="1:6" ht="12.75" customHeight="1" x14ac:dyDescent="0.2">
      <c r="A4424" s="3"/>
      <c r="B4424" s="91" t="s">
        <v>70</v>
      </c>
      <c r="C4424" s="15">
        <f>$D$8</f>
        <v>0</v>
      </c>
      <c r="D4424" s="92"/>
      <c r="E4424" s="93"/>
      <c r="F4424" s="94">
        <f>ROUND(SUM(F4422:F4423)*C4424,2)</f>
        <v>0</v>
      </c>
    </row>
    <row r="4425" spans="1:6" ht="12.75" customHeight="1" thickBot="1" x14ac:dyDescent="0.25">
      <c r="A4425" s="98"/>
      <c r="B4425" s="99" t="s">
        <v>262</v>
      </c>
      <c r="C4425" s="100"/>
      <c r="D4425" s="100"/>
      <c r="E4425" s="101"/>
      <c r="F4425" s="102">
        <f>SUM(F4422:F4424)</f>
        <v>0</v>
      </c>
    </row>
    <row r="4426" spans="1:6" ht="12.75" customHeight="1" thickBot="1" x14ac:dyDescent="0.25">
      <c r="A4426" s="81"/>
      <c r="B4426" s="82"/>
      <c r="C4426" s="83"/>
      <c r="D4426" s="83"/>
      <c r="E4426" s="84"/>
      <c r="F4426" s="103"/>
    </row>
    <row r="4427" spans="1:6" ht="30" customHeight="1" x14ac:dyDescent="0.2">
      <c r="A4427" s="5" t="str">
        <f>'A IV.A'!$A$138</f>
        <v>6.1.2</v>
      </c>
      <c r="B4427" s="416" t="str">
        <f>'A IV.A'!$B$138</f>
        <v>HIDROJATEAMENTO SIMPLES</v>
      </c>
      <c r="C4427" s="526" t="s">
        <v>269</v>
      </c>
      <c r="D4427" s="527"/>
      <c r="E4427" s="417" t="str">
        <f>'A IV.A'!$C$138</f>
        <v>M2</v>
      </c>
      <c r="F4427" s="58">
        <f>ROUND(F4447+F4461+F4473,2)</f>
        <v>0</v>
      </c>
    </row>
    <row r="4428" spans="1:6" ht="12.75" customHeight="1" x14ac:dyDescent="0.2">
      <c r="A4428" s="1" t="s">
        <v>17</v>
      </c>
      <c r="B4428" s="418" t="s">
        <v>162</v>
      </c>
      <c r="C4428" s="419" t="s">
        <v>263</v>
      </c>
      <c r="D4428" s="419" t="s">
        <v>264</v>
      </c>
      <c r="E4428" s="420" t="s">
        <v>265</v>
      </c>
      <c r="F4428" s="57" t="s">
        <v>266</v>
      </c>
    </row>
    <row r="4429" spans="1:6" ht="12.75" customHeight="1" x14ac:dyDescent="0.2">
      <c r="A4429" s="6"/>
      <c r="B4429" s="421"/>
      <c r="C4429" s="114"/>
      <c r="D4429" s="757"/>
      <c r="E4429" s="85"/>
      <c r="F4429" s="59">
        <f>ROUND(C4429*E4429,2)</f>
        <v>0</v>
      </c>
    </row>
    <row r="4430" spans="1:6" ht="12.75" customHeight="1" x14ac:dyDescent="0.2">
      <c r="A4430" s="6"/>
      <c r="B4430" s="421"/>
      <c r="C4430" s="114"/>
      <c r="D4430" s="757"/>
      <c r="E4430" s="85"/>
      <c r="F4430" s="59">
        <f t="shared" ref="F4430:F4444" si="272">ROUND(C4430*E4430,2)</f>
        <v>0</v>
      </c>
    </row>
    <row r="4431" spans="1:6" ht="12.75" customHeight="1" x14ac:dyDescent="0.2">
      <c r="A4431" s="6"/>
      <c r="B4431" s="421"/>
      <c r="C4431" s="114"/>
      <c r="D4431" s="757"/>
      <c r="E4431" s="85"/>
      <c r="F4431" s="59">
        <f t="shared" si="272"/>
        <v>0</v>
      </c>
    </row>
    <row r="4432" spans="1:6" ht="12.75" customHeight="1" x14ac:dyDescent="0.2">
      <c r="A4432" s="6"/>
      <c r="B4432" s="421"/>
      <c r="C4432" s="114"/>
      <c r="D4432" s="757"/>
      <c r="E4432" s="85"/>
      <c r="F4432" s="59">
        <f t="shared" si="272"/>
        <v>0</v>
      </c>
    </row>
    <row r="4433" spans="1:6" ht="12.75" customHeight="1" x14ac:dyDescent="0.2">
      <c r="A4433" s="6"/>
      <c r="B4433" s="421"/>
      <c r="C4433" s="114"/>
      <c r="D4433" s="757"/>
      <c r="E4433" s="85"/>
      <c r="F4433" s="59">
        <f t="shared" si="272"/>
        <v>0</v>
      </c>
    </row>
    <row r="4434" spans="1:6" ht="12.75" customHeight="1" x14ac:dyDescent="0.2">
      <c r="A4434" s="6"/>
      <c r="B4434" s="421"/>
      <c r="C4434" s="114"/>
      <c r="D4434" s="757"/>
      <c r="E4434" s="85"/>
      <c r="F4434" s="59">
        <f t="shared" si="272"/>
        <v>0</v>
      </c>
    </row>
    <row r="4435" spans="1:6" ht="12.75" customHeight="1" x14ac:dyDescent="0.2">
      <c r="A4435" s="6"/>
      <c r="B4435" s="421"/>
      <c r="C4435" s="114"/>
      <c r="D4435" s="757"/>
      <c r="E4435" s="85"/>
      <c r="F4435" s="59">
        <f t="shared" si="272"/>
        <v>0</v>
      </c>
    </row>
    <row r="4436" spans="1:6" ht="12.75" customHeight="1" x14ac:dyDescent="0.2">
      <c r="A4436" s="6"/>
      <c r="B4436" s="421"/>
      <c r="C4436" s="114"/>
      <c r="D4436" s="757"/>
      <c r="E4436" s="85"/>
      <c r="F4436" s="59">
        <f t="shared" si="272"/>
        <v>0</v>
      </c>
    </row>
    <row r="4437" spans="1:6" ht="12.75" customHeight="1" x14ac:dyDescent="0.2">
      <c r="A4437" s="6"/>
      <c r="B4437" s="421"/>
      <c r="C4437" s="114"/>
      <c r="D4437" s="757"/>
      <c r="E4437" s="85"/>
      <c r="F4437" s="59">
        <f t="shared" si="272"/>
        <v>0</v>
      </c>
    </row>
    <row r="4438" spans="1:6" ht="12.75" customHeight="1" x14ac:dyDescent="0.2">
      <c r="A4438" s="6"/>
      <c r="B4438" s="421"/>
      <c r="C4438" s="114"/>
      <c r="D4438" s="757"/>
      <c r="E4438" s="85"/>
      <c r="F4438" s="59">
        <f t="shared" si="272"/>
        <v>0</v>
      </c>
    </row>
    <row r="4439" spans="1:6" ht="12.75" customHeight="1" x14ac:dyDescent="0.2">
      <c r="A4439" s="6"/>
      <c r="B4439" s="421"/>
      <c r="C4439" s="114"/>
      <c r="D4439" s="757"/>
      <c r="E4439" s="85"/>
      <c r="F4439" s="59">
        <f t="shared" si="272"/>
        <v>0</v>
      </c>
    </row>
    <row r="4440" spans="1:6" ht="12.75" customHeight="1" x14ac:dyDescent="0.2">
      <c r="A4440" s="6"/>
      <c r="B4440" s="421"/>
      <c r="C4440" s="114"/>
      <c r="D4440" s="758"/>
      <c r="E4440" s="85"/>
      <c r="F4440" s="59">
        <f t="shared" si="272"/>
        <v>0</v>
      </c>
    </row>
    <row r="4441" spans="1:6" ht="12.75" customHeight="1" x14ac:dyDescent="0.2">
      <c r="A4441" s="6"/>
      <c r="B4441" s="421"/>
      <c r="C4441" s="114"/>
      <c r="D4441" s="758"/>
      <c r="E4441" s="85"/>
      <c r="F4441" s="59">
        <f t="shared" si="272"/>
        <v>0</v>
      </c>
    </row>
    <row r="4442" spans="1:6" ht="12.75" customHeight="1" x14ac:dyDescent="0.2">
      <c r="A4442" s="6"/>
      <c r="B4442" s="421"/>
      <c r="C4442" s="114"/>
      <c r="D4442" s="758"/>
      <c r="E4442" s="85"/>
      <c r="F4442" s="59">
        <f t="shared" si="272"/>
        <v>0</v>
      </c>
    </row>
    <row r="4443" spans="1:6" ht="12.75" customHeight="1" x14ac:dyDescent="0.2">
      <c r="A4443" s="3"/>
      <c r="C4443" s="114"/>
      <c r="D4443" s="759"/>
      <c r="E4443" s="85"/>
      <c r="F4443" s="59">
        <f t="shared" si="272"/>
        <v>0</v>
      </c>
    </row>
    <row r="4444" spans="1:6" ht="12.75" customHeight="1" x14ac:dyDescent="0.2">
      <c r="A4444" s="3"/>
      <c r="C4444" s="114"/>
      <c r="D4444" s="759"/>
      <c r="E4444" s="85"/>
      <c r="F4444" s="59">
        <f t="shared" si="272"/>
        <v>0</v>
      </c>
    </row>
    <row r="4445" spans="1:6" ht="12.75" customHeight="1" x14ac:dyDescent="0.2">
      <c r="A4445" s="3"/>
      <c r="B4445" s="86" t="s">
        <v>258</v>
      </c>
      <c r="C4445" s="87"/>
      <c r="D4445" s="88"/>
      <c r="E4445" s="89"/>
      <c r="F4445" s="90">
        <f>SUM(F4429:F4444)</f>
        <v>0</v>
      </c>
    </row>
    <row r="4446" spans="1:6" ht="12.75" customHeight="1" x14ac:dyDescent="0.2">
      <c r="A4446" s="3"/>
      <c r="B4446" s="91" t="s">
        <v>70</v>
      </c>
      <c r="C4446" s="15">
        <f>$D$8</f>
        <v>0</v>
      </c>
      <c r="D4446" s="92"/>
      <c r="E4446" s="93"/>
      <c r="F4446" s="94">
        <f>ROUND(F4445*C4446,2)</f>
        <v>0</v>
      </c>
    </row>
    <row r="4447" spans="1:6" ht="12.75" customHeight="1" x14ac:dyDescent="0.2">
      <c r="A4447" s="95"/>
      <c r="B4447" s="424" t="s">
        <v>259</v>
      </c>
      <c r="C4447" s="425"/>
      <c r="D4447" s="425"/>
      <c r="E4447" s="426"/>
      <c r="F4447" s="96">
        <f>F4445+F4446</f>
        <v>0</v>
      </c>
    </row>
    <row r="4448" spans="1:6" ht="12.75" customHeight="1" x14ac:dyDescent="0.2">
      <c r="A4448" s="1" t="s">
        <v>5</v>
      </c>
      <c r="B4448" s="418" t="s">
        <v>267</v>
      </c>
      <c r="C4448" s="419" t="s">
        <v>263</v>
      </c>
      <c r="D4448" s="419" t="s">
        <v>264</v>
      </c>
      <c r="E4448" s="420" t="s">
        <v>265</v>
      </c>
      <c r="F4448" s="57" t="s">
        <v>266</v>
      </c>
    </row>
    <row r="4449" spans="1:6" ht="12.75" customHeight="1" x14ac:dyDescent="0.2">
      <c r="A4449" s="3" t="str">
        <f>'A VII.'!$A$173</f>
        <v>2.31</v>
      </c>
      <c r="B4449" s="71" t="str">
        <f>VLOOKUP(A4449,'A VII.'!$A$10:$D$199,2,FALSE)</f>
        <v>MAQUINA DE LAVAGEM DE PRESSÃO IPO VAP (ÁGUA FRIA, PRESSÃO 1700PSI)</v>
      </c>
      <c r="C4449" s="114">
        <v>0.1</v>
      </c>
      <c r="D4449" s="759" t="str">
        <f>VLOOKUP(A4449,'A VII.'!$A$10:$D$199,3,FALSE)</f>
        <v>H</v>
      </c>
      <c r="E4449" s="85">
        <f>VLOOKUP(A4449,'A VII.'!$A$10:$D$200,4,FALSE)</f>
        <v>0</v>
      </c>
      <c r="F4449" s="59">
        <f t="shared" ref="F4449:F4458" si="273">ROUND(C4449*E4449,2)</f>
        <v>0</v>
      </c>
    </row>
    <row r="4450" spans="1:6" ht="12.75" customHeight="1" x14ac:dyDescent="0.2">
      <c r="A4450" s="3"/>
      <c r="C4450" s="114"/>
      <c r="D4450" s="759"/>
      <c r="E4450" s="85"/>
      <c r="F4450" s="59">
        <f t="shared" si="273"/>
        <v>0</v>
      </c>
    </row>
    <row r="4451" spans="1:6" ht="12.75" customHeight="1" x14ac:dyDescent="0.2">
      <c r="A4451" s="3"/>
      <c r="C4451" s="114"/>
      <c r="D4451" s="759"/>
      <c r="E4451" s="85"/>
      <c r="F4451" s="59">
        <f t="shared" si="273"/>
        <v>0</v>
      </c>
    </row>
    <row r="4452" spans="1:6" ht="12.75" customHeight="1" x14ac:dyDescent="0.2">
      <c r="A4452" s="3"/>
      <c r="C4452" s="114"/>
      <c r="D4452" s="759"/>
      <c r="E4452" s="85"/>
      <c r="F4452" s="59">
        <f t="shared" si="273"/>
        <v>0</v>
      </c>
    </row>
    <row r="4453" spans="1:6" ht="12.75" customHeight="1" x14ac:dyDescent="0.2">
      <c r="A4453" s="3"/>
      <c r="C4453" s="114"/>
      <c r="D4453" s="759"/>
      <c r="E4453" s="85"/>
      <c r="F4453" s="59">
        <f t="shared" si="273"/>
        <v>0</v>
      </c>
    </row>
    <row r="4454" spans="1:6" ht="12.75" customHeight="1" x14ac:dyDescent="0.2">
      <c r="A4454" s="3"/>
      <c r="C4454" s="114"/>
      <c r="D4454" s="759"/>
      <c r="E4454" s="85"/>
      <c r="F4454" s="59">
        <f t="shared" si="273"/>
        <v>0</v>
      </c>
    </row>
    <row r="4455" spans="1:6" ht="12.75" customHeight="1" x14ac:dyDescent="0.2">
      <c r="A4455" s="3"/>
      <c r="C4455" s="114"/>
      <c r="D4455" s="759"/>
      <c r="E4455" s="85"/>
      <c r="F4455" s="59">
        <f t="shared" si="273"/>
        <v>0</v>
      </c>
    </row>
    <row r="4456" spans="1:6" ht="12.75" customHeight="1" x14ac:dyDescent="0.2">
      <c r="A4456" s="3"/>
      <c r="C4456" s="114"/>
      <c r="D4456" s="759"/>
      <c r="E4456" s="85"/>
      <c r="F4456" s="59">
        <f t="shared" si="273"/>
        <v>0</v>
      </c>
    </row>
    <row r="4457" spans="1:6" ht="12.75" customHeight="1" x14ac:dyDescent="0.2">
      <c r="A4457" s="3"/>
      <c r="C4457" s="114"/>
      <c r="D4457" s="759"/>
      <c r="E4457" s="85"/>
      <c r="F4457" s="59">
        <f t="shared" si="273"/>
        <v>0</v>
      </c>
    </row>
    <row r="4458" spans="1:6" ht="12.75" customHeight="1" x14ac:dyDescent="0.2">
      <c r="A4458" s="3"/>
      <c r="C4458" s="114"/>
      <c r="D4458" s="759"/>
      <c r="E4458" s="85"/>
      <c r="F4458" s="59">
        <f t="shared" si="273"/>
        <v>0</v>
      </c>
    </row>
    <row r="4459" spans="1:6" ht="12.75" customHeight="1" x14ac:dyDescent="0.2">
      <c r="A4459" s="3"/>
      <c r="B4459" s="86" t="s">
        <v>258</v>
      </c>
      <c r="C4459" s="87"/>
      <c r="D4459" s="88"/>
      <c r="E4459" s="89"/>
      <c r="F4459" s="90">
        <f>SUM(F4449:F4458)</f>
        <v>0</v>
      </c>
    </row>
    <row r="4460" spans="1:6" ht="12.75" customHeight="1" x14ac:dyDescent="0.2">
      <c r="A4460" s="3"/>
      <c r="B4460" s="91" t="s">
        <v>70</v>
      </c>
      <c r="C4460" s="15">
        <f>$D$8</f>
        <v>0</v>
      </c>
      <c r="D4460" s="92"/>
      <c r="E4460" s="93"/>
      <c r="F4460" s="94">
        <f>ROUND(C4460*F4459,2)</f>
        <v>0</v>
      </c>
    </row>
    <row r="4461" spans="1:6" ht="12.75" customHeight="1" x14ac:dyDescent="0.2">
      <c r="A4461" s="95"/>
      <c r="B4461" s="424" t="s">
        <v>260</v>
      </c>
      <c r="C4461" s="425"/>
      <c r="D4461" s="425"/>
      <c r="E4461" s="426"/>
      <c r="F4461" s="96">
        <f>F4459+F4460</f>
        <v>0</v>
      </c>
    </row>
    <row r="4462" spans="1:6" ht="12.75" customHeight="1" x14ac:dyDescent="0.2">
      <c r="A4462" s="97" t="s">
        <v>54</v>
      </c>
      <c r="B4462" s="427" t="s">
        <v>268</v>
      </c>
      <c r="C4462" s="428" t="s">
        <v>263</v>
      </c>
      <c r="D4462" s="429" t="s">
        <v>264</v>
      </c>
      <c r="E4462" s="430" t="s">
        <v>265</v>
      </c>
      <c r="F4462" s="57" t="s">
        <v>266</v>
      </c>
    </row>
    <row r="4463" spans="1:6" ht="12.75" customHeight="1" x14ac:dyDescent="0.2">
      <c r="A4463" s="3" t="str">
        <f>'A VII.'!$A$193</f>
        <v>3.13</v>
      </c>
      <c r="B4463" s="71" t="str">
        <f>VLOOKUP(A4463,'A VII.'!$A$10:$D$199,2,FALSE)</f>
        <v>PINTOR COM ENCARGOS COMPLEMENTARES</v>
      </c>
      <c r="C4463" s="114">
        <v>0</v>
      </c>
      <c r="D4463" s="759" t="str">
        <f>VLOOKUP(A4463,'A VII.'!$A$10:$D$199,3,FALSE)</f>
        <v>H</v>
      </c>
      <c r="E4463" s="85">
        <f>VLOOKUP(A4463,'A VII.'!$A$10:$D$200,4,FALSE)</f>
        <v>0</v>
      </c>
      <c r="F4463" s="59">
        <f t="shared" ref="F4463:F4469" si="274">ROUND(C4463*E4463,2)</f>
        <v>0</v>
      </c>
    </row>
    <row r="4464" spans="1:6" ht="12.75" customHeight="1" x14ac:dyDescent="0.2">
      <c r="A4464" s="3" t="str">
        <f>'A VII.'!$A$196</f>
        <v>3.16</v>
      </c>
      <c r="B4464" s="71" t="str">
        <f>VLOOKUP(A4464,'A VII.'!$A$10:$D$199,2,FALSE)</f>
        <v>SERVENTE COM ENCARGOS COMPLEMENTARES</v>
      </c>
      <c r="C4464" s="114">
        <v>0.15</v>
      </c>
      <c r="D4464" s="759" t="str">
        <f>VLOOKUP(A4464,'A VII.'!$A$10:$D$199,3,FALSE)</f>
        <v>H</v>
      </c>
      <c r="E4464" s="85">
        <f>VLOOKUP(A4464,'A VII.'!$A$10:$D$200,4,FALSE)</f>
        <v>0</v>
      </c>
      <c r="F4464" s="59">
        <f t="shared" si="274"/>
        <v>0</v>
      </c>
    </row>
    <row r="4465" spans="1:6" ht="12.75" customHeight="1" x14ac:dyDescent="0.2">
      <c r="A4465" s="3"/>
      <c r="C4465" s="114"/>
      <c r="D4465" s="759"/>
      <c r="E4465" s="85"/>
      <c r="F4465" s="59">
        <f t="shared" si="274"/>
        <v>0</v>
      </c>
    </row>
    <row r="4466" spans="1:6" ht="12.75" customHeight="1" x14ac:dyDescent="0.2">
      <c r="A4466" s="3"/>
      <c r="C4466" s="114"/>
      <c r="D4466" s="759"/>
      <c r="E4466" s="85"/>
      <c r="F4466" s="59">
        <f t="shared" si="274"/>
        <v>0</v>
      </c>
    </row>
    <row r="4467" spans="1:6" ht="12.75" customHeight="1" x14ac:dyDescent="0.2">
      <c r="A4467" s="3"/>
      <c r="C4467" s="114"/>
      <c r="D4467" s="759"/>
      <c r="E4467" s="85"/>
      <c r="F4467" s="59">
        <f t="shared" si="274"/>
        <v>0</v>
      </c>
    </row>
    <row r="4468" spans="1:6" ht="12.75" customHeight="1" x14ac:dyDescent="0.2">
      <c r="A4468" s="3"/>
      <c r="C4468" s="114"/>
      <c r="D4468" s="759"/>
      <c r="E4468" s="85"/>
      <c r="F4468" s="59">
        <f t="shared" si="274"/>
        <v>0</v>
      </c>
    </row>
    <row r="4469" spans="1:6" ht="12.75" customHeight="1" x14ac:dyDescent="0.2">
      <c r="A4469" s="3"/>
      <c r="C4469" s="114"/>
      <c r="D4469" s="759"/>
      <c r="E4469" s="85"/>
      <c r="F4469" s="59">
        <f t="shared" si="274"/>
        <v>0</v>
      </c>
    </row>
    <row r="4470" spans="1:6" ht="12.75" customHeight="1" x14ac:dyDescent="0.2">
      <c r="A4470" s="3"/>
      <c r="B4470" s="86" t="s">
        <v>258</v>
      </c>
      <c r="C4470" s="87"/>
      <c r="D4470" s="88"/>
      <c r="E4470" s="89"/>
      <c r="F4470" s="90">
        <f>SUM(F4463:F4469)</f>
        <v>0</v>
      </c>
    </row>
    <row r="4471" spans="1:6" ht="12.75" customHeight="1" x14ac:dyDescent="0.2">
      <c r="A4471" s="3"/>
      <c r="B4471" s="91" t="s">
        <v>261</v>
      </c>
      <c r="C4471" s="15">
        <f>'A IX.'!$C$45</f>
        <v>0</v>
      </c>
      <c r="D4471" s="92"/>
      <c r="E4471" s="93"/>
      <c r="F4471" s="94">
        <f>ROUND(F4470*C4471,2)</f>
        <v>0</v>
      </c>
    </row>
    <row r="4472" spans="1:6" ht="12.75" customHeight="1" x14ac:dyDescent="0.2">
      <c r="A4472" s="3"/>
      <c r="B4472" s="91" t="s">
        <v>70</v>
      </c>
      <c r="C4472" s="15">
        <f>$D$8</f>
        <v>0</v>
      </c>
      <c r="D4472" s="92"/>
      <c r="E4472" s="93"/>
      <c r="F4472" s="94">
        <f>ROUND(SUM(F4470:F4471)*C4472,2)</f>
        <v>0</v>
      </c>
    </row>
    <row r="4473" spans="1:6" ht="12.75" customHeight="1" thickBot="1" x14ac:dyDescent="0.25">
      <c r="A4473" s="98"/>
      <c r="B4473" s="99" t="s">
        <v>262</v>
      </c>
      <c r="C4473" s="100"/>
      <c r="D4473" s="100"/>
      <c r="E4473" s="101"/>
      <c r="F4473" s="102">
        <f>SUM(F4470:F4472)</f>
        <v>0</v>
      </c>
    </row>
    <row r="4474" spans="1:6" ht="12.75" customHeight="1" thickBot="1" x14ac:dyDescent="0.25">
      <c r="A4474" s="81"/>
      <c r="B4474" s="82"/>
      <c r="C4474" s="83"/>
      <c r="D4474" s="83"/>
      <c r="E4474" s="84"/>
      <c r="F4474" s="103"/>
    </row>
    <row r="4475" spans="1:6" ht="30" customHeight="1" x14ac:dyDescent="0.2">
      <c r="A4475" s="5" t="str">
        <f>'A IV.A'!A139</f>
        <v>6.2</v>
      </c>
      <c r="B4475" s="416" t="str">
        <f>'A IV.A'!B139</f>
        <v>EMASSAMENTO DE PAREDE COM MASSA PVA PARA PINTURA LÁTEX</v>
      </c>
      <c r="C4475" s="526" t="s">
        <v>269</v>
      </c>
      <c r="D4475" s="527"/>
      <c r="E4475" s="417" t="str">
        <f>'A IV.A'!C139</f>
        <v>M2</v>
      </c>
      <c r="F4475" s="58">
        <f>ROUND(F4495+F4509+F4521,2)</f>
        <v>0</v>
      </c>
    </row>
    <row r="4476" spans="1:6" ht="12.75" customHeight="1" x14ac:dyDescent="0.2">
      <c r="A4476" s="1" t="s">
        <v>17</v>
      </c>
      <c r="B4476" s="418" t="s">
        <v>162</v>
      </c>
      <c r="C4476" s="419" t="s">
        <v>263</v>
      </c>
      <c r="D4476" s="419" t="s">
        <v>264</v>
      </c>
      <c r="E4476" s="420" t="s">
        <v>265</v>
      </c>
      <c r="F4476" s="57" t="s">
        <v>266</v>
      </c>
    </row>
    <row r="4477" spans="1:6" ht="12.75" customHeight="1" x14ac:dyDescent="0.2">
      <c r="A4477" s="6" t="str">
        <f>'A VII.'!$A$68</f>
        <v>1.59</v>
      </c>
      <c r="B4477" s="421" t="str">
        <f>'A VII.'!B68</f>
        <v>LIXA PARA SUPERFÍCIE/MASSA, GRANA 120</v>
      </c>
      <c r="C4477" s="114">
        <v>0.1</v>
      </c>
      <c r="D4477" s="757" t="str">
        <f>'A VII.'!C68</f>
        <v>UN</v>
      </c>
      <c r="E4477" s="85">
        <f>'A VII.'!D68</f>
        <v>0</v>
      </c>
      <c r="F4477" s="59">
        <f>ROUND(C4477*E4477,2)</f>
        <v>0</v>
      </c>
    </row>
    <row r="4478" spans="1:6" ht="12.75" customHeight="1" x14ac:dyDescent="0.2">
      <c r="A4478" s="6" t="str">
        <f>'A VII.'!$A$72</f>
        <v>1.63</v>
      </c>
      <c r="B4478" s="421" t="str">
        <f>'A VII.'!B72</f>
        <v>MASSA CORRIDA PVA PARA PAREDES INTERNAS</v>
      </c>
      <c r="C4478" s="114">
        <f>18*0.0489</f>
        <v>0.88019999999999998</v>
      </c>
      <c r="D4478" s="757" t="str">
        <f>'A VII.'!C72</f>
        <v>KG</v>
      </c>
      <c r="E4478" s="85">
        <f>'A VII.'!D72</f>
        <v>0</v>
      </c>
      <c r="F4478" s="59">
        <f t="shared" ref="F4478:F4492" si="275">ROUND(C4478*E4478,2)</f>
        <v>0</v>
      </c>
    </row>
    <row r="4479" spans="1:6" ht="12.75" customHeight="1" x14ac:dyDescent="0.2">
      <c r="A4479" s="6"/>
      <c r="B4479" s="421"/>
      <c r="C4479" s="114"/>
      <c r="D4479" s="757"/>
      <c r="E4479" s="85"/>
      <c r="F4479" s="59">
        <f t="shared" si="275"/>
        <v>0</v>
      </c>
    </row>
    <row r="4480" spans="1:6" ht="12.75" customHeight="1" x14ac:dyDescent="0.2">
      <c r="A4480" s="6"/>
      <c r="B4480" s="421"/>
      <c r="C4480" s="114"/>
      <c r="D4480" s="757"/>
      <c r="E4480" s="85"/>
      <c r="F4480" s="59">
        <f t="shared" si="275"/>
        <v>0</v>
      </c>
    </row>
    <row r="4481" spans="1:6" ht="12.75" customHeight="1" x14ac:dyDescent="0.2">
      <c r="A4481" s="6"/>
      <c r="B4481" s="421"/>
      <c r="C4481" s="114"/>
      <c r="D4481" s="757"/>
      <c r="E4481" s="85"/>
      <c r="F4481" s="59">
        <f t="shared" si="275"/>
        <v>0</v>
      </c>
    </row>
    <row r="4482" spans="1:6" ht="12.75" customHeight="1" x14ac:dyDescent="0.2">
      <c r="A4482" s="6"/>
      <c r="B4482" s="421"/>
      <c r="C4482" s="114"/>
      <c r="D4482" s="757"/>
      <c r="E4482" s="85"/>
      <c r="F4482" s="59">
        <f t="shared" si="275"/>
        <v>0</v>
      </c>
    </row>
    <row r="4483" spans="1:6" ht="12.75" customHeight="1" x14ac:dyDescent="0.2">
      <c r="A4483" s="6"/>
      <c r="B4483" s="421"/>
      <c r="C4483" s="114"/>
      <c r="D4483" s="757"/>
      <c r="E4483" s="85"/>
      <c r="F4483" s="59">
        <f t="shared" si="275"/>
        <v>0</v>
      </c>
    </row>
    <row r="4484" spans="1:6" ht="12.75" customHeight="1" x14ac:dyDescent="0.2">
      <c r="A4484" s="6"/>
      <c r="B4484" s="421"/>
      <c r="C4484" s="114"/>
      <c r="D4484" s="757"/>
      <c r="E4484" s="85"/>
      <c r="F4484" s="59">
        <f t="shared" si="275"/>
        <v>0</v>
      </c>
    </row>
    <row r="4485" spans="1:6" ht="12.75" customHeight="1" x14ac:dyDescent="0.2">
      <c r="A4485" s="6"/>
      <c r="B4485" s="421"/>
      <c r="C4485" s="114"/>
      <c r="D4485" s="757"/>
      <c r="E4485" s="85"/>
      <c r="F4485" s="59">
        <f t="shared" si="275"/>
        <v>0</v>
      </c>
    </row>
    <row r="4486" spans="1:6" ht="12.75" customHeight="1" x14ac:dyDescent="0.2">
      <c r="A4486" s="6"/>
      <c r="B4486" s="421"/>
      <c r="C4486" s="114"/>
      <c r="D4486" s="757"/>
      <c r="E4486" s="85"/>
      <c r="F4486" s="59">
        <f t="shared" si="275"/>
        <v>0</v>
      </c>
    </row>
    <row r="4487" spans="1:6" ht="12.75" customHeight="1" x14ac:dyDescent="0.2">
      <c r="A4487" s="6"/>
      <c r="B4487" s="421"/>
      <c r="C4487" s="114"/>
      <c r="D4487" s="757"/>
      <c r="E4487" s="85"/>
      <c r="F4487" s="59">
        <f t="shared" si="275"/>
        <v>0</v>
      </c>
    </row>
    <row r="4488" spans="1:6" ht="12.75" customHeight="1" x14ac:dyDescent="0.2">
      <c r="A4488" s="6"/>
      <c r="B4488" s="421"/>
      <c r="C4488" s="114"/>
      <c r="D4488" s="758"/>
      <c r="E4488" s="85"/>
      <c r="F4488" s="59">
        <f t="shared" si="275"/>
        <v>0</v>
      </c>
    </row>
    <row r="4489" spans="1:6" ht="12.75" customHeight="1" x14ac:dyDescent="0.2">
      <c r="A4489" s="6"/>
      <c r="B4489" s="421"/>
      <c r="C4489" s="114"/>
      <c r="D4489" s="758"/>
      <c r="E4489" s="85"/>
      <c r="F4489" s="59">
        <f t="shared" si="275"/>
        <v>0</v>
      </c>
    </row>
    <row r="4490" spans="1:6" ht="12.75" customHeight="1" x14ac:dyDescent="0.2">
      <c r="A4490" s="6"/>
      <c r="B4490" s="421"/>
      <c r="C4490" s="114"/>
      <c r="D4490" s="758"/>
      <c r="E4490" s="85"/>
      <c r="F4490" s="59">
        <f t="shared" si="275"/>
        <v>0</v>
      </c>
    </row>
    <row r="4491" spans="1:6" ht="12.75" customHeight="1" x14ac:dyDescent="0.2">
      <c r="A4491" s="3"/>
      <c r="C4491" s="114"/>
      <c r="D4491" s="759"/>
      <c r="E4491" s="85"/>
      <c r="F4491" s="59">
        <f t="shared" si="275"/>
        <v>0</v>
      </c>
    </row>
    <row r="4492" spans="1:6" ht="12.75" customHeight="1" x14ac:dyDescent="0.2">
      <c r="A4492" s="3"/>
      <c r="C4492" s="114"/>
      <c r="D4492" s="759"/>
      <c r="E4492" s="85"/>
      <c r="F4492" s="59">
        <f t="shared" si="275"/>
        <v>0</v>
      </c>
    </row>
    <row r="4493" spans="1:6" ht="12.75" customHeight="1" x14ac:dyDescent="0.2">
      <c r="A4493" s="3"/>
      <c r="B4493" s="86" t="s">
        <v>258</v>
      </c>
      <c r="C4493" s="87"/>
      <c r="D4493" s="88"/>
      <c r="E4493" s="89"/>
      <c r="F4493" s="90">
        <f>SUM(F4477:F4492)</f>
        <v>0</v>
      </c>
    </row>
    <row r="4494" spans="1:6" ht="12.75" customHeight="1" x14ac:dyDescent="0.2">
      <c r="A4494" s="3"/>
      <c r="B4494" s="91" t="s">
        <v>70</v>
      </c>
      <c r="C4494" s="15">
        <f>$D$8</f>
        <v>0</v>
      </c>
      <c r="D4494" s="92"/>
      <c r="E4494" s="93"/>
      <c r="F4494" s="94">
        <f>ROUND(F4493*C4494,2)</f>
        <v>0</v>
      </c>
    </row>
    <row r="4495" spans="1:6" ht="12.75" customHeight="1" x14ac:dyDescent="0.2">
      <c r="A4495" s="95"/>
      <c r="B4495" s="424" t="s">
        <v>259</v>
      </c>
      <c r="C4495" s="425"/>
      <c r="D4495" s="425"/>
      <c r="E4495" s="426"/>
      <c r="F4495" s="96">
        <f>F4493+F4494</f>
        <v>0</v>
      </c>
    </row>
    <row r="4496" spans="1:6" ht="12.75" customHeight="1" x14ac:dyDescent="0.2">
      <c r="A4496" s="1" t="s">
        <v>5</v>
      </c>
      <c r="B4496" s="418" t="s">
        <v>267</v>
      </c>
      <c r="C4496" s="419" t="s">
        <v>263</v>
      </c>
      <c r="D4496" s="419" t="s">
        <v>264</v>
      </c>
      <c r="E4496" s="420" t="s">
        <v>265</v>
      </c>
      <c r="F4496" s="57" t="s">
        <v>266</v>
      </c>
    </row>
    <row r="4497" spans="1:6" ht="12.75" customHeight="1" x14ac:dyDescent="0.2">
      <c r="A4497" s="3"/>
      <c r="B4497" s="71"/>
      <c r="C4497" s="114"/>
      <c r="D4497" s="759"/>
      <c r="E4497" s="85"/>
      <c r="F4497" s="59">
        <f t="shared" ref="F4497:F4506" si="276">ROUND(C4497*E4497,2)</f>
        <v>0</v>
      </c>
    </row>
    <row r="4498" spans="1:6" ht="12.75" customHeight="1" x14ac:dyDescent="0.2">
      <c r="A4498" s="3"/>
      <c r="C4498" s="114"/>
      <c r="D4498" s="759"/>
      <c r="E4498" s="85"/>
      <c r="F4498" s="59">
        <f t="shared" si="276"/>
        <v>0</v>
      </c>
    </row>
    <row r="4499" spans="1:6" ht="12.75" customHeight="1" x14ac:dyDescent="0.2">
      <c r="A4499" s="3"/>
      <c r="C4499" s="114"/>
      <c r="D4499" s="759"/>
      <c r="E4499" s="85"/>
      <c r="F4499" s="59">
        <f t="shared" si="276"/>
        <v>0</v>
      </c>
    </row>
    <row r="4500" spans="1:6" ht="12.75" customHeight="1" x14ac:dyDescent="0.2">
      <c r="A4500" s="3"/>
      <c r="C4500" s="114"/>
      <c r="D4500" s="759"/>
      <c r="E4500" s="85"/>
      <c r="F4500" s="59">
        <f t="shared" si="276"/>
        <v>0</v>
      </c>
    </row>
    <row r="4501" spans="1:6" ht="12.75" customHeight="1" x14ac:dyDescent="0.2">
      <c r="A4501" s="3"/>
      <c r="C4501" s="114"/>
      <c r="D4501" s="759"/>
      <c r="E4501" s="85"/>
      <c r="F4501" s="59">
        <f t="shared" si="276"/>
        <v>0</v>
      </c>
    </row>
    <row r="4502" spans="1:6" ht="12.75" customHeight="1" x14ac:dyDescent="0.2">
      <c r="A4502" s="3"/>
      <c r="C4502" s="114"/>
      <c r="D4502" s="759"/>
      <c r="E4502" s="85"/>
      <c r="F4502" s="59">
        <f t="shared" si="276"/>
        <v>0</v>
      </c>
    </row>
    <row r="4503" spans="1:6" ht="12.75" customHeight="1" x14ac:dyDescent="0.2">
      <c r="A4503" s="3"/>
      <c r="C4503" s="114"/>
      <c r="D4503" s="759"/>
      <c r="E4503" s="85"/>
      <c r="F4503" s="59">
        <f t="shared" si="276"/>
        <v>0</v>
      </c>
    </row>
    <row r="4504" spans="1:6" ht="12.75" customHeight="1" x14ac:dyDescent="0.2">
      <c r="A4504" s="3"/>
      <c r="C4504" s="114"/>
      <c r="D4504" s="759"/>
      <c r="E4504" s="85"/>
      <c r="F4504" s="59">
        <f t="shared" si="276"/>
        <v>0</v>
      </c>
    </row>
    <row r="4505" spans="1:6" ht="12.75" customHeight="1" x14ac:dyDescent="0.2">
      <c r="A4505" s="3"/>
      <c r="C4505" s="114"/>
      <c r="D4505" s="759"/>
      <c r="E4505" s="85"/>
      <c r="F4505" s="59">
        <f t="shared" si="276"/>
        <v>0</v>
      </c>
    </row>
    <row r="4506" spans="1:6" ht="12.75" customHeight="1" x14ac:dyDescent="0.2">
      <c r="A4506" s="3"/>
      <c r="C4506" s="114"/>
      <c r="D4506" s="759"/>
      <c r="E4506" s="85"/>
      <c r="F4506" s="59">
        <f t="shared" si="276"/>
        <v>0</v>
      </c>
    </row>
    <row r="4507" spans="1:6" ht="12.75" customHeight="1" x14ac:dyDescent="0.2">
      <c r="A4507" s="3"/>
      <c r="B4507" s="86" t="s">
        <v>258</v>
      </c>
      <c r="C4507" s="87"/>
      <c r="D4507" s="88"/>
      <c r="E4507" s="89"/>
      <c r="F4507" s="90">
        <f>SUM(F4497:F4506)</f>
        <v>0</v>
      </c>
    </row>
    <row r="4508" spans="1:6" ht="12.75" customHeight="1" x14ac:dyDescent="0.2">
      <c r="A4508" s="3"/>
      <c r="B4508" s="91" t="s">
        <v>70</v>
      </c>
      <c r="C4508" s="15">
        <f>$D$8</f>
        <v>0</v>
      </c>
      <c r="D4508" s="92"/>
      <c r="E4508" s="93"/>
      <c r="F4508" s="94">
        <f>ROUND(C4508*F4507,2)</f>
        <v>0</v>
      </c>
    </row>
    <row r="4509" spans="1:6" ht="12.75" customHeight="1" x14ac:dyDescent="0.2">
      <c r="A4509" s="95"/>
      <c r="B4509" s="424" t="s">
        <v>260</v>
      </c>
      <c r="C4509" s="425"/>
      <c r="D4509" s="425"/>
      <c r="E4509" s="426"/>
      <c r="F4509" s="96">
        <f>F4507+F4508</f>
        <v>0</v>
      </c>
    </row>
    <row r="4510" spans="1:6" ht="12.75" customHeight="1" x14ac:dyDescent="0.2">
      <c r="A4510" s="97" t="s">
        <v>54</v>
      </c>
      <c r="B4510" s="427" t="s">
        <v>268</v>
      </c>
      <c r="C4510" s="428" t="s">
        <v>263</v>
      </c>
      <c r="D4510" s="429" t="s">
        <v>264</v>
      </c>
      <c r="E4510" s="430" t="s">
        <v>265</v>
      </c>
      <c r="F4510" s="57" t="s">
        <v>266</v>
      </c>
    </row>
    <row r="4511" spans="1:6" ht="12.75" customHeight="1" x14ac:dyDescent="0.2">
      <c r="A4511" s="3" t="str">
        <f>'A VII.'!$A$193</f>
        <v>3.13</v>
      </c>
      <c r="B4511" s="74" t="str">
        <f>'A VII.'!B193</f>
        <v>PINTOR COM ENCARGOS COMPLEMENTARES</v>
      </c>
      <c r="C4511" s="114">
        <v>0.312</v>
      </c>
      <c r="D4511" s="759" t="str">
        <f>'A VII.'!C193</f>
        <v>H</v>
      </c>
      <c r="E4511" s="85">
        <f>'A VII.'!D193</f>
        <v>0</v>
      </c>
      <c r="F4511" s="59">
        <f t="shared" ref="F4511:F4517" si="277">ROUND(C4511*E4511,2)</f>
        <v>0</v>
      </c>
    </row>
    <row r="4512" spans="1:6" ht="12.75" customHeight="1" x14ac:dyDescent="0.2">
      <c r="A4512" s="3" t="str">
        <f>'A VII.'!$A$196</f>
        <v>3.16</v>
      </c>
      <c r="B4512" s="74" t="str">
        <f>'A VII.'!B196</f>
        <v>SERVENTE COM ENCARGOS COMPLEMENTARES</v>
      </c>
      <c r="C4512" s="114">
        <v>0.114</v>
      </c>
      <c r="D4512" s="759" t="str">
        <f>'A VII.'!C196</f>
        <v>H</v>
      </c>
      <c r="E4512" s="85">
        <f>'A VII.'!D196</f>
        <v>0</v>
      </c>
      <c r="F4512" s="59">
        <f t="shared" si="277"/>
        <v>0</v>
      </c>
    </row>
    <row r="4513" spans="1:6" ht="12.75" customHeight="1" x14ac:dyDescent="0.2">
      <c r="A4513" s="3"/>
      <c r="C4513" s="114"/>
      <c r="D4513" s="759"/>
      <c r="E4513" s="85"/>
      <c r="F4513" s="59">
        <f t="shared" si="277"/>
        <v>0</v>
      </c>
    </row>
    <row r="4514" spans="1:6" ht="12.75" customHeight="1" x14ac:dyDescent="0.2">
      <c r="A4514" s="3"/>
      <c r="C4514" s="114"/>
      <c r="D4514" s="759"/>
      <c r="E4514" s="85"/>
      <c r="F4514" s="59">
        <f t="shared" si="277"/>
        <v>0</v>
      </c>
    </row>
    <row r="4515" spans="1:6" ht="12.75" customHeight="1" x14ac:dyDescent="0.2">
      <c r="A4515" s="3"/>
      <c r="C4515" s="114"/>
      <c r="D4515" s="759"/>
      <c r="E4515" s="85"/>
      <c r="F4515" s="59">
        <f t="shared" si="277"/>
        <v>0</v>
      </c>
    </row>
    <row r="4516" spans="1:6" ht="12.75" customHeight="1" x14ac:dyDescent="0.2">
      <c r="A4516" s="3"/>
      <c r="C4516" s="114"/>
      <c r="D4516" s="759"/>
      <c r="E4516" s="85"/>
      <c r="F4516" s="59">
        <f t="shared" si="277"/>
        <v>0</v>
      </c>
    </row>
    <row r="4517" spans="1:6" ht="12.75" customHeight="1" x14ac:dyDescent="0.2">
      <c r="A4517" s="3"/>
      <c r="C4517" s="114"/>
      <c r="D4517" s="759"/>
      <c r="E4517" s="85"/>
      <c r="F4517" s="59">
        <f t="shared" si="277"/>
        <v>0</v>
      </c>
    </row>
    <row r="4518" spans="1:6" ht="12.75" customHeight="1" x14ac:dyDescent="0.2">
      <c r="A4518" s="3"/>
      <c r="B4518" s="86" t="s">
        <v>258</v>
      </c>
      <c r="C4518" s="87"/>
      <c r="D4518" s="88"/>
      <c r="E4518" s="89"/>
      <c r="F4518" s="90">
        <f>SUM(F4511:F4517)</f>
        <v>0</v>
      </c>
    </row>
    <row r="4519" spans="1:6" ht="12.75" customHeight="1" x14ac:dyDescent="0.2">
      <c r="A4519" s="3"/>
      <c r="B4519" s="91" t="s">
        <v>261</v>
      </c>
      <c r="C4519" s="15">
        <f>'A IX.'!$C$45</f>
        <v>0</v>
      </c>
      <c r="D4519" s="92"/>
      <c r="E4519" s="93"/>
      <c r="F4519" s="94">
        <f>ROUND(F4518*C4519,2)</f>
        <v>0</v>
      </c>
    </row>
    <row r="4520" spans="1:6" ht="12.75" customHeight="1" x14ac:dyDescent="0.2">
      <c r="A4520" s="3"/>
      <c r="B4520" s="91" t="s">
        <v>70</v>
      </c>
      <c r="C4520" s="15">
        <f>$D$8</f>
        <v>0</v>
      </c>
      <c r="D4520" s="92"/>
      <c r="E4520" s="93"/>
      <c r="F4520" s="94">
        <f>ROUND(SUM(F4518:F4519)*C4520,2)</f>
        <v>0</v>
      </c>
    </row>
    <row r="4521" spans="1:6" ht="12.75" customHeight="1" thickBot="1" x14ac:dyDescent="0.25">
      <c r="A4521" s="98"/>
      <c r="B4521" s="99" t="s">
        <v>262</v>
      </c>
      <c r="C4521" s="100"/>
      <c r="D4521" s="100"/>
      <c r="E4521" s="101"/>
      <c r="F4521" s="102">
        <f>SUM(F4518:F4520)</f>
        <v>0</v>
      </c>
    </row>
    <row r="4522" spans="1:6" ht="12.75" customHeight="1" thickBot="1" x14ac:dyDescent="0.25">
      <c r="A4522" s="252"/>
      <c r="B4522" s="253"/>
      <c r="C4522" s="254"/>
      <c r="D4522" s="254"/>
      <c r="E4522" s="255"/>
      <c r="F4522" s="256"/>
    </row>
    <row r="4523" spans="1:6" ht="30" customHeight="1" x14ac:dyDescent="0.2">
      <c r="A4523" s="5" t="str">
        <f>'A IV.A'!A140</f>
        <v>6.3</v>
      </c>
      <c r="B4523" s="416" t="str">
        <f>'A IV.A'!B140</f>
        <v>PINTURA LÁTEX ACRÍLICA EM ALVENARIA OU CONCRETO EM GERAL</v>
      </c>
      <c r="C4523" s="526" t="s">
        <v>269</v>
      </c>
      <c r="D4523" s="527"/>
      <c r="E4523" s="417" t="str">
        <f>'A IV.A'!C140</f>
        <v>M2</v>
      </c>
      <c r="F4523" s="58">
        <f>ROUND(F4543+F4557+F4569,2)</f>
        <v>0</v>
      </c>
    </row>
    <row r="4524" spans="1:6" ht="12.75" customHeight="1" x14ac:dyDescent="0.2">
      <c r="A4524" s="1" t="s">
        <v>17</v>
      </c>
      <c r="B4524" s="418" t="s">
        <v>162</v>
      </c>
      <c r="C4524" s="419" t="s">
        <v>263</v>
      </c>
      <c r="D4524" s="419" t="s">
        <v>264</v>
      </c>
      <c r="E4524" s="420" t="s">
        <v>265</v>
      </c>
      <c r="F4524" s="57" t="s">
        <v>266</v>
      </c>
    </row>
    <row r="4525" spans="1:6" ht="12.75" customHeight="1" x14ac:dyDescent="0.2">
      <c r="A4525" s="6" t="str">
        <f>'A VII.'!$A$55</f>
        <v>1.46</v>
      </c>
      <c r="B4525" s="421" t="str">
        <f>'A VII.'!B55</f>
        <v xml:space="preserve">FUNDO PREPARADOR </v>
      </c>
      <c r="C4525" s="114">
        <v>7.0000000000000007E-2</v>
      </c>
      <c r="D4525" s="757" t="str">
        <f>'A VII.'!C55</f>
        <v>L</v>
      </c>
      <c r="E4525" s="85">
        <f>'A VII.'!D55</f>
        <v>0</v>
      </c>
      <c r="F4525" s="59">
        <f>ROUND(C4525*E4525,2)</f>
        <v>0</v>
      </c>
    </row>
    <row r="4526" spans="1:6" ht="12.75" customHeight="1" x14ac:dyDescent="0.2">
      <c r="A4526" s="6" t="str">
        <f>'A VII.'!$A$68</f>
        <v>1.59</v>
      </c>
      <c r="B4526" s="421" t="str">
        <f>'A VII.'!B68</f>
        <v>LIXA PARA SUPERFÍCIE/MASSA, GRANA 120</v>
      </c>
      <c r="C4526" s="114">
        <v>0.5</v>
      </c>
      <c r="D4526" s="757" t="str">
        <f>'A VII.'!C68</f>
        <v>UN</v>
      </c>
      <c r="E4526" s="85">
        <f>'A VII.'!D68</f>
        <v>0</v>
      </c>
      <c r="F4526" s="59">
        <f t="shared" ref="F4526:F4540" si="278">ROUND(C4526*E4526,2)</f>
        <v>0</v>
      </c>
    </row>
    <row r="4527" spans="1:6" ht="12.75" customHeight="1" x14ac:dyDescent="0.2">
      <c r="A4527" s="6" t="str">
        <f>'A VII.'!$A$112</f>
        <v>1.102</v>
      </c>
      <c r="B4527" s="421" t="str">
        <f>'A VII.'!B112</f>
        <v>TINTA LÁTEX ACRÍLICA - 1ª LINHA</v>
      </c>
      <c r="C4527" s="114">
        <v>0.25</v>
      </c>
      <c r="D4527" s="757" t="str">
        <f>'A VII.'!C112</f>
        <v>L</v>
      </c>
      <c r="E4527" s="85">
        <f>'A VII.'!D112</f>
        <v>0</v>
      </c>
      <c r="F4527" s="59">
        <f t="shared" si="278"/>
        <v>0</v>
      </c>
    </row>
    <row r="4528" spans="1:6" ht="12.75" customHeight="1" x14ac:dyDescent="0.2">
      <c r="A4528" s="6"/>
      <c r="B4528" s="421"/>
      <c r="C4528" s="114"/>
      <c r="D4528" s="757"/>
      <c r="E4528" s="85"/>
      <c r="F4528" s="59">
        <f t="shared" si="278"/>
        <v>0</v>
      </c>
    </row>
    <row r="4529" spans="1:6" ht="12.75" customHeight="1" x14ac:dyDescent="0.2">
      <c r="A4529" s="6"/>
      <c r="B4529" s="421"/>
      <c r="C4529" s="114"/>
      <c r="D4529" s="757"/>
      <c r="E4529" s="85"/>
      <c r="F4529" s="59">
        <f t="shared" si="278"/>
        <v>0</v>
      </c>
    </row>
    <row r="4530" spans="1:6" ht="12.75" customHeight="1" x14ac:dyDescent="0.2">
      <c r="A4530" s="6"/>
      <c r="B4530" s="421"/>
      <c r="C4530" s="114"/>
      <c r="D4530" s="757"/>
      <c r="E4530" s="85"/>
      <c r="F4530" s="59">
        <f t="shared" si="278"/>
        <v>0</v>
      </c>
    </row>
    <row r="4531" spans="1:6" ht="12.75" customHeight="1" x14ac:dyDescent="0.2">
      <c r="A4531" s="6"/>
      <c r="B4531" s="421"/>
      <c r="C4531" s="114"/>
      <c r="D4531" s="757"/>
      <c r="E4531" s="85"/>
      <c r="F4531" s="59">
        <f t="shared" si="278"/>
        <v>0</v>
      </c>
    </row>
    <row r="4532" spans="1:6" ht="12.75" customHeight="1" x14ac:dyDescent="0.2">
      <c r="A4532" s="6"/>
      <c r="B4532" s="421"/>
      <c r="C4532" s="114"/>
      <c r="D4532" s="757"/>
      <c r="E4532" s="85"/>
      <c r="F4532" s="59">
        <f t="shared" si="278"/>
        <v>0</v>
      </c>
    </row>
    <row r="4533" spans="1:6" ht="12.75" customHeight="1" x14ac:dyDescent="0.2">
      <c r="A4533" s="6"/>
      <c r="B4533" s="421"/>
      <c r="C4533" s="114"/>
      <c r="D4533" s="757"/>
      <c r="E4533" s="85"/>
      <c r="F4533" s="59">
        <f t="shared" si="278"/>
        <v>0</v>
      </c>
    </row>
    <row r="4534" spans="1:6" ht="12.75" customHeight="1" x14ac:dyDescent="0.2">
      <c r="A4534" s="6"/>
      <c r="B4534" s="421"/>
      <c r="C4534" s="114"/>
      <c r="D4534" s="757"/>
      <c r="E4534" s="85"/>
      <c r="F4534" s="59">
        <f t="shared" si="278"/>
        <v>0</v>
      </c>
    </row>
    <row r="4535" spans="1:6" ht="12.75" customHeight="1" x14ac:dyDescent="0.2">
      <c r="A4535" s="6"/>
      <c r="B4535" s="421"/>
      <c r="C4535" s="114"/>
      <c r="D4535" s="757"/>
      <c r="E4535" s="85"/>
      <c r="F4535" s="59">
        <f t="shared" si="278"/>
        <v>0</v>
      </c>
    </row>
    <row r="4536" spans="1:6" ht="12.75" customHeight="1" x14ac:dyDescent="0.2">
      <c r="A4536" s="6"/>
      <c r="B4536" s="421"/>
      <c r="C4536" s="114"/>
      <c r="D4536" s="758"/>
      <c r="E4536" s="85"/>
      <c r="F4536" s="59">
        <f t="shared" si="278"/>
        <v>0</v>
      </c>
    </row>
    <row r="4537" spans="1:6" ht="12.75" customHeight="1" x14ac:dyDescent="0.2">
      <c r="A4537" s="6"/>
      <c r="B4537" s="421"/>
      <c r="C4537" s="114"/>
      <c r="D4537" s="758"/>
      <c r="E4537" s="85"/>
      <c r="F4537" s="59">
        <f t="shared" si="278"/>
        <v>0</v>
      </c>
    </row>
    <row r="4538" spans="1:6" ht="12.75" customHeight="1" x14ac:dyDescent="0.2">
      <c r="A4538" s="6"/>
      <c r="B4538" s="421"/>
      <c r="C4538" s="114"/>
      <c r="D4538" s="758"/>
      <c r="E4538" s="85"/>
      <c r="F4538" s="59">
        <f t="shared" si="278"/>
        <v>0</v>
      </c>
    </row>
    <row r="4539" spans="1:6" ht="12.75" customHeight="1" x14ac:dyDescent="0.2">
      <c r="A4539" s="3"/>
      <c r="C4539" s="114"/>
      <c r="D4539" s="759"/>
      <c r="E4539" s="85"/>
      <c r="F4539" s="59">
        <f t="shared" si="278"/>
        <v>0</v>
      </c>
    </row>
    <row r="4540" spans="1:6" ht="12.75" customHeight="1" x14ac:dyDescent="0.2">
      <c r="A4540" s="3"/>
      <c r="C4540" s="114"/>
      <c r="D4540" s="759"/>
      <c r="E4540" s="85"/>
      <c r="F4540" s="59">
        <f t="shared" si="278"/>
        <v>0</v>
      </c>
    </row>
    <row r="4541" spans="1:6" ht="12.75" customHeight="1" x14ac:dyDescent="0.2">
      <c r="A4541" s="3"/>
      <c r="B4541" s="86" t="s">
        <v>258</v>
      </c>
      <c r="C4541" s="87"/>
      <c r="D4541" s="88"/>
      <c r="E4541" s="89"/>
      <c r="F4541" s="90">
        <f>SUM(F4525:F4540)</f>
        <v>0</v>
      </c>
    </row>
    <row r="4542" spans="1:6" ht="12.75" customHeight="1" x14ac:dyDescent="0.2">
      <c r="A4542" s="3"/>
      <c r="B4542" s="91" t="s">
        <v>70</v>
      </c>
      <c r="C4542" s="15">
        <f>$D$8</f>
        <v>0</v>
      </c>
      <c r="D4542" s="92"/>
      <c r="E4542" s="93"/>
      <c r="F4542" s="94">
        <f>ROUND(F4541*C4542,2)</f>
        <v>0</v>
      </c>
    </row>
    <row r="4543" spans="1:6" ht="12.75" customHeight="1" x14ac:dyDescent="0.2">
      <c r="A4543" s="95"/>
      <c r="B4543" s="424" t="s">
        <v>259</v>
      </c>
      <c r="C4543" s="425"/>
      <c r="D4543" s="425"/>
      <c r="E4543" s="426"/>
      <c r="F4543" s="96">
        <f>F4541+F4542</f>
        <v>0</v>
      </c>
    </row>
    <row r="4544" spans="1:6" ht="12.75" customHeight="1" x14ac:dyDescent="0.2">
      <c r="A4544" s="1" t="s">
        <v>5</v>
      </c>
      <c r="B4544" s="418" t="s">
        <v>267</v>
      </c>
      <c r="C4544" s="419" t="s">
        <v>263</v>
      </c>
      <c r="D4544" s="419" t="s">
        <v>264</v>
      </c>
      <c r="E4544" s="420" t="s">
        <v>265</v>
      </c>
      <c r="F4544" s="57" t="s">
        <v>266</v>
      </c>
    </row>
    <row r="4545" spans="1:6" ht="12.75" customHeight="1" x14ac:dyDescent="0.2">
      <c r="A4545" s="3"/>
      <c r="B4545" s="71"/>
      <c r="C4545" s="114"/>
      <c r="D4545" s="759"/>
      <c r="E4545" s="85"/>
      <c r="F4545" s="59">
        <f t="shared" ref="F4545:F4554" si="279">ROUND(C4545*E4545,2)</f>
        <v>0</v>
      </c>
    </row>
    <row r="4546" spans="1:6" ht="12.75" customHeight="1" x14ac:dyDescent="0.2">
      <c r="A4546" s="3"/>
      <c r="C4546" s="114"/>
      <c r="D4546" s="759"/>
      <c r="E4546" s="85"/>
      <c r="F4546" s="59">
        <f t="shared" si="279"/>
        <v>0</v>
      </c>
    </row>
    <row r="4547" spans="1:6" ht="12.75" customHeight="1" x14ac:dyDescent="0.2">
      <c r="A4547" s="3"/>
      <c r="C4547" s="114"/>
      <c r="D4547" s="759"/>
      <c r="E4547" s="85"/>
      <c r="F4547" s="59">
        <f t="shared" si="279"/>
        <v>0</v>
      </c>
    </row>
    <row r="4548" spans="1:6" ht="12.75" customHeight="1" x14ac:dyDescent="0.2">
      <c r="A4548" s="3"/>
      <c r="C4548" s="114"/>
      <c r="D4548" s="759"/>
      <c r="E4548" s="85"/>
      <c r="F4548" s="59">
        <f t="shared" si="279"/>
        <v>0</v>
      </c>
    </row>
    <row r="4549" spans="1:6" ht="12.75" customHeight="1" x14ac:dyDescent="0.2">
      <c r="A4549" s="3"/>
      <c r="C4549" s="114"/>
      <c r="D4549" s="759"/>
      <c r="E4549" s="85"/>
      <c r="F4549" s="59">
        <f t="shared" si="279"/>
        <v>0</v>
      </c>
    </row>
    <row r="4550" spans="1:6" ht="12.75" customHeight="1" x14ac:dyDescent="0.2">
      <c r="A4550" s="3"/>
      <c r="C4550" s="114"/>
      <c r="D4550" s="759"/>
      <c r="E4550" s="85"/>
      <c r="F4550" s="59">
        <f t="shared" si="279"/>
        <v>0</v>
      </c>
    </row>
    <row r="4551" spans="1:6" ht="12.75" customHeight="1" x14ac:dyDescent="0.2">
      <c r="A4551" s="3"/>
      <c r="C4551" s="114"/>
      <c r="D4551" s="759"/>
      <c r="E4551" s="85"/>
      <c r="F4551" s="59">
        <f t="shared" si="279"/>
        <v>0</v>
      </c>
    </row>
    <row r="4552" spans="1:6" ht="12.75" customHeight="1" x14ac:dyDescent="0.2">
      <c r="A4552" s="3"/>
      <c r="C4552" s="114"/>
      <c r="D4552" s="759"/>
      <c r="E4552" s="85"/>
      <c r="F4552" s="59">
        <f t="shared" si="279"/>
        <v>0</v>
      </c>
    </row>
    <row r="4553" spans="1:6" ht="12.75" customHeight="1" x14ac:dyDescent="0.2">
      <c r="A4553" s="3"/>
      <c r="C4553" s="114"/>
      <c r="D4553" s="759"/>
      <c r="E4553" s="85"/>
      <c r="F4553" s="59">
        <f t="shared" si="279"/>
        <v>0</v>
      </c>
    </row>
    <row r="4554" spans="1:6" ht="12.75" customHeight="1" x14ac:dyDescent="0.2">
      <c r="A4554" s="3"/>
      <c r="C4554" s="114"/>
      <c r="D4554" s="759"/>
      <c r="E4554" s="85"/>
      <c r="F4554" s="59">
        <f t="shared" si="279"/>
        <v>0</v>
      </c>
    </row>
    <row r="4555" spans="1:6" ht="12.75" customHeight="1" x14ac:dyDescent="0.2">
      <c r="A4555" s="3"/>
      <c r="B4555" s="86" t="s">
        <v>258</v>
      </c>
      <c r="C4555" s="87"/>
      <c r="D4555" s="88"/>
      <c r="E4555" s="89"/>
      <c r="F4555" s="90">
        <f>SUM(F4545:F4554)</f>
        <v>0</v>
      </c>
    </row>
    <row r="4556" spans="1:6" ht="12.75" customHeight="1" x14ac:dyDescent="0.2">
      <c r="A4556" s="3"/>
      <c r="B4556" s="91" t="s">
        <v>70</v>
      </c>
      <c r="C4556" s="15">
        <f>$D$8</f>
        <v>0</v>
      </c>
      <c r="D4556" s="92"/>
      <c r="E4556" s="93"/>
      <c r="F4556" s="94">
        <f>ROUND(C4556*F4555,2)</f>
        <v>0</v>
      </c>
    </row>
    <row r="4557" spans="1:6" ht="12.75" customHeight="1" x14ac:dyDescent="0.2">
      <c r="A4557" s="95"/>
      <c r="B4557" s="424" t="s">
        <v>260</v>
      </c>
      <c r="C4557" s="425"/>
      <c r="D4557" s="425"/>
      <c r="E4557" s="426"/>
      <c r="F4557" s="96">
        <f>F4555+F4556</f>
        <v>0</v>
      </c>
    </row>
    <row r="4558" spans="1:6" ht="12.75" customHeight="1" x14ac:dyDescent="0.2">
      <c r="A4558" s="97" t="s">
        <v>54</v>
      </c>
      <c r="B4558" s="427" t="s">
        <v>268</v>
      </c>
      <c r="C4558" s="428" t="s">
        <v>263</v>
      </c>
      <c r="D4558" s="429" t="s">
        <v>264</v>
      </c>
      <c r="E4558" s="430" t="s">
        <v>265</v>
      </c>
      <c r="F4558" s="57" t="s">
        <v>266</v>
      </c>
    </row>
    <row r="4559" spans="1:6" ht="12.75" customHeight="1" x14ac:dyDescent="0.2">
      <c r="A4559" s="3" t="str">
        <f>'A VII.'!$A$193</f>
        <v>3.13</v>
      </c>
      <c r="B4559" s="74" t="str">
        <f>'A VII.'!B193</f>
        <v>PINTOR COM ENCARGOS COMPLEMENTARES</v>
      </c>
      <c r="C4559" s="114">
        <f>0.187+0.2+((0.039*0.07)/0.16)</f>
        <v>0.40406249999999999</v>
      </c>
      <c r="D4559" s="759" t="str">
        <f>'A VII.'!C193</f>
        <v>H</v>
      </c>
      <c r="E4559" s="85">
        <f>'A VII.'!D193</f>
        <v>0</v>
      </c>
      <c r="F4559" s="59">
        <f t="shared" ref="F4559:F4565" si="280">ROUND(C4559*E4559,2)</f>
        <v>0</v>
      </c>
    </row>
    <row r="4560" spans="1:6" ht="12.75" customHeight="1" x14ac:dyDescent="0.2">
      <c r="A4560" s="3" t="str">
        <f>'A VII.'!$A$196</f>
        <v>3.16</v>
      </c>
      <c r="B4560" s="74" t="str">
        <f>'A VII.'!B196</f>
        <v>SERVENTE COM ENCARGOS COMPLEMENTARES</v>
      </c>
      <c r="C4560" s="114">
        <f>0.069+((0.014*0.07)/0.16)</f>
        <v>7.5125000000000011E-2</v>
      </c>
      <c r="D4560" s="759" t="str">
        <f>'A VII.'!C196</f>
        <v>H</v>
      </c>
      <c r="E4560" s="85">
        <f>'A VII.'!D196</f>
        <v>0</v>
      </c>
      <c r="F4560" s="59">
        <f t="shared" si="280"/>
        <v>0</v>
      </c>
    </row>
    <row r="4561" spans="1:6" ht="12.75" customHeight="1" x14ac:dyDescent="0.2">
      <c r="A4561" s="3"/>
      <c r="C4561" s="114"/>
      <c r="D4561" s="759"/>
      <c r="E4561" s="85"/>
      <c r="F4561" s="59">
        <f t="shared" si="280"/>
        <v>0</v>
      </c>
    </row>
    <row r="4562" spans="1:6" ht="12.75" customHeight="1" x14ac:dyDescent="0.2">
      <c r="A4562" s="3"/>
      <c r="C4562" s="114"/>
      <c r="D4562" s="759"/>
      <c r="E4562" s="85"/>
      <c r="F4562" s="59">
        <f t="shared" si="280"/>
        <v>0</v>
      </c>
    </row>
    <row r="4563" spans="1:6" ht="12.75" customHeight="1" x14ac:dyDescent="0.2">
      <c r="A4563" s="3"/>
      <c r="C4563" s="114"/>
      <c r="D4563" s="759"/>
      <c r="E4563" s="85"/>
      <c r="F4563" s="59">
        <f t="shared" si="280"/>
        <v>0</v>
      </c>
    </row>
    <row r="4564" spans="1:6" ht="12.75" customHeight="1" x14ac:dyDescent="0.2">
      <c r="A4564" s="3"/>
      <c r="C4564" s="114"/>
      <c r="D4564" s="759"/>
      <c r="E4564" s="85"/>
      <c r="F4564" s="59">
        <f t="shared" si="280"/>
        <v>0</v>
      </c>
    </row>
    <row r="4565" spans="1:6" ht="12.75" customHeight="1" x14ac:dyDescent="0.2">
      <c r="A4565" s="3"/>
      <c r="C4565" s="114"/>
      <c r="D4565" s="759"/>
      <c r="E4565" s="85"/>
      <c r="F4565" s="59">
        <f t="shared" si="280"/>
        <v>0</v>
      </c>
    </row>
    <row r="4566" spans="1:6" ht="12.75" customHeight="1" x14ac:dyDescent="0.2">
      <c r="A4566" s="3"/>
      <c r="B4566" s="86" t="s">
        <v>258</v>
      </c>
      <c r="C4566" s="87"/>
      <c r="D4566" s="88"/>
      <c r="E4566" s="89"/>
      <c r="F4566" s="90">
        <f>SUM(F4559:F4565)</f>
        <v>0</v>
      </c>
    </row>
    <row r="4567" spans="1:6" ht="12.75" customHeight="1" x14ac:dyDescent="0.2">
      <c r="A4567" s="3"/>
      <c r="B4567" s="91" t="s">
        <v>261</v>
      </c>
      <c r="C4567" s="15">
        <f>'A IX.'!$C$45</f>
        <v>0</v>
      </c>
      <c r="D4567" s="92"/>
      <c r="E4567" s="93"/>
      <c r="F4567" s="94">
        <f>ROUND(F4566*C4567,2)</f>
        <v>0</v>
      </c>
    </row>
    <row r="4568" spans="1:6" ht="12.75" customHeight="1" x14ac:dyDescent="0.2">
      <c r="A4568" s="3"/>
      <c r="B4568" s="91" t="s">
        <v>70</v>
      </c>
      <c r="C4568" s="15">
        <f>$D$8</f>
        <v>0</v>
      </c>
      <c r="D4568" s="92"/>
      <c r="E4568" s="93"/>
      <c r="F4568" s="94">
        <f>ROUND(SUM(F4566:F4567)*C4568,2)</f>
        <v>0</v>
      </c>
    </row>
    <row r="4569" spans="1:6" ht="12.75" customHeight="1" thickBot="1" x14ac:dyDescent="0.25">
      <c r="A4569" s="98"/>
      <c r="B4569" s="99" t="s">
        <v>262</v>
      </c>
      <c r="C4569" s="100"/>
      <c r="D4569" s="100"/>
      <c r="E4569" s="101"/>
      <c r="F4569" s="102">
        <f>SUM(F4566:F4568)</f>
        <v>0</v>
      </c>
    </row>
    <row r="4570" spans="1:6" ht="12.75" customHeight="1" thickBot="1" x14ac:dyDescent="0.25">
      <c r="A4570" s="252"/>
      <c r="B4570" s="253"/>
      <c r="C4570" s="254"/>
      <c r="D4570" s="254"/>
      <c r="E4570" s="255"/>
      <c r="F4570" s="256"/>
    </row>
    <row r="4571" spans="1:6" ht="30" customHeight="1" x14ac:dyDescent="0.2">
      <c r="A4571" s="5" t="str">
        <f>'A IV.A'!A141</f>
        <v>6.4</v>
      </c>
      <c r="B4571" s="416" t="str">
        <f>'A IV.A'!B141</f>
        <v>PINTURA LÁTEX ACRÍLICA NA COR BRANCA EM PILARETES E MURETAS</v>
      </c>
      <c r="C4571" s="526" t="s">
        <v>269</v>
      </c>
      <c r="D4571" s="527"/>
      <c r="E4571" s="417" t="str">
        <f>'A IV.A'!$C$141</f>
        <v>M2</v>
      </c>
      <c r="F4571" s="58">
        <f>ROUND(F4591+F4605+F4617,2)</f>
        <v>0</v>
      </c>
    </row>
    <row r="4572" spans="1:6" ht="12.75" customHeight="1" x14ac:dyDescent="0.2">
      <c r="A4572" s="1" t="s">
        <v>17</v>
      </c>
      <c r="B4572" s="418" t="s">
        <v>162</v>
      </c>
      <c r="C4572" s="419" t="s">
        <v>263</v>
      </c>
      <c r="D4572" s="419" t="s">
        <v>264</v>
      </c>
      <c r="E4572" s="420" t="s">
        <v>265</v>
      </c>
      <c r="F4572" s="57" t="s">
        <v>266</v>
      </c>
    </row>
    <row r="4573" spans="1:6" ht="12.75" customHeight="1" x14ac:dyDescent="0.2">
      <c r="A4573" s="6" t="str">
        <f>'A VII.'!$A$68</f>
        <v>1.59</v>
      </c>
      <c r="B4573" s="421" t="str">
        <f>VLOOKUP(A4573,'A VII.'!$A$10:$D$199,2,FALSE)</f>
        <v>LIXA PARA SUPERFÍCIE/MASSA, GRANA 120</v>
      </c>
      <c r="C4573" s="114">
        <v>0.5</v>
      </c>
      <c r="D4573" s="757" t="str">
        <f>VLOOKUP(A4573,'A VII.'!$A$10:$D$199,3,FALSE)</f>
        <v>UN</v>
      </c>
      <c r="E4573" s="85">
        <f>'A VII.'!$D$68</f>
        <v>0</v>
      </c>
      <c r="F4573" s="59">
        <f>ROUND(C4573*E4573,2)</f>
        <v>0</v>
      </c>
    </row>
    <row r="4574" spans="1:6" ht="12.75" customHeight="1" x14ac:dyDescent="0.2">
      <c r="A4574" s="6" t="str">
        <f>'A VII.'!$A$55</f>
        <v>1.46</v>
      </c>
      <c r="B4574" s="421" t="str">
        <f>VLOOKUP(A4574,'A VII.'!$A$10:$D$199,2,FALSE)</f>
        <v xml:space="preserve">FUNDO PREPARADOR </v>
      </c>
      <c r="C4574" s="114">
        <v>7.0000000000000007E-2</v>
      </c>
      <c r="D4574" s="757" t="str">
        <f>VLOOKUP(A4574,'A VII.'!$A$10:$D$199,3,FALSE)</f>
        <v>L</v>
      </c>
      <c r="E4574" s="85">
        <f>'A VII.'!D55</f>
        <v>0</v>
      </c>
      <c r="F4574" s="59">
        <f t="shared" ref="F4574:F4588" si="281">ROUND(C4574*E4574,2)</f>
        <v>0</v>
      </c>
    </row>
    <row r="4575" spans="1:6" ht="12.75" customHeight="1" x14ac:dyDescent="0.2">
      <c r="A4575" s="6" t="str">
        <f>'A VII.'!$A$112</f>
        <v>1.102</v>
      </c>
      <c r="B4575" s="421" t="str">
        <f>VLOOKUP(A4575,'A VII.'!$A$10:$D$199,2,FALSE)</f>
        <v>TINTA LÁTEX ACRÍLICA - 1ª LINHA</v>
      </c>
      <c r="C4575" s="114">
        <v>0.33</v>
      </c>
      <c r="D4575" s="757" t="str">
        <f>VLOOKUP(A4575,'A VII.'!$A$10:$D$199,3,FALSE)</f>
        <v>L</v>
      </c>
      <c r="E4575" s="85">
        <f>'A VII.'!$D$112</f>
        <v>0</v>
      </c>
      <c r="F4575" s="59">
        <f t="shared" si="281"/>
        <v>0</v>
      </c>
    </row>
    <row r="4576" spans="1:6" ht="12.75" customHeight="1" x14ac:dyDescent="0.2">
      <c r="A4576" s="6"/>
      <c r="B4576" s="421"/>
      <c r="C4576" s="114"/>
      <c r="D4576" s="757"/>
      <c r="E4576" s="85"/>
      <c r="F4576" s="59">
        <f t="shared" si="281"/>
        <v>0</v>
      </c>
    </row>
    <row r="4577" spans="1:6" ht="12.75" customHeight="1" x14ac:dyDescent="0.2">
      <c r="A4577" s="6"/>
      <c r="B4577" s="421"/>
      <c r="C4577" s="114"/>
      <c r="D4577" s="757"/>
      <c r="E4577" s="85"/>
      <c r="F4577" s="59">
        <f t="shared" si="281"/>
        <v>0</v>
      </c>
    </row>
    <row r="4578" spans="1:6" ht="12.75" customHeight="1" x14ac:dyDescent="0.2">
      <c r="A4578" s="6"/>
      <c r="B4578" s="421"/>
      <c r="C4578" s="114"/>
      <c r="D4578" s="757"/>
      <c r="E4578" s="85"/>
      <c r="F4578" s="59">
        <f t="shared" si="281"/>
        <v>0</v>
      </c>
    </row>
    <row r="4579" spans="1:6" ht="12.75" customHeight="1" x14ac:dyDescent="0.2">
      <c r="A4579" s="6"/>
      <c r="B4579" s="421"/>
      <c r="C4579" s="114"/>
      <c r="D4579" s="757"/>
      <c r="E4579" s="85"/>
      <c r="F4579" s="59">
        <f t="shared" si="281"/>
        <v>0</v>
      </c>
    </row>
    <row r="4580" spans="1:6" ht="12.75" customHeight="1" x14ac:dyDescent="0.2">
      <c r="A4580" s="6"/>
      <c r="B4580" s="421"/>
      <c r="C4580" s="114"/>
      <c r="D4580" s="757"/>
      <c r="E4580" s="85"/>
      <c r="F4580" s="59">
        <f t="shared" si="281"/>
        <v>0</v>
      </c>
    </row>
    <row r="4581" spans="1:6" ht="12.75" customHeight="1" x14ac:dyDescent="0.2">
      <c r="A4581" s="6"/>
      <c r="B4581" s="421"/>
      <c r="C4581" s="114"/>
      <c r="D4581" s="757"/>
      <c r="E4581" s="85"/>
      <c r="F4581" s="59">
        <f t="shared" si="281"/>
        <v>0</v>
      </c>
    </row>
    <row r="4582" spans="1:6" ht="12.75" customHeight="1" x14ac:dyDescent="0.2">
      <c r="A4582" s="6"/>
      <c r="B4582" s="421"/>
      <c r="C4582" s="114"/>
      <c r="D4582" s="757"/>
      <c r="E4582" s="85"/>
      <c r="F4582" s="59">
        <f t="shared" si="281"/>
        <v>0</v>
      </c>
    </row>
    <row r="4583" spans="1:6" ht="12.75" customHeight="1" x14ac:dyDescent="0.2">
      <c r="A4583" s="6"/>
      <c r="B4583" s="421"/>
      <c r="C4583" s="114"/>
      <c r="D4583" s="757"/>
      <c r="E4583" s="85"/>
      <c r="F4583" s="59">
        <f t="shared" si="281"/>
        <v>0</v>
      </c>
    </row>
    <row r="4584" spans="1:6" ht="12.75" customHeight="1" x14ac:dyDescent="0.2">
      <c r="A4584" s="6"/>
      <c r="B4584" s="421"/>
      <c r="C4584" s="114"/>
      <c r="D4584" s="758"/>
      <c r="E4584" s="85"/>
      <c r="F4584" s="59">
        <f t="shared" si="281"/>
        <v>0</v>
      </c>
    </row>
    <row r="4585" spans="1:6" ht="12.75" customHeight="1" x14ac:dyDescent="0.2">
      <c r="A4585" s="6"/>
      <c r="B4585" s="421"/>
      <c r="C4585" s="114"/>
      <c r="D4585" s="758"/>
      <c r="E4585" s="85"/>
      <c r="F4585" s="59">
        <f t="shared" si="281"/>
        <v>0</v>
      </c>
    </row>
    <row r="4586" spans="1:6" ht="12.75" customHeight="1" x14ac:dyDescent="0.2">
      <c r="A4586" s="6"/>
      <c r="B4586" s="421"/>
      <c r="C4586" s="114"/>
      <c r="D4586" s="758"/>
      <c r="E4586" s="85"/>
      <c r="F4586" s="59">
        <f t="shared" si="281"/>
        <v>0</v>
      </c>
    </row>
    <row r="4587" spans="1:6" ht="12.75" customHeight="1" x14ac:dyDescent="0.2">
      <c r="A4587" s="3"/>
      <c r="C4587" s="114"/>
      <c r="D4587" s="759"/>
      <c r="E4587" s="85"/>
      <c r="F4587" s="59">
        <f t="shared" si="281"/>
        <v>0</v>
      </c>
    </row>
    <row r="4588" spans="1:6" ht="12.75" customHeight="1" x14ac:dyDescent="0.2">
      <c r="A4588" s="3"/>
      <c r="C4588" s="114"/>
      <c r="D4588" s="759"/>
      <c r="E4588" s="85"/>
      <c r="F4588" s="59">
        <f t="shared" si="281"/>
        <v>0</v>
      </c>
    </row>
    <row r="4589" spans="1:6" ht="12.75" customHeight="1" x14ac:dyDescent="0.2">
      <c r="A4589" s="3"/>
      <c r="B4589" s="86" t="s">
        <v>258</v>
      </c>
      <c r="C4589" s="87"/>
      <c r="D4589" s="88"/>
      <c r="E4589" s="89"/>
      <c r="F4589" s="90">
        <f>SUM(F4573:F4588)</f>
        <v>0</v>
      </c>
    </row>
    <row r="4590" spans="1:6" ht="12.75" customHeight="1" x14ac:dyDescent="0.2">
      <c r="A4590" s="3"/>
      <c r="B4590" s="91" t="s">
        <v>70</v>
      </c>
      <c r="C4590" s="15">
        <f>$D$8</f>
        <v>0</v>
      </c>
      <c r="D4590" s="92"/>
      <c r="E4590" s="93"/>
      <c r="F4590" s="94">
        <f>ROUND(F4589*C4590,2)</f>
        <v>0</v>
      </c>
    </row>
    <row r="4591" spans="1:6" ht="12.75" customHeight="1" x14ac:dyDescent="0.2">
      <c r="A4591" s="95"/>
      <c r="B4591" s="424" t="s">
        <v>259</v>
      </c>
      <c r="C4591" s="425"/>
      <c r="D4591" s="425"/>
      <c r="E4591" s="426"/>
      <c r="F4591" s="96">
        <f>F4589+F4590</f>
        <v>0</v>
      </c>
    </row>
    <row r="4592" spans="1:6" ht="12.75" customHeight="1" x14ac:dyDescent="0.2">
      <c r="A4592" s="1" t="s">
        <v>5</v>
      </c>
      <c r="B4592" s="418" t="s">
        <v>267</v>
      </c>
      <c r="C4592" s="419" t="s">
        <v>263</v>
      </c>
      <c r="D4592" s="419" t="s">
        <v>264</v>
      </c>
      <c r="E4592" s="420" t="s">
        <v>265</v>
      </c>
      <c r="F4592" s="57" t="s">
        <v>266</v>
      </c>
    </row>
    <row r="4593" spans="1:6" x14ac:dyDescent="0.2">
      <c r="A4593" s="3"/>
      <c r="B4593" s="71"/>
      <c r="C4593" s="114"/>
      <c r="D4593" s="759"/>
      <c r="E4593" s="85"/>
      <c r="F4593" s="59">
        <f t="shared" ref="F4593:F4602" si="282">ROUND(C4593*E4593,2)</f>
        <v>0</v>
      </c>
    </row>
    <row r="4594" spans="1:6" ht="12.75" customHeight="1" x14ac:dyDescent="0.2">
      <c r="A4594" s="3"/>
      <c r="C4594" s="114"/>
      <c r="D4594" s="759"/>
      <c r="E4594" s="85"/>
      <c r="F4594" s="59">
        <f t="shared" si="282"/>
        <v>0</v>
      </c>
    </row>
    <row r="4595" spans="1:6" ht="12.75" customHeight="1" x14ac:dyDescent="0.2">
      <c r="A4595" s="3"/>
      <c r="C4595" s="114"/>
      <c r="D4595" s="759"/>
      <c r="E4595" s="85"/>
      <c r="F4595" s="59">
        <f t="shared" si="282"/>
        <v>0</v>
      </c>
    </row>
    <row r="4596" spans="1:6" ht="12.75" customHeight="1" x14ac:dyDescent="0.2">
      <c r="A4596" s="3"/>
      <c r="C4596" s="114"/>
      <c r="D4596" s="759"/>
      <c r="E4596" s="85"/>
      <c r="F4596" s="59">
        <f t="shared" si="282"/>
        <v>0</v>
      </c>
    </row>
    <row r="4597" spans="1:6" ht="12.75" customHeight="1" x14ac:dyDescent="0.2">
      <c r="A4597" s="3"/>
      <c r="C4597" s="114"/>
      <c r="D4597" s="759"/>
      <c r="E4597" s="85"/>
      <c r="F4597" s="59">
        <f t="shared" si="282"/>
        <v>0</v>
      </c>
    </row>
    <row r="4598" spans="1:6" ht="12.75" customHeight="1" x14ac:dyDescent="0.2">
      <c r="A4598" s="3"/>
      <c r="C4598" s="114"/>
      <c r="D4598" s="759"/>
      <c r="E4598" s="85"/>
      <c r="F4598" s="59">
        <f t="shared" si="282"/>
        <v>0</v>
      </c>
    </row>
    <row r="4599" spans="1:6" ht="12.75" customHeight="1" x14ac:dyDescent="0.2">
      <c r="A4599" s="3"/>
      <c r="C4599" s="114"/>
      <c r="D4599" s="759"/>
      <c r="E4599" s="85"/>
      <c r="F4599" s="59">
        <f t="shared" si="282"/>
        <v>0</v>
      </c>
    </row>
    <row r="4600" spans="1:6" ht="12.75" customHeight="1" x14ac:dyDescent="0.2">
      <c r="A4600" s="3"/>
      <c r="C4600" s="114"/>
      <c r="D4600" s="759"/>
      <c r="E4600" s="85"/>
      <c r="F4600" s="59">
        <f t="shared" si="282"/>
        <v>0</v>
      </c>
    </row>
    <row r="4601" spans="1:6" ht="12.75" customHeight="1" x14ac:dyDescent="0.2">
      <c r="A4601" s="3"/>
      <c r="C4601" s="114"/>
      <c r="D4601" s="759"/>
      <c r="E4601" s="85"/>
      <c r="F4601" s="59">
        <f t="shared" si="282"/>
        <v>0</v>
      </c>
    </row>
    <row r="4602" spans="1:6" ht="12.75" customHeight="1" x14ac:dyDescent="0.2">
      <c r="A4602" s="3"/>
      <c r="C4602" s="114"/>
      <c r="D4602" s="759"/>
      <c r="E4602" s="85"/>
      <c r="F4602" s="59">
        <f t="shared" si="282"/>
        <v>0</v>
      </c>
    </row>
    <row r="4603" spans="1:6" ht="12.75" customHeight="1" x14ac:dyDescent="0.2">
      <c r="A4603" s="3"/>
      <c r="B4603" s="86" t="s">
        <v>258</v>
      </c>
      <c r="C4603" s="87"/>
      <c r="D4603" s="88"/>
      <c r="E4603" s="89"/>
      <c r="F4603" s="90">
        <f>SUM(F4593:F4602)</f>
        <v>0</v>
      </c>
    </row>
    <row r="4604" spans="1:6" ht="12.75" customHeight="1" x14ac:dyDescent="0.2">
      <c r="A4604" s="3"/>
      <c r="B4604" s="91" t="s">
        <v>70</v>
      </c>
      <c r="C4604" s="15">
        <f>$D$8</f>
        <v>0</v>
      </c>
      <c r="D4604" s="92"/>
      <c r="E4604" s="93"/>
      <c r="F4604" s="94">
        <f>ROUND(C4604*F4603,2)</f>
        <v>0</v>
      </c>
    </row>
    <row r="4605" spans="1:6" ht="12.75" customHeight="1" x14ac:dyDescent="0.2">
      <c r="A4605" s="95"/>
      <c r="B4605" s="424" t="s">
        <v>260</v>
      </c>
      <c r="C4605" s="425"/>
      <c r="D4605" s="425"/>
      <c r="E4605" s="426"/>
      <c r="F4605" s="96">
        <f>F4603+F4604</f>
        <v>0</v>
      </c>
    </row>
    <row r="4606" spans="1:6" ht="12.75" customHeight="1" x14ac:dyDescent="0.2">
      <c r="A4606" s="97" t="s">
        <v>54</v>
      </c>
      <c r="B4606" s="427" t="s">
        <v>268</v>
      </c>
      <c r="C4606" s="428" t="s">
        <v>263</v>
      </c>
      <c r="D4606" s="429" t="s">
        <v>264</v>
      </c>
      <c r="E4606" s="430" t="s">
        <v>265</v>
      </c>
      <c r="F4606" s="57" t="s">
        <v>266</v>
      </c>
    </row>
    <row r="4607" spans="1:6" ht="12.75" customHeight="1" x14ac:dyDescent="0.2">
      <c r="A4607" s="3" t="str">
        <f>'A VII.'!$A$196</f>
        <v>3.16</v>
      </c>
      <c r="B4607" s="74" t="s">
        <v>189</v>
      </c>
      <c r="C4607" s="114">
        <f>0.069+((0.014*0.07)/0.16)</f>
        <v>7.5125000000000011E-2</v>
      </c>
      <c r="D4607" s="759" t="str">
        <f>VLOOKUP(A4607,'A VII.'!$A$10:$D$199,3,FALSE)</f>
        <v>H</v>
      </c>
      <c r="E4607" s="85">
        <f>'A VII.'!$D$196</f>
        <v>0</v>
      </c>
      <c r="F4607" s="59">
        <f t="shared" ref="F4607:F4613" si="283">ROUND(C4607*E4607,2)</f>
        <v>0</v>
      </c>
    </row>
    <row r="4608" spans="1:6" ht="12.75" customHeight="1" x14ac:dyDescent="0.2">
      <c r="A4608" s="3" t="str">
        <f>'A VII.'!$A$193</f>
        <v>3.13</v>
      </c>
      <c r="B4608" s="74" t="s">
        <v>186</v>
      </c>
      <c r="C4608" s="114">
        <f>0.187+0.2+((0.039*0.07)/0.16)</f>
        <v>0.40406249999999999</v>
      </c>
      <c r="D4608" s="759" t="str">
        <f>VLOOKUP(A4608,'A VII.'!$A$10:$D$199,3,FALSE)</f>
        <v>H</v>
      </c>
      <c r="E4608" s="85">
        <f>'A VII.'!$D$193</f>
        <v>0</v>
      </c>
      <c r="F4608" s="59">
        <f t="shared" si="283"/>
        <v>0</v>
      </c>
    </row>
    <row r="4609" spans="1:6" ht="12.75" customHeight="1" x14ac:dyDescent="0.2">
      <c r="A4609" s="3"/>
      <c r="C4609" s="114"/>
      <c r="D4609" s="759"/>
      <c r="E4609" s="85"/>
      <c r="F4609" s="59">
        <f t="shared" si="283"/>
        <v>0</v>
      </c>
    </row>
    <row r="4610" spans="1:6" ht="12.75" customHeight="1" x14ac:dyDescent="0.2">
      <c r="A4610" s="3"/>
      <c r="C4610" s="114"/>
      <c r="D4610" s="759"/>
      <c r="E4610" s="85"/>
      <c r="F4610" s="59">
        <f t="shared" si="283"/>
        <v>0</v>
      </c>
    </row>
    <row r="4611" spans="1:6" ht="12.75" customHeight="1" x14ac:dyDescent="0.2">
      <c r="A4611" s="3"/>
      <c r="C4611" s="114"/>
      <c r="D4611" s="759"/>
      <c r="E4611" s="85"/>
      <c r="F4611" s="59">
        <f t="shared" si="283"/>
        <v>0</v>
      </c>
    </row>
    <row r="4612" spans="1:6" ht="12.75" customHeight="1" x14ac:dyDescent="0.2">
      <c r="A4612" s="3"/>
      <c r="C4612" s="114"/>
      <c r="D4612" s="759"/>
      <c r="E4612" s="85"/>
      <c r="F4612" s="59">
        <f t="shared" si="283"/>
        <v>0</v>
      </c>
    </row>
    <row r="4613" spans="1:6" ht="12.75" customHeight="1" x14ac:dyDescent="0.2">
      <c r="A4613" s="3"/>
      <c r="C4613" s="114"/>
      <c r="D4613" s="759"/>
      <c r="E4613" s="85"/>
      <c r="F4613" s="59">
        <f t="shared" si="283"/>
        <v>0</v>
      </c>
    </row>
    <row r="4614" spans="1:6" ht="12.75" customHeight="1" x14ac:dyDescent="0.2">
      <c r="A4614" s="3"/>
      <c r="B4614" s="86" t="s">
        <v>258</v>
      </c>
      <c r="C4614" s="87"/>
      <c r="D4614" s="88"/>
      <c r="E4614" s="89"/>
      <c r="F4614" s="90">
        <f>SUM(F4607:F4613)</f>
        <v>0</v>
      </c>
    </row>
    <row r="4615" spans="1:6" ht="12.75" customHeight="1" x14ac:dyDescent="0.2">
      <c r="A4615" s="3"/>
      <c r="B4615" s="91" t="s">
        <v>261</v>
      </c>
      <c r="C4615" s="15">
        <f>'A IX.'!$C$45</f>
        <v>0</v>
      </c>
      <c r="D4615" s="92"/>
      <c r="E4615" s="93"/>
      <c r="F4615" s="94">
        <f>ROUND(F4614*C4615,2)</f>
        <v>0</v>
      </c>
    </row>
    <row r="4616" spans="1:6" ht="12.75" customHeight="1" x14ac:dyDescent="0.2">
      <c r="A4616" s="3"/>
      <c r="B4616" s="91" t="s">
        <v>70</v>
      </c>
      <c r="C4616" s="15">
        <f>$D$8</f>
        <v>0</v>
      </c>
      <c r="D4616" s="92"/>
      <c r="E4616" s="93"/>
      <c r="F4616" s="94">
        <f>ROUND(SUM(F4614:F4615)*C4616,2)</f>
        <v>0</v>
      </c>
    </row>
    <row r="4617" spans="1:6" ht="12.75" customHeight="1" thickBot="1" x14ac:dyDescent="0.25">
      <c r="A4617" s="98"/>
      <c r="B4617" s="99" t="s">
        <v>262</v>
      </c>
      <c r="C4617" s="100"/>
      <c r="D4617" s="100"/>
      <c r="E4617" s="101"/>
      <c r="F4617" s="102">
        <f>SUM(F4614:F4616)</f>
        <v>0</v>
      </c>
    </row>
    <row r="4618" spans="1:6" ht="12.75" customHeight="1" thickBot="1" x14ac:dyDescent="0.25">
      <c r="A4618" s="252"/>
      <c r="B4618" s="253"/>
      <c r="C4618" s="254"/>
      <c r="D4618" s="254"/>
      <c r="E4618" s="255"/>
      <c r="F4618" s="256"/>
    </row>
    <row r="4619" spans="1:6" ht="30" customHeight="1" x14ac:dyDescent="0.2">
      <c r="A4619" s="5" t="str">
        <f>'A IV.A'!A142</f>
        <v>6.5</v>
      </c>
      <c r="B4619" s="416" t="str">
        <f>'A IV.A'!B142</f>
        <v>PINTURA DE SINALIZAÇÃO HORIZONTAL COM TINTA RETRORREFLETIVA A BASE DE RESINA ACRÍLICA COM MICROESFERAS DE VIDRO</v>
      </c>
      <c r="C4619" s="526" t="s">
        <v>269</v>
      </c>
      <c r="D4619" s="527"/>
      <c r="E4619" s="417" t="str">
        <f>'A IV.A'!C142</f>
        <v>M2</v>
      </c>
      <c r="F4619" s="58">
        <f>ROUND(F4639+F4653+F4665,2)</f>
        <v>0</v>
      </c>
    </row>
    <row r="4620" spans="1:6" ht="12.75" customHeight="1" x14ac:dyDescent="0.2">
      <c r="A4620" s="1" t="s">
        <v>17</v>
      </c>
      <c r="B4620" s="418" t="s">
        <v>162</v>
      </c>
      <c r="C4620" s="419" t="s">
        <v>263</v>
      </c>
      <c r="D4620" s="419" t="s">
        <v>264</v>
      </c>
      <c r="E4620" s="420" t="s">
        <v>265</v>
      </c>
      <c r="F4620" s="57" t="s">
        <v>266</v>
      </c>
    </row>
    <row r="4621" spans="1:6" ht="12.75" customHeight="1" x14ac:dyDescent="0.2">
      <c r="A4621" s="6" t="str">
        <f>'A VII.'!$A$14</f>
        <v>1.5</v>
      </c>
      <c r="B4621" s="421" t="str">
        <f>'A VII.'!B14</f>
        <v>SOLVENTE DILUENTE A BASE DE AGUARRÁS</v>
      </c>
      <c r="C4621" s="114">
        <v>0.13</v>
      </c>
      <c r="D4621" s="757" t="str">
        <f>'A VII.'!C14</f>
        <v>L</v>
      </c>
      <c r="E4621" s="85">
        <f>'A VII.'!D14</f>
        <v>0</v>
      </c>
      <c r="F4621" s="59">
        <f>ROUND(C4621*E4621,2)</f>
        <v>0</v>
      </c>
    </row>
    <row r="4622" spans="1:6" ht="12.75" customHeight="1" x14ac:dyDescent="0.2">
      <c r="A4622" s="6" t="str">
        <f>'A VII.'!$A$109</f>
        <v>1.99</v>
      </c>
      <c r="B4622" s="421" t="str">
        <f>'A VII.'!B109</f>
        <v>TINTA ACRILICA PREMIUM PARA PISO  NA COR GRAFITE</v>
      </c>
      <c r="C4622" s="114">
        <v>0.06</v>
      </c>
      <c r="D4622" s="757" t="str">
        <f>'A VII.'!C109</f>
        <v>L</v>
      </c>
      <c r="E4622" s="85">
        <f>'A VII.'!D109</f>
        <v>0</v>
      </c>
      <c r="F4622" s="59">
        <f t="shared" ref="F4622:F4636" si="284">ROUND(C4622*E4622,2)</f>
        <v>0</v>
      </c>
    </row>
    <row r="4623" spans="1:6" ht="12.75" customHeight="1" x14ac:dyDescent="0.2">
      <c r="A4623" s="6" t="str">
        <f>'A VII.'!$A$113</f>
        <v>1.103</v>
      </c>
      <c r="B4623" s="421" t="str">
        <f>'A VII.'!B113</f>
        <v>TINTA A BASE DE RESINA ACRILICA, PARA SINALIZACAO HORIZONTAL VIARIA (NBR 11862)</v>
      </c>
      <c r="C4623" s="114">
        <v>0.6</v>
      </c>
      <c r="D4623" s="757" t="str">
        <f>'A VII.'!C113</f>
        <v>L</v>
      </c>
      <c r="E4623" s="85">
        <f>'A VII.'!D113</f>
        <v>0</v>
      </c>
      <c r="F4623" s="59">
        <f t="shared" si="284"/>
        <v>0</v>
      </c>
    </row>
    <row r="4624" spans="1:6" ht="12.75" customHeight="1" x14ac:dyDescent="0.2">
      <c r="A4624" s="6" t="str">
        <f>'A VII.'!$A$74</f>
        <v>1.65</v>
      </c>
      <c r="B4624" s="421" t="str">
        <f>'A VII.'!B74</f>
        <v>MICROESFERAS DE VIDRO PARA SINALIZACAO HORIZONTAL VIARIA, TIPO I-B (PREMIX) - NBR 16184</v>
      </c>
      <c r="C4624" s="114">
        <v>0.4</v>
      </c>
      <c r="D4624" s="757" t="str">
        <f>'A VII.'!C74</f>
        <v>KG</v>
      </c>
      <c r="E4624" s="85">
        <f>'A VII.'!D74</f>
        <v>0</v>
      </c>
      <c r="F4624" s="59">
        <f t="shared" si="284"/>
        <v>0</v>
      </c>
    </row>
    <row r="4625" spans="1:6" ht="12.75" customHeight="1" x14ac:dyDescent="0.2">
      <c r="A4625" s="6"/>
      <c r="B4625" s="421"/>
      <c r="C4625" s="114"/>
      <c r="D4625" s="757"/>
      <c r="E4625" s="85"/>
      <c r="F4625" s="59">
        <f t="shared" si="284"/>
        <v>0</v>
      </c>
    </row>
    <row r="4626" spans="1:6" ht="12.75" customHeight="1" x14ac:dyDescent="0.2">
      <c r="A4626" s="6"/>
      <c r="B4626" s="421"/>
      <c r="C4626" s="114"/>
      <c r="D4626" s="757"/>
      <c r="E4626" s="85"/>
      <c r="F4626" s="59">
        <f t="shared" si="284"/>
        <v>0</v>
      </c>
    </row>
    <row r="4627" spans="1:6" ht="12.75" customHeight="1" x14ac:dyDescent="0.2">
      <c r="A4627" s="6"/>
      <c r="B4627" s="421"/>
      <c r="C4627" s="114"/>
      <c r="D4627" s="757"/>
      <c r="E4627" s="85"/>
      <c r="F4627" s="59">
        <f t="shared" si="284"/>
        <v>0</v>
      </c>
    </row>
    <row r="4628" spans="1:6" ht="12.75" customHeight="1" x14ac:dyDescent="0.2">
      <c r="A4628" s="6"/>
      <c r="B4628" s="421"/>
      <c r="C4628" s="114"/>
      <c r="D4628" s="757"/>
      <c r="E4628" s="85"/>
      <c r="F4628" s="59">
        <f t="shared" si="284"/>
        <v>0</v>
      </c>
    </row>
    <row r="4629" spans="1:6" ht="12.75" customHeight="1" x14ac:dyDescent="0.2">
      <c r="A4629" s="6"/>
      <c r="B4629" s="421"/>
      <c r="C4629" s="114"/>
      <c r="D4629" s="757"/>
      <c r="E4629" s="85"/>
      <c r="F4629" s="59">
        <f t="shared" si="284"/>
        <v>0</v>
      </c>
    </row>
    <row r="4630" spans="1:6" ht="12.75" customHeight="1" x14ac:dyDescent="0.2">
      <c r="A4630" s="6"/>
      <c r="B4630" s="421"/>
      <c r="C4630" s="114"/>
      <c r="D4630" s="757"/>
      <c r="E4630" s="85"/>
      <c r="F4630" s="59">
        <f t="shared" si="284"/>
        <v>0</v>
      </c>
    </row>
    <row r="4631" spans="1:6" ht="12.75" customHeight="1" x14ac:dyDescent="0.2">
      <c r="A4631" s="6"/>
      <c r="B4631" s="421"/>
      <c r="C4631" s="114"/>
      <c r="D4631" s="757"/>
      <c r="E4631" s="85"/>
      <c r="F4631" s="59">
        <f t="shared" si="284"/>
        <v>0</v>
      </c>
    </row>
    <row r="4632" spans="1:6" ht="12.75" customHeight="1" x14ac:dyDescent="0.2">
      <c r="A4632" s="6"/>
      <c r="B4632" s="421"/>
      <c r="C4632" s="114"/>
      <c r="D4632" s="758"/>
      <c r="E4632" s="85"/>
      <c r="F4632" s="59">
        <f t="shared" si="284"/>
        <v>0</v>
      </c>
    </row>
    <row r="4633" spans="1:6" ht="12.75" customHeight="1" x14ac:dyDescent="0.2">
      <c r="A4633" s="6"/>
      <c r="B4633" s="421"/>
      <c r="C4633" s="114"/>
      <c r="D4633" s="758"/>
      <c r="E4633" s="85"/>
      <c r="F4633" s="59">
        <f t="shared" si="284"/>
        <v>0</v>
      </c>
    </row>
    <row r="4634" spans="1:6" ht="12.75" customHeight="1" x14ac:dyDescent="0.2">
      <c r="A4634" s="6"/>
      <c r="B4634" s="421"/>
      <c r="C4634" s="114"/>
      <c r="D4634" s="758"/>
      <c r="E4634" s="85"/>
      <c r="F4634" s="59">
        <f t="shared" si="284"/>
        <v>0</v>
      </c>
    </row>
    <row r="4635" spans="1:6" ht="12.75" customHeight="1" x14ac:dyDescent="0.2">
      <c r="A4635" s="3"/>
      <c r="C4635" s="114"/>
      <c r="D4635" s="759"/>
      <c r="E4635" s="85"/>
      <c r="F4635" s="59">
        <f t="shared" si="284"/>
        <v>0</v>
      </c>
    </row>
    <row r="4636" spans="1:6" ht="12.75" customHeight="1" x14ac:dyDescent="0.2">
      <c r="A4636" s="3"/>
      <c r="C4636" s="114"/>
      <c r="D4636" s="759"/>
      <c r="E4636" s="85"/>
      <c r="F4636" s="59">
        <f t="shared" si="284"/>
        <v>0</v>
      </c>
    </row>
    <row r="4637" spans="1:6" ht="12.75" customHeight="1" x14ac:dyDescent="0.2">
      <c r="A4637" s="3"/>
      <c r="B4637" s="86" t="s">
        <v>258</v>
      </c>
      <c r="C4637" s="87"/>
      <c r="D4637" s="88"/>
      <c r="E4637" s="89"/>
      <c r="F4637" s="90">
        <f>SUM(F4621:F4636)</f>
        <v>0</v>
      </c>
    </row>
    <row r="4638" spans="1:6" ht="12.75" customHeight="1" x14ac:dyDescent="0.2">
      <c r="A4638" s="3"/>
      <c r="B4638" s="91" t="s">
        <v>70</v>
      </c>
      <c r="C4638" s="15">
        <f>$D$8</f>
        <v>0</v>
      </c>
      <c r="D4638" s="92"/>
      <c r="E4638" s="93"/>
      <c r="F4638" s="94">
        <f>ROUND(F4637*C4638,2)</f>
        <v>0</v>
      </c>
    </row>
    <row r="4639" spans="1:6" ht="12.75" customHeight="1" x14ac:dyDescent="0.2">
      <c r="A4639" s="95"/>
      <c r="B4639" s="424" t="s">
        <v>259</v>
      </c>
      <c r="C4639" s="425"/>
      <c r="D4639" s="425"/>
      <c r="E4639" s="426"/>
      <c r="F4639" s="96">
        <f>F4637+F4638</f>
        <v>0</v>
      </c>
    </row>
    <row r="4640" spans="1:6" ht="12.75" customHeight="1" x14ac:dyDescent="0.2">
      <c r="A4640" s="1" t="s">
        <v>5</v>
      </c>
      <c r="B4640" s="418" t="s">
        <v>267</v>
      </c>
      <c r="C4640" s="419" t="s">
        <v>263</v>
      </c>
      <c r="D4640" s="419" t="s">
        <v>264</v>
      </c>
      <c r="E4640" s="420" t="s">
        <v>265</v>
      </c>
      <c r="F4640" s="57" t="s">
        <v>266</v>
      </c>
    </row>
    <row r="4641" spans="1:6" ht="12.75" customHeight="1" x14ac:dyDescent="0.2">
      <c r="A4641" s="3" t="str">
        <f>'A VII.'!$A$153</f>
        <v>2.11</v>
      </c>
      <c r="B4641" s="71" t="str">
        <f>'A VII.'!B153</f>
        <v>CAMINHÃO - CARROCERIA FIXA ABERTA DE MADEIRA COM CAPACIDADE 5 T *160CV - CHI</v>
      </c>
      <c r="C4641" s="114">
        <v>3.333E-3</v>
      </c>
      <c r="D4641" s="759" t="str">
        <f>'A VII.'!C153</f>
        <v>CHI</v>
      </c>
      <c r="E4641" s="85">
        <f>'A VII.'!D153</f>
        <v>0</v>
      </c>
      <c r="F4641" s="59">
        <f t="shared" ref="F4641:F4650" si="285">ROUND(C4641*E4641,2)</f>
        <v>0</v>
      </c>
    </row>
    <row r="4642" spans="1:6" ht="12.75" customHeight="1" x14ac:dyDescent="0.2">
      <c r="A4642" s="3" t="str">
        <f>'A VII.'!$A$163</f>
        <v>2.21</v>
      </c>
      <c r="B4642" s="74" t="str">
        <f>'A VII.'!B163</f>
        <v>MÁQUINA DEMARCADORA DE FAIXA DE TRÁFEGO À FRIO, AUTOPROPELIDA, POTÊNCIA 38 HP</v>
      </c>
      <c r="C4642" s="114">
        <v>3.333E-3</v>
      </c>
      <c r="D4642" s="759" t="str">
        <f>'A VII.'!C163</f>
        <v>CHP</v>
      </c>
      <c r="E4642" s="85">
        <f>'A VII.'!D163</f>
        <v>0</v>
      </c>
      <c r="F4642" s="59">
        <f t="shared" si="285"/>
        <v>0</v>
      </c>
    </row>
    <row r="4643" spans="1:6" ht="12.75" customHeight="1" x14ac:dyDescent="0.2">
      <c r="A4643" s="3"/>
      <c r="C4643" s="114"/>
      <c r="D4643" s="759"/>
      <c r="E4643" s="85"/>
      <c r="F4643" s="59">
        <f t="shared" si="285"/>
        <v>0</v>
      </c>
    </row>
    <row r="4644" spans="1:6" ht="12.75" customHeight="1" x14ac:dyDescent="0.2">
      <c r="A4644" s="3"/>
      <c r="C4644" s="114"/>
      <c r="D4644" s="759"/>
      <c r="E4644" s="85"/>
      <c r="F4644" s="59">
        <f t="shared" si="285"/>
        <v>0</v>
      </c>
    </row>
    <row r="4645" spans="1:6" ht="12.75" customHeight="1" x14ac:dyDescent="0.2">
      <c r="A4645" s="3"/>
      <c r="C4645" s="114"/>
      <c r="D4645" s="759"/>
      <c r="E4645" s="85"/>
      <c r="F4645" s="59">
        <f t="shared" si="285"/>
        <v>0</v>
      </c>
    </row>
    <row r="4646" spans="1:6" ht="12.75" customHeight="1" x14ac:dyDescent="0.2">
      <c r="A4646" s="3"/>
      <c r="C4646" s="114"/>
      <c r="D4646" s="759"/>
      <c r="E4646" s="85"/>
      <c r="F4646" s="59">
        <f t="shared" si="285"/>
        <v>0</v>
      </c>
    </row>
    <row r="4647" spans="1:6" ht="12.75" customHeight="1" x14ac:dyDescent="0.2">
      <c r="A4647" s="3"/>
      <c r="C4647" s="114"/>
      <c r="D4647" s="759"/>
      <c r="E4647" s="85"/>
      <c r="F4647" s="59">
        <f t="shared" si="285"/>
        <v>0</v>
      </c>
    </row>
    <row r="4648" spans="1:6" ht="12.75" customHeight="1" x14ac:dyDescent="0.2">
      <c r="A4648" s="3"/>
      <c r="C4648" s="114"/>
      <c r="D4648" s="759"/>
      <c r="E4648" s="85"/>
      <c r="F4648" s="59">
        <f t="shared" si="285"/>
        <v>0</v>
      </c>
    </row>
    <row r="4649" spans="1:6" ht="12.75" customHeight="1" x14ac:dyDescent="0.2">
      <c r="A4649" s="3"/>
      <c r="C4649" s="114"/>
      <c r="D4649" s="759"/>
      <c r="E4649" s="85"/>
      <c r="F4649" s="59">
        <f t="shared" si="285"/>
        <v>0</v>
      </c>
    </row>
    <row r="4650" spans="1:6" ht="12.75" customHeight="1" x14ac:dyDescent="0.2">
      <c r="A4650" s="3"/>
      <c r="C4650" s="114"/>
      <c r="D4650" s="759"/>
      <c r="E4650" s="85"/>
      <c r="F4650" s="59">
        <f t="shared" si="285"/>
        <v>0</v>
      </c>
    </row>
    <row r="4651" spans="1:6" ht="12.75" customHeight="1" x14ac:dyDescent="0.2">
      <c r="A4651" s="3"/>
      <c r="B4651" s="86" t="s">
        <v>258</v>
      </c>
      <c r="C4651" s="87"/>
      <c r="D4651" s="88"/>
      <c r="E4651" s="89"/>
      <c r="F4651" s="90">
        <f>SUM(F4641:F4650)</f>
        <v>0</v>
      </c>
    </row>
    <row r="4652" spans="1:6" ht="12.75" customHeight="1" x14ac:dyDescent="0.2">
      <c r="A4652" s="3"/>
      <c r="B4652" s="91" t="s">
        <v>70</v>
      </c>
      <c r="C4652" s="15">
        <f>$D$8</f>
        <v>0</v>
      </c>
      <c r="D4652" s="92"/>
      <c r="E4652" s="93"/>
      <c r="F4652" s="94">
        <f>ROUND(C4652*F4651,2)</f>
        <v>0</v>
      </c>
    </row>
    <row r="4653" spans="1:6" ht="12.75" customHeight="1" x14ac:dyDescent="0.2">
      <c r="A4653" s="95"/>
      <c r="B4653" s="424" t="s">
        <v>260</v>
      </c>
      <c r="C4653" s="425"/>
      <c r="D4653" s="425"/>
      <c r="E4653" s="426"/>
      <c r="F4653" s="96">
        <f>F4651+F4652</f>
        <v>0</v>
      </c>
    </row>
    <row r="4654" spans="1:6" ht="12.75" customHeight="1" x14ac:dyDescent="0.2">
      <c r="A4654" s="97" t="s">
        <v>54</v>
      </c>
      <c r="B4654" s="427" t="s">
        <v>268</v>
      </c>
      <c r="C4654" s="428" t="s">
        <v>263</v>
      </c>
      <c r="D4654" s="429" t="s">
        <v>264</v>
      </c>
      <c r="E4654" s="430" t="s">
        <v>265</v>
      </c>
      <c r="F4654" s="57" t="s">
        <v>266</v>
      </c>
    </row>
    <row r="4655" spans="1:6" ht="12.75" customHeight="1" x14ac:dyDescent="0.2">
      <c r="A4655" s="3" t="str">
        <f>'A VII.'!$A$196</f>
        <v>3.16</v>
      </c>
      <c r="B4655" s="74" t="str">
        <f>'A VII.'!B196</f>
        <v>SERVENTE COM ENCARGOS COMPLEMENTARES</v>
      </c>
      <c r="C4655" s="114">
        <v>3.3329999999999999E-2</v>
      </c>
      <c r="D4655" s="759" t="str">
        <f>'A VII.'!C196</f>
        <v>H</v>
      </c>
      <c r="E4655" s="85">
        <f>'A VII.'!D196</f>
        <v>0</v>
      </c>
      <c r="F4655" s="59">
        <f t="shared" ref="F4655:F4661" si="286">ROUND(C4655*E4655,2)</f>
        <v>0</v>
      </c>
    </row>
    <row r="4656" spans="1:6" ht="12.75" customHeight="1" x14ac:dyDescent="0.2">
      <c r="A4656" s="3"/>
      <c r="C4656" s="114"/>
      <c r="D4656" s="759"/>
      <c r="E4656" s="85"/>
      <c r="F4656" s="59">
        <f t="shared" si="286"/>
        <v>0</v>
      </c>
    </row>
    <row r="4657" spans="1:6" ht="12.75" customHeight="1" x14ac:dyDescent="0.2">
      <c r="A4657" s="3"/>
      <c r="C4657" s="114"/>
      <c r="D4657" s="759"/>
      <c r="E4657" s="85"/>
      <c r="F4657" s="59">
        <f t="shared" si="286"/>
        <v>0</v>
      </c>
    </row>
    <row r="4658" spans="1:6" ht="12.75" customHeight="1" x14ac:dyDescent="0.2">
      <c r="A4658" s="3"/>
      <c r="C4658" s="114"/>
      <c r="D4658" s="759"/>
      <c r="E4658" s="85"/>
      <c r="F4658" s="59">
        <f t="shared" si="286"/>
        <v>0</v>
      </c>
    </row>
    <row r="4659" spans="1:6" ht="12.75" customHeight="1" x14ac:dyDescent="0.2">
      <c r="A4659" s="3"/>
      <c r="C4659" s="114"/>
      <c r="D4659" s="759"/>
      <c r="E4659" s="85"/>
      <c r="F4659" s="59">
        <f t="shared" si="286"/>
        <v>0</v>
      </c>
    </row>
    <row r="4660" spans="1:6" ht="12.75" customHeight="1" x14ac:dyDescent="0.2">
      <c r="A4660" s="3"/>
      <c r="C4660" s="114"/>
      <c r="D4660" s="759"/>
      <c r="E4660" s="85"/>
      <c r="F4660" s="59">
        <f t="shared" si="286"/>
        <v>0</v>
      </c>
    </row>
    <row r="4661" spans="1:6" ht="12.75" customHeight="1" x14ac:dyDescent="0.2">
      <c r="A4661" s="3"/>
      <c r="C4661" s="114"/>
      <c r="D4661" s="759"/>
      <c r="E4661" s="85"/>
      <c r="F4661" s="59">
        <f t="shared" si="286"/>
        <v>0</v>
      </c>
    </row>
    <row r="4662" spans="1:6" ht="12.75" customHeight="1" x14ac:dyDescent="0.2">
      <c r="A4662" s="3"/>
      <c r="B4662" s="86" t="s">
        <v>258</v>
      </c>
      <c r="C4662" s="87"/>
      <c r="D4662" s="88"/>
      <c r="E4662" s="89"/>
      <c r="F4662" s="90">
        <f>SUM(F4655:F4661)</f>
        <v>0</v>
      </c>
    </row>
    <row r="4663" spans="1:6" ht="12.75" customHeight="1" x14ac:dyDescent="0.2">
      <c r="A4663" s="3"/>
      <c r="B4663" s="91" t="s">
        <v>261</v>
      </c>
      <c r="C4663" s="15">
        <f>'A IX.'!$C$45</f>
        <v>0</v>
      </c>
      <c r="D4663" s="92"/>
      <c r="E4663" s="93"/>
      <c r="F4663" s="94">
        <f>ROUND(F4662*C4663,2)</f>
        <v>0</v>
      </c>
    </row>
    <row r="4664" spans="1:6" ht="12.75" customHeight="1" x14ac:dyDescent="0.2">
      <c r="A4664" s="3"/>
      <c r="B4664" s="91" t="s">
        <v>70</v>
      </c>
      <c r="C4664" s="15">
        <f>$D$8</f>
        <v>0</v>
      </c>
      <c r="D4664" s="92"/>
      <c r="E4664" s="93"/>
      <c r="F4664" s="94">
        <f>ROUND(SUM(F4662:F4663)*C4664,2)</f>
        <v>0</v>
      </c>
    </row>
    <row r="4665" spans="1:6" ht="12.75" customHeight="1" thickBot="1" x14ac:dyDescent="0.25">
      <c r="A4665" s="98"/>
      <c r="B4665" s="99" t="s">
        <v>262</v>
      </c>
      <c r="C4665" s="100"/>
      <c r="D4665" s="100"/>
      <c r="E4665" s="101"/>
      <c r="F4665" s="102">
        <f>SUM(F4662:F4664)</f>
        <v>0</v>
      </c>
    </row>
    <row r="4666" spans="1:6" ht="12.75" customHeight="1" thickBot="1" x14ac:dyDescent="0.25">
      <c r="A4666" s="252"/>
      <c r="B4666" s="253"/>
      <c r="C4666" s="254"/>
      <c r="D4666" s="254"/>
      <c r="E4666" s="255"/>
      <c r="F4666" s="256"/>
    </row>
    <row r="4667" spans="1:6" ht="30" customHeight="1" x14ac:dyDescent="0.2">
      <c r="A4667" s="5" t="str">
        <f>'A IV.A'!A143</f>
        <v>6.6</v>
      </c>
      <c r="B4667" s="416" t="str">
        <f>'A IV.A'!B143</f>
        <v>PINTURA DE RESERV. ELEVADO DE CONCRETO - LÁTEX ACRÍLICO FOSCO COR BRANCA 2 DEMÃOS E FAIXAS AZUIS CONFORME PADRÃO SEMAE</v>
      </c>
      <c r="C4667" s="526" t="s">
        <v>269</v>
      </c>
      <c r="D4667" s="527"/>
      <c r="E4667" s="417" t="str">
        <f>'A IV.A'!$C$143</f>
        <v>M2</v>
      </c>
      <c r="F4667" s="58">
        <f>ROUND(F4687+F4701+F4713,2)</f>
        <v>0</v>
      </c>
    </row>
    <row r="4668" spans="1:6" ht="12.75" customHeight="1" x14ac:dyDescent="0.2">
      <c r="A4668" s="1" t="s">
        <v>17</v>
      </c>
      <c r="B4668" s="418" t="s">
        <v>162</v>
      </c>
      <c r="C4668" s="419" t="s">
        <v>263</v>
      </c>
      <c r="D4668" s="419" t="s">
        <v>264</v>
      </c>
      <c r="E4668" s="420" t="s">
        <v>265</v>
      </c>
      <c r="F4668" s="57" t="s">
        <v>266</v>
      </c>
    </row>
    <row r="4669" spans="1:6" ht="12.75" customHeight="1" x14ac:dyDescent="0.2">
      <c r="A4669" s="6" t="str">
        <f>'A VII.'!$A$68</f>
        <v>1.59</v>
      </c>
      <c r="B4669" s="421" t="str">
        <f>VLOOKUP(A4669,'A VII.'!$A$10:$D$199,2,FALSE)</f>
        <v>LIXA PARA SUPERFÍCIE/MASSA, GRANA 120</v>
      </c>
      <c r="C4669" s="114">
        <v>0.5</v>
      </c>
      <c r="D4669" s="757" t="str">
        <f>VLOOKUP(A4669,'A VII.'!$A$10:$D$199,3,FALSE)</f>
        <v>UN</v>
      </c>
      <c r="E4669" s="85">
        <f>'A VII.'!$D$68</f>
        <v>0</v>
      </c>
      <c r="F4669" s="59">
        <f>ROUND(C4669*E4669,2)</f>
        <v>0</v>
      </c>
    </row>
    <row r="4670" spans="1:6" ht="12.75" customHeight="1" x14ac:dyDescent="0.2">
      <c r="A4670" s="6" t="str">
        <f>'A VII.'!$A$55</f>
        <v>1.46</v>
      </c>
      <c r="B4670" s="421" t="str">
        <f>VLOOKUP(A4670,'A VII.'!$A$10:$D$199,2,FALSE)</f>
        <v xml:space="preserve">FUNDO PREPARADOR </v>
      </c>
      <c r="C4670" s="114">
        <v>7.0000000000000007E-2</v>
      </c>
      <c r="D4670" s="757" t="str">
        <f>VLOOKUP(A4670,'A VII.'!$A$10:$D$199,3,FALSE)</f>
        <v>L</v>
      </c>
      <c r="E4670" s="85">
        <f>'A VII.'!D55</f>
        <v>0</v>
      </c>
      <c r="F4670" s="59">
        <f t="shared" ref="F4670:F4684" si="287">ROUND(C4670*E4670,2)</f>
        <v>0</v>
      </c>
    </row>
    <row r="4671" spans="1:6" ht="12.75" customHeight="1" x14ac:dyDescent="0.2">
      <c r="A4671" s="6" t="str">
        <f>'A VII.'!$A$112</f>
        <v>1.102</v>
      </c>
      <c r="B4671" s="421" t="str">
        <f>VLOOKUP(A4671,'A VII.'!$A$10:$D$199,2,FALSE)</f>
        <v>TINTA LÁTEX ACRÍLICA - 1ª LINHA</v>
      </c>
      <c r="C4671" s="114">
        <v>0.33</v>
      </c>
      <c r="D4671" s="757" t="str">
        <f>VLOOKUP(A4671,'A VII.'!$A$10:$D$199,3,FALSE)</f>
        <v>L</v>
      </c>
      <c r="E4671" s="85">
        <f>'A VII.'!$D$112</f>
        <v>0</v>
      </c>
      <c r="F4671" s="59">
        <f t="shared" si="287"/>
        <v>0</v>
      </c>
    </row>
    <row r="4672" spans="1:6" ht="12.75" customHeight="1" x14ac:dyDescent="0.2">
      <c r="A4672" s="6"/>
      <c r="B4672" s="421"/>
      <c r="C4672" s="114"/>
      <c r="D4672" s="757"/>
      <c r="E4672" s="85"/>
      <c r="F4672" s="59">
        <f t="shared" si="287"/>
        <v>0</v>
      </c>
    </row>
    <row r="4673" spans="1:6" ht="12.75" customHeight="1" x14ac:dyDescent="0.2">
      <c r="A4673" s="6"/>
      <c r="B4673" s="421"/>
      <c r="C4673" s="114"/>
      <c r="D4673" s="757"/>
      <c r="E4673" s="85"/>
      <c r="F4673" s="59">
        <f t="shared" si="287"/>
        <v>0</v>
      </c>
    </row>
    <row r="4674" spans="1:6" ht="12.75" customHeight="1" x14ac:dyDescent="0.2">
      <c r="A4674" s="6"/>
      <c r="B4674" s="421"/>
      <c r="C4674" s="114"/>
      <c r="D4674" s="757"/>
      <c r="E4674" s="85"/>
      <c r="F4674" s="59">
        <f t="shared" si="287"/>
        <v>0</v>
      </c>
    </row>
    <row r="4675" spans="1:6" ht="12.75" customHeight="1" x14ac:dyDescent="0.2">
      <c r="A4675" s="6"/>
      <c r="B4675" s="421"/>
      <c r="C4675" s="114"/>
      <c r="D4675" s="757"/>
      <c r="E4675" s="85"/>
      <c r="F4675" s="59">
        <f t="shared" si="287"/>
        <v>0</v>
      </c>
    </row>
    <row r="4676" spans="1:6" ht="12.75" customHeight="1" x14ac:dyDescent="0.2">
      <c r="A4676" s="6"/>
      <c r="B4676" s="421"/>
      <c r="C4676" s="114"/>
      <c r="D4676" s="757"/>
      <c r="E4676" s="85"/>
      <c r="F4676" s="59">
        <f t="shared" si="287"/>
        <v>0</v>
      </c>
    </row>
    <row r="4677" spans="1:6" ht="12.75" customHeight="1" x14ac:dyDescent="0.2">
      <c r="A4677" s="6"/>
      <c r="B4677" s="421"/>
      <c r="C4677" s="114"/>
      <c r="D4677" s="757"/>
      <c r="E4677" s="85"/>
      <c r="F4677" s="59">
        <f t="shared" si="287"/>
        <v>0</v>
      </c>
    </row>
    <row r="4678" spans="1:6" ht="12.75" customHeight="1" x14ac:dyDescent="0.2">
      <c r="A4678" s="6"/>
      <c r="B4678" s="421"/>
      <c r="C4678" s="114"/>
      <c r="D4678" s="757"/>
      <c r="E4678" s="85"/>
      <c r="F4678" s="59">
        <f t="shared" si="287"/>
        <v>0</v>
      </c>
    </row>
    <row r="4679" spans="1:6" ht="12.75" customHeight="1" x14ac:dyDescent="0.2">
      <c r="A4679" s="6"/>
      <c r="B4679" s="421"/>
      <c r="C4679" s="114"/>
      <c r="D4679" s="757"/>
      <c r="E4679" s="85"/>
      <c r="F4679" s="59">
        <f t="shared" si="287"/>
        <v>0</v>
      </c>
    </row>
    <row r="4680" spans="1:6" ht="12.75" customHeight="1" x14ac:dyDescent="0.2">
      <c r="A4680" s="6"/>
      <c r="B4680" s="421"/>
      <c r="C4680" s="114"/>
      <c r="D4680" s="758"/>
      <c r="E4680" s="85"/>
      <c r="F4680" s="59">
        <f t="shared" si="287"/>
        <v>0</v>
      </c>
    </row>
    <row r="4681" spans="1:6" ht="12.75" customHeight="1" x14ac:dyDescent="0.2">
      <c r="A4681" s="6"/>
      <c r="B4681" s="421"/>
      <c r="C4681" s="114"/>
      <c r="D4681" s="758"/>
      <c r="E4681" s="85"/>
      <c r="F4681" s="59">
        <f t="shared" si="287"/>
        <v>0</v>
      </c>
    </row>
    <row r="4682" spans="1:6" ht="12.75" customHeight="1" x14ac:dyDescent="0.2">
      <c r="A4682" s="6"/>
      <c r="B4682" s="421"/>
      <c r="C4682" s="114"/>
      <c r="D4682" s="758"/>
      <c r="E4682" s="85"/>
      <c r="F4682" s="59">
        <f t="shared" si="287"/>
        <v>0</v>
      </c>
    </row>
    <row r="4683" spans="1:6" ht="12.75" customHeight="1" x14ac:dyDescent="0.2">
      <c r="A4683" s="3"/>
      <c r="C4683" s="114"/>
      <c r="D4683" s="759"/>
      <c r="E4683" s="85"/>
      <c r="F4683" s="59">
        <f t="shared" si="287"/>
        <v>0</v>
      </c>
    </row>
    <row r="4684" spans="1:6" ht="12.75" customHeight="1" x14ac:dyDescent="0.2">
      <c r="A4684" s="3"/>
      <c r="C4684" s="114"/>
      <c r="D4684" s="759"/>
      <c r="E4684" s="85"/>
      <c r="F4684" s="59">
        <f t="shared" si="287"/>
        <v>0</v>
      </c>
    </row>
    <row r="4685" spans="1:6" ht="12.75" customHeight="1" x14ac:dyDescent="0.2">
      <c r="A4685" s="3"/>
      <c r="B4685" s="86" t="s">
        <v>258</v>
      </c>
      <c r="C4685" s="87"/>
      <c r="D4685" s="88"/>
      <c r="E4685" s="89"/>
      <c r="F4685" s="90">
        <f>SUM(F4669:F4684)</f>
        <v>0</v>
      </c>
    </row>
    <row r="4686" spans="1:6" ht="12.75" customHeight="1" x14ac:dyDescent="0.2">
      <c r="A4686" s="3"/>
      <c r="B4686" s="91" t="s">
        <v>70</v>
      </c>
      <c r="C4686" s="15">
        <f>$D$8</f>
        <v>0</v>
      </c>
      <c r="D4686" s="92"/>
      <c r="E4686" s="93"/>
      <c r="F4686" s="94">
        <f>ROUND(F4685*C4686,2)</f>
        <v>0</v>
      </c>
    </row>
    <row r="4687" spans="1:6" ht="12.75" customHeight="1" x14ac:dyDescent="0.2">
      <c r="A4687" s="95"/>
      <c r="B4687" s="424" t="s">
        <v>259</v>
      </c>
      <c r="C4687" s="425"/>
      <c r="D4687" s="425"/>
      <c r="E4687" s="426"/>
      <c r="F4687" s="96">
        <f>F4685+F4686</f>
        <v>0</v>
      </c>
    </row>
    <row r="4688" spans="1:6" ht="12.75" customHeight="1" x14ac:dyDescent="0.2">
      <c r="A4688" s="1" t="s">
        <v>5</v>
      </c>
      <c r="B4688" s="418" t="s">
        <v>267</v>
      </c>
      <c r="C4688" s="419" t="s">
        <v>263</v>
      </c>
      <c r="D4688" s="419" t="s">
        <v>264</v>
      </c>
      <c r="E4688" s="420" t="s">
        <v>265</v>
      </c>
      <c r="F4688" s="57" t="s">
        <v>266</v>
      </c>
    </row>
    <row r="4689" spans="1:6" ht="12.75" customHeight="1" x14ac:dyDescent="0.2">
      <c r="A4689" s="3" t="str">
        <f>'A VII.'!$A$147</f>
        <v>2.5</v>
      </c>
      <c r="B4689" s="71" t="str">
        <f>'A VII.'!B147</f>
        <v>BALANCIM LEVE TRADICIONAL - PLATAFORMA 3,00 M COM GUINCHO MANUAL, NR 18 (LOCAÇÃO MENSAL + TRANSPORTE)</v>
      </c>
      <c r="C4689" s="114">
        <v>2.5000000000000001E-3</v>
      </c>
      <c r="D4689" s="759" t="str">
        <f>VLOOKUP(A4689,'A VII.'!$A$10:$D$199,3,FALSE)</f>
        <v>LOC/MÊS</v>
      </c>
      <c r="E4689" s="85">
        <f>'A VII.'!$D$147</f>
        <v>0</v>
      </c>
      <c r="F4689" s="59">
        <f t="shared" ref="F4689:F4698" si="288">ROUND(C4689*E4689,2)</f>
        <v>0</v>
      </c>
    </row>
    <row r="4690" spans="1:6" ht="12.75" customHeight="1" x14ac:dyDescent="0.2">
      <c r="A4690" s="3" t="str">
        <f>'A VII.'!$A$162</f>
        <v>2.20</v>
      </c>
      <c r="B4690" s="74" t="str">
        <f>'A VII.'!B162</f>
        <v>MÁQUINA DE LAVAGEM A PRESSÃO, TIPO VAP (ÁGUA FRIA, PRESSÃO 1700PSI) - CHP</v>
      </c>
      <c r="C4690" s="114">
        <v>0.1</v>
      </c>
      <c r="D4690" s="759" t="str">
        <f>'A VII.'!C162</f>
        <v>CHP</v>
      </c>
      <c r="E4690" s="85">
        <f>'A VII.'!D162</f>
        <v>0</v>
      </c>
      <c r="F4690" s="59">
        <f t="shared" si="288"/>
        <v>0</v>
      </c>
    </row>
    <row r="4691" spans="1:6" ht="12.75" customHeight="1" x14ac:dyDescent="0.2">
      <c r="A4691" s="3"/>
      <c r="C4691" s="114"/>
      <c r="D4691" s="759"/>
      <c r="E4691" s="85"/>
      <c r="F4691" s="59">
        <f t="shared" si="288"/>
        <v>0</v>
      </c>
    </row>
    <row r="4692" spans="1:6" ht="12.75" customHeight="1" x14ac:dyDescent="0.2">
      <c r="A4692" s="3"/>
      <c r="C4692" s="114"/>
      <c r="D4692" s="759"/>
      <c r="E4692" s="85"/>
      <c r="F4692" s="59">
        <f t="shared" si="288"/>
        <v>0</v>
      </c>
    </row>
    <row r="4693" spans="1:6" ht="12.75" customHeight="1" x14ac:dyDescent="0.2">
      <c r="A4693" s="3"/>
      <c r="C4693" s="114"/>
      <c r="D4693" s="759"/>
      <c r="E4693" s="85"/>
      <c r="F4693" s="59">
        <f t="shared" si="288"/>
        <v>0</v>
      </c>
    </row>
    <row r="4694" spans="1:6" ht="12.75" customHeight="1" x14ac:dyDescent="0.2">
      <c r="A4694" s="3"/>
      <c r="C4694" s="114"/>
      <c r="D4694" s="759"/>
      <c r="E4694" s="85"/>
      <c r="F4694" s="59">
        <f t="shared" si="288"/>
        <v>0</v>
      </c>
    </row>
    <row r="4695" spans="1:6" ht="12.75" customHeight="1" x14ac:dyDescent="0.2">
      <c r="A4695" s="3"/>
      <c r="C4695" s="114"/>
      <c r="D4695" s="759"/>
      <c r="E4695" s="85"/>
      <c r="F4695" s="59">
        <f t="shared" si="288"/>
        <v>0</v>
      </c>
    </row>
    <row r="4696" spans="1:6" ht="12.75" customHeight="1" x14ac:dyDescent="0.2">
      <c r="A4696" s="3"/>
      <c r="C4696" s="114"/>
      <c r="D4696" s="759"/>
      <c r="E4696" s="85"/>
      <c r="F4696" s="59">
        <f t="shared" si="288"/>
        <v>0</v>
      </c>
    </row>
    <row r="4697" spans="1:6" ht="12.75" customHeight="1" x14ac:dyDescent="0.2">
      <c r="A4697" s="3"/>
      <c r="C4697" s="114"/>
      <c r="D4697" s="759"/>
      <c r="E4697" s="85"/>
      <c r="F4697" s="59">
        <f t="shared" si="288"/>
        <v>0</v>
      </c>
    </row>
    <row r="4698" spans="1:6" ht="12.75" customHeight="1" x14ac:dyDescent="0.2">
      <c r="A4698" s="3"/>
      <c r="C4698" s="114"/>
      <c r="D4698" s="759"/>
      <c r="E4698" s="85"/>
      <c r="F4698" s="59">
        <f t="shared" si="288"/>
        <v>0</v>
      </c>
    </row>
    <row r="4699" spans="1:6" ht="12.75" customHeight="1" x14ac:dyDescent="0.2">
      <c r="A4699" s="3"/>
      <c r="B4699" s="86" t="s">
        <v>258</v>
      </c>
      <c r="C4699" s="87"/>
      <c r="D4699" s="88"/>
      <c r="E4699" s="89"/>
      <c r="F4699" s="90">
        <f>SUM(F4689:F4698)</f>
        <v>0</v>
      </c>
    </row>
    <row r="4700" spans="1:6" ht="12.75" customHeight="1" x14ac:dyDescent="0.2">
      <c r="A4700" s="3"/>
      <c r="B4700" s="91" t="s">
        <v>70</v>
      </c>
      <c r="C4700" s="15">
        <f>$D$8</f>
        <v>0</v>
      </c>
      <c r="D4700" s="92"/>
      <c r="E4700" s="93"/>
      <c r="F4700" s="94">
        <f>ROUND(C4700*F4699,2)</f>
        <v>0</v>
      </c>
    </row>
    <row r="4701" spans="1:6" ht="12.75" customHeight="1" x14ac:dyDescent="0.2">
      <c r="A4701" s="95"/>
      <c r="B4701" s="424" t="s">
        <v>260</v>
      </c>
      <c r="C4701" s="425"/>
      <c r="D4701" s="425"/>
      <c r="E4701" s="426"/>
      <c r="F4701" s="96">
        <f>F4699+F4700</f>
        <v>0</v>
      </c>
    </row>
    <row r="4702" spans="1:6" ht="12.75" customHeight="1" x14ac:dyDescent="0.2">
      <c r="A4702" s="97" t="s">
        <v>54</v>
      </c>
      <c r="B4702" s="427" t="s">
        <v>268</v>
      </c>
      <c r="C4702" s="428" t="s">
        <v>263</v>
      </c>
      <c r="D4702" s="429" t="s">
        <v>264</v>
      </c>
      <c r="E4702" s="430" t="s">
        <v>265</v>
      </c>
      <c r="F4702" s="57" t="s">
        <v>266</v>
      </c>
    </row>
    <row r="4703" spans="1:6" ht="12.75" customHeight="1" x14ac:dyDescent="0.2">
      <c r="A4703" s="3" t="str">
        <f>'A VII.'!$A$193</f>
        <v>3.13</v>
      </c>
      <c r="B4703" s="74" t="str">
        <f>'A VII.'!B193</f>
        <v>PINTOR COM ENCARGOS COMPLEMENTARES</v>
      </c>
      <c r="C4703" s="114">
        <f>0.187+((0.039*0.07)/0.16)+0.2</f>
        <v>0.40406249999999999</v>
      </c>
      <c r="D4703" s="759" t="str">
        <f>'A VII.'!C193</f>
        <v>H</v>
      </c>
      <c r="E4703" s="85">
        <f>'A VII.'!D193</f>
        <v>0</v>
      </c>
      <c r="F4703" s="59">
        <f t="shared" ref="F4703:F4709" si="289">ROUND(C4703*E4703,2)</f>
        <v>0</v>
      </c>
    </row>
    <row r="4704" spans="1:6" ht="12.75" customHeight="1" x14ac:dyDescent="0.2">
      <c r="A4704" s="3" t="str">
        <f>'A VII.'!$A$196</f>
        <v>3.16</v>
      </c>
      <c r="B4704" s="74" t="str">
        <f>'A VII.'!B196</f>
        <v>SERVENTE COM ENCARGOS COMPLEMENTARES</v>
      </c>
      <c r="C4704" s="114">
        <f>0.069+((0.014*0.07)/0.16)+0.1</f>
        <v>0.17512500000000003</v>
      </c>
      <c r="D4704" s="759" t="str">
        <f>'A VII.'!C196</f>
        <v>H</v>
      </c>
      <c r="E4704" s="85">
        <f>'A VII.'!D196</f>
        <v>0</v>
      </c>
      <c r="F4704" s="59">
        <f t="shared" si="289"/>
        <v>0</v>
      </c>
    </row>
    <row r="4705" spans="1:6" ht="12.75" customHeight="1" x14ac:dyDescent="0.2">
      <c r="A4705" s="3"/>
      <c r="C4705" s="114"/>
      <c r="D4705" s="759"/>
      <c r="E4705" s="85"/>
      <c r="F4705" s="59">
        <f t="shared" si="289"/>
        <v>0</v>
      </c>
    </row>
    <row r="4706" spans="1:6" ht="12.75" customHeight="1" x14ac:dyDescent="0.2">
      <c r="A4706" s="3"/>
      <c r="C4706" s="114"/>
      <c r="D4706" s="759"/>
      <c r="E4706" s="85"/>
      <c r="F4706" s="59">
        <f t="shared" si="289"/>
        <v>0</v>
      </c>
    </row>
    <row r="4707" spans="1:6" ht="12.75" customHeight="1" x14ac:dyDescent="0.2">
      <c r="A4707" s="3"/>
      <c r="C4707" s="114"/>
      <c r="D4707" s="759"/>
      <c r="E4707" s="85"/>
      <c r="F4707" s="59">
        <f t="shared" si="289"/>
        <v>0</v>
      </c>
    </row>
    <row r="4708" spans="1:6" ht="12.75" customHeight="1" x14ac:dyDescent="0.2">
      <c r="A4708" s="3"/>
      <c r="C4708" s="114"/>
      <c r="D4708" s="759"/>
      <c r="E4708" s="85"/>
      <c r="F4708" s="59">
        <f t="shared" si="289"/>
        <v>0</v>
      </c>
    </row>
    <row r="4709" spans="1:6" ht="12.75" customHeight="1" x14ac:dyDescent="0.2">
      <c r="A4709" s="3"/>
      <c r="C4709" s="114"/>
      <c r="D4709" s="759"/>
      <c r="E4709" s="85"/>
      <c r="F4709" s="59">
        <f t="shared" si="289"/>
        <v>0</v>
      </c>
    </row>
    <row r="4710" spans="1:6" ht="12.75" customHeight="1" x14ac:dyDescent="0.2">
      <c r="A4710" s="3"/>
      <c r="B4710" s="86" t="s">
        <v>258</v>
      </c>
      <c r="C4710" s="87"/>
      <c r="D4710" s="88"/>
      <c r="E4710" s="89"/>
      <c r="F4710" s="90">
        <f>SUM(F4703:F4709)</f>
        <v>0</v>
      </c>
    </row>
    <row r="4711" spans="1:6" ht="12.75" customHeight="1" x14ac:dyDescent="0.2">
      <c r="A4711" s="3"/>
      <c r="B4711" s="91" t="s">
        <v>261</v>
      </c>
      <c r="C4711" s="15">
        <f>'A IX.'!$C$45</f>
        <v>0</v>
      </c>
      <c r="D4711" s="92"/>
      <c r="E4711" s="93"/>
      <c r="F4711" s="94">
        <f>ROUND(F4710*C4711,2)</f>
        <v>0</v>
      </c>
    </row>
    <row r="4712" spans="1:6" ht="12.75" customHeight="1" x14ac:dyDescent="0.2">
      <c r="A4712" s="3"/>
      <c r="B4712" s="91" t="s">
        <v>70</v>
      </c>
      <c r="C4712" s="15">
        <f>$D$8</f>
        <v>0</v>
      </c>
      <c r="D4712" s="92"/>
      <c r="E4712" s="93"/>
      <c r="F4712" s="94">
        <f>ROUND(SUM(F4710:F4711)*C4712,2)</f>
        <v>0</v>
      </c>
    </row>
    <row r="4713" spans="1:6" ht="12.75" customHeight="1" thickBot="1" x14ac:dyDescent="0.25">
      <c r="A4713" s="98"/>
      <c r="B4713" s="99" t="s">
        <v>262</v>
      </c>
      <c r="C4713" s="100"/>
      <c r="D4713" s="100"/>
      <c r="E4713" s="101"/>
      <c r="F4713" s="102">
        <f>SUM(F4710:F4712)</f>
        <v>0</v>
      </c>
    </row>
    <row r="4714" spans="1:6" ht="12.75" customHeight="1" thickBot="1" x14ac:dyDescent="0.25">
      <c r="A4714" s="81"/>
      <c r="B4714" s="82"/>
      <c r="C4714" s="83"/>
      <c r="D4714" s="83"/>
      <c r="E4714" s="84"/>
      <c r="F4714" s="103"/>
    </row>
    <row r="4715" spans="1:6" ht="30" customHeight="1" x14ac:dyDescent="0.2">
      <c r="A4715" s="5" t="str">
        <f>'A IV.A'!A144</f>
        <v>6.7</v>
      </c>
      <c r="B4715" s="416" t="str">
        <f>'A IV.A'!B144</f>
        <v>PINTURA DE RESERV. APOIADO DE CONCRETO - LÁTEX ACRÍLICO FOSCO COR BRANCA 2 DEMÃOS E FAIXAS AZUIS CONFORME PADRÃO SEMAE</v>
      </c>
      <c r="C4715" s="526" t="s">
        <v>269</v>
      </c>
      <c r="D4715" s="527"/>
      <c r="E4715" s="417" t="str">
        <f>'A IV.A'!$C$144</f>
        <v>M2</v>
      </c>
      <c r="F4715" s="58">
        <f>ROUND(F4735+F4749+F4761,2)</f>
        <v>0</v>
      </c>
    </row>
    <row r="4716" spans="1:6" ht="12.75" customHeight="1" x14ac:dyDescent="0.2">
      <c r="A4716" s="1" t="s">
        <v>17</v>
      </c>
      <c r="B4716" s="418" t="s">
        <v>162</v>
      </c>
      <c r="C4716" s="419" t="s">
        <v>263</v>
      </c>
      <c r="D4716" s="419" t="s">
        <v>264</v>
      </c>
      <c r="E4716" s="420" t="s">
        <v>265</v>
      </c>
      <c r="F4716" s="57" t="s">
        <v>266</v>
      </c>
    </row>
    <row r="4717" spans="1:6" ht="12.75" customHeight="1" x14ac:dyDescent="0.2">
      <c r="A4717" s="6" t="str">
        <f>'A VII.'!$A$68</f>
        <v>1.59</v>
      </c>
      <c r="B4717" s="421" t="str">
        <f>VLOOKUP(A4717,'A VII.'!$A$10:$D$199,2,FALSE)</f>
        <v>LIXA PARA SUPERFÍCIE/MASSA, GRANA 120</v>
      </c>
      <c r="C4717" s="114">
        <v>0.5</v>
      </c>
      <c r="D4717" s="757" t="str">
        <f>VLOOKUP(A4717,'A VII.'!$A$10:$D$199,3,FALSE)</f>
        <v>UN</v>
      </c>
      <c r="E4717" s="85">
        <f>'A VII.'!$D$68</f>
        <v>0</v>
      </c>
      <c r="F4717" s="59">
        <f>ROUND(C4717*E4717,2)</f>
        <v>0</v>
      </c>
    </row>
    <row r="4718" spans="1:6" ht="12.75" customHeight="1" x14ac:dyDescent="0.2">
      <c r="A4718" s="6" t="str">
        <f>'A VII.'!$A$55</f>
        <v>1.46</v>
      </c>
      <c r="B4718" s="421" t="str">
        <f>VLOOKUP(A4718,'A VII.'!$A$10:$D$199,2,FALSE)</f>
        <v xml:space="preserve">FUNDO PREPARADOR </v>
      </c>
      <c r="C4718" s="114">
        <v>7.0000000000000007E-2</v>
      </c>
      <c r="D4718" s="757" t="str">
        <f>VLOOKUP(A4718,'A VII.'!$A$10:$D$199,3,FALSE)</f>
        <v>L</v>
      </c>
      <c r="E4718" s="85">
        <f>VLOOKUP(A4718,'A VII.'!$A$10:$D$199,4,FALSE)</f>
        <v>0</v>
      </c>
      <c r="F4718" s="59">
        <f t="shared" ref="F4718:F4732" si="290">ROUND(C4718*E4718,2)</f>
        <v>0</v>
      </c>
    </row>
    <row r="4719" spans="1:6" ht="12.75" customHeight="1" x14ac:dyDescent="0.2">
      <c r="A4719" s="6" t="str">
        <f>'A VII.'!$A$112</f>
        <v>1.102</v>
      </c>
      <c r="B4719" s="421" t="str">
        <f>VLOOKUP(A4719,'A VII.'!$A$10:$D$199,2,FALSE)</f>
        <v>TINTA LÁTEX ACRÍLICA - 1ª LINHA</v>
      </c>
      <c r="C4719" s="114">
        <v>0.33</v>
      </c>
      <c r="D4719" s="757" t="str">
        <f>VLOOKUP(A4719,'A VII.'!$A$10:$D$199,3,FALSE)</f>
        <v>L</v>
      </c>
      <c r="E4719" s="85">
        <f>'A VII.'!$D$112</f>
        <v>0</v>
      </c>
      <c r="F4719" s="59">
        <f t="shared" si="290"/>
        <v>0</v>
      </c>
    </row>
    <row r="4720" spans="1:6" ht="12.75" customHeight="1" x14ac:dyDescent="0.2">
      <c r="A4720" s="6"/>
      <c r="B4720" s="421"/>
      <c r="C4720" s="114"/>
      <c r="D4720" s="757"/>
      <c r="E4720" s="85"/>
      <c r="F4720" s="59">
        <f t="shared" si="290"/>
        <v>0</v>
      </c>
    </row>
    <row r="4721" spans="1:6" ht="12.75" customHeight="1" x14ac:dyDescent="0.2">
      <c r="A4721" s="6"/>
      <c r="B4721" s="421"/>
      <c r="C4721" s="114"/>
      <c r="D4721" s="757"/>
      <c r="E4721" s="85"/>
      <c r="F4721" s="59">
        <f t="shared" si="290"/>
        <v>0</v>
      </c>
    </row>
    <row r="4722" spans="1:6" ht="12.75" customHeight="1" x14ac:dyDescent="0.2">
      <c r="A4722" s="6"/>
      <c r="B4722" s="421"/>
      <c r="C4722" s="114"/>
      <c r="D4722" s="757"/>
      <c r="E4722" s="85"/>
      <c r="F4722" s="59">
        <f t="shared" si="290"/>
        <v>0</v>
      </c>
    </row>
    <row r="4723" spans="1:6" ht="12.75" customHeight="1" x14ac:dyDescent="0.2">
      <c r="A4723" s="6"/>
      <c r="B4723" s="421"/>
      <c r="C4723" s="114"/>
      <c r="D4723" s="757"/>
      <c r="E4723" s="85"/>
      <c r="F4723" s="59">
        <f t="shared" si="290"/>
        <v>0</v>
      </c>
    </row>
    <row r="4724" spans="1:6" ht="12.75" customHeight="1" x14ac:dyDescent="0.2">
      <c r="A4724" s="6"/>
      <c r="B4724" s="421"/>
      <c r="C4724" s="114"/>
      <c r="D4724" s="757"/>
      <c r="E4724" s="85"/>
      <c r="F4724" s="59">
        <f t="shared" si="290"/>
        <v>0</v>
      </c>
    </row>
    <row r="4725" spans="1:6" ht="12.75" customHeight="1" x14ac:dyDescent="0.2">
      <c r="A4725" s="6"/>
      <c r="B4725" s="421"/>
      <c r="C4725" s="114"/>
      <c r="D4725" s="757"/>
      <c r="E4725" s="85"/>
      <c r="F4725" s="59">
        <f t="shared" si="290"/>
        <v>0</v>
      </c>
    </row>
    <row r="4726" spans="1:6" ht="12.75" customHeight="1" x14ac:dyDescent="0.2">
      <c r="A4726" s="6"/>
      <c r="B4726" s="421"/>
      <c r="C4726" s="114"/>
      <c r="D4726" s="757"/>
      <c r="E4726" s="85"/>
      <c r="F4726" s="59">
        <f t="shared" si="290"/>
        <v>0</v>
      </c>
    </row>
    <row r="4727" spans="1:6" ht="12.75" customHeight="1" x14ac:dyDescent="0.2">
      <c r="A4727" s="6"/>
      <c r="B4727" s="421"/>
      <c r="C4727" s="114"/>
      <c r="D4727" s="757"/>
      <c r="E4727" s="85"/>
      <c r="F4727" s="59">
        <f t="shared" si="290"/>
        <v>0</v>
      </c>
    </row>
    <row r="4728" spans="1:6" ht="12.75" customHeight="1" x14ac:dyDescent="0.2">
      <c r="A4728" s="6"/>
      <c r="B4728" s="421"/>
      <c r="C4728" s="114"/>
      <c r="D4728" s="758"/>
      <c r="E4728" s="85"/>
      <c r="F4728" s="59">
        <f t="shared" si="290"/>
        <v>0</v>
      </c>
    </row>
    <row r="4729" spans="1:6" ht="12.75" customHeight="1" x14ac:dyDescent="0.2">
      <c r="A4729" s="6"/>
      <c r="B4729" s="421"/>
      <c r="C4729" s="114"/>
      <c r="D4729" s="758"/>
      <c r="E4729" s="85"/>
      <c r="F4729" s="59">
        <f t="shared" si="290"/>
        <v>0</v>
      </c>
    </row>
    <row r="4730" spans="1:6" ht="12.75" customHeight="1" x14ac:dyDescent="0.2">
      <c r="A4730" s="6"/>
      <c r="B4730" s="421"/>
      <c r="C4730" s="114"/>
      <c r="D4730" s="758"/>
      <c r="E4730" s="85"/>
      <c r="F4730" s="59">
        <f t="shared" si="290"/>
        <v>0</v>
      </c>
    </row>
    <row r="4731" spans="1:6" ht="12.75" customHeight="1" x14ac:dyDescent="0.2">
      <c r="A4731" s="3"/>
      <c r="C4731" s="114"/>
      <c r="D4731" s="759"/>
      <c r="E4731" s="85"/>
      <c r="F4731" s="59">
        <f t="shared" si="290"/>
        <v>0</v>
      </c>
    </row>
    <row r="4732" spans="1:6" ht="12.75" customHeight="1" x14ac:dyDescent="0.2">
      <c r="A4732" s="3"/>
      <c r="C4732" s="114"/>
      <c r="D4732" s="759"/>
      <c r="E4732" s="85"/>
      <c r="F4732" s="59">
        <f t="shared" si="290"/>
        <v>0</v>
      </c>
    </row>
    <row r="4733" spans="1:6" ht="12.75" customHeight="1" x14ac:dyDescent="0.2">
      <c r="A4733" s="3"/>
      <c r="B4733" s="86" t="s">
        <v>258</v>
      </c>
      <c r="C4733" s="87"/>
      <c r="D4733" s="88"/>
      <c r="E4733" s="89"/>
      <c r="F4733" s="90">
        <f>SUM(F4717:F4732)</f>
        <v>0</v>
      </c>
    </row>
    <row r="4734" spans="1:6" ht="12.75" customHeight="1" x14ac:dyDescent="0.2">
      <c r="A4734" s="3"/>
      <c r="B4734" s="91" t="s">
        <v>70</v>
      </c>
      <c r="C4734" s="15">
        <f>$D$8</f>
        <v>0</v>
      </c>
      <c r="D4734" s="92"/>
      <c r="E4734" s="93"/>
      <c r="F4734" s="94">
        <f>ROUND(F4733*C4734,2)</f>
        <v>0</v>
      </c>
    </row>
    <row r="4735" spans="1:6" ht="12.75" customHeight="1" x14ac:dyDescent="0.2">
      <c r="A4735" s="95"/>
      <c r="B4735" s="424" t="s">
        <v>259</v>
      </c>
      <c r="C4735" s="425"/>
      <c r="D4735" s="425"/>
      <c r="E4735" s="426"/>
      <c r="F4735" s="96">
        <f>F4733+F4734</f>
        <v>0</v>
      </c>
    </row>
    <row r="4736" spans="1:6" ht="12.75" customHeight="1" x14ac:dyDescent="0.2">
      <c r="A4736" s="1" t="s">
        <v>5</v>
      </c>
      <c r="B4736" s="418" t="s">
        <v>267</v>
      </c>
      <c r="C4736" s="419" t="s">
        <v>263</v>
      </c>
      <c r="D4736" s="419" t="s">
        <v>264</v>
      </c>
      <c r="E4736" s="420" t="s">
        <v>265</v>
      </c>
      <c r="F4736" s="57" t="s">
        <v>266</v>
      </c>
    </row>
    <row r="4737" spans="1:6" ht="12.75" customHeight="1" x14ac:dyDescent="0.2">
      <c r="A4737" s="3" t="str">
        <f>'A VII.'!$A$162</f>
        <v>2.20</v>
      </c>
      <c r="B4737" s="421" t="str">
        <f>VLOOKUP(A4737,'A VII.'!$A$10:$D$199,2,FALSE)</f>
        <v>MÁQUINA DE LAVAGEM A PRESSÃO, TIPO VAP (ÁGUA FRIA, PRESSÃO 1700PSI) - CHP</v>
      </c>
      <c r="C4737" s="114">
        <v>0.1</v>
      </c>
      <c r="D4737" s="757" t="str">
        <f>VLOOKUP(A4737,'A VII.'!$A$10:$D$199,3,FALSE)</f>
        <v>CHP</v>
      </c>
      <c r="E4737" s="85">
        <f>'A VII.'!$D$162</f>
        <v>0</v>
      </c>
      <c r="F4737" s="59">
        <f t="shared" ref="F4737:F4746" si="291">ROUND(C4737*E4737,2)</f>
        <v>0</v>
      </c>
    </row>
    <row r="4738" spans="1:6" ht="12.75" customHeight="1" x14ac:dyDescent="0.2">
      <c r="A4738" s="3"/>
      <c r="C4738" s="114"/>
      <c r="D4738" s="759"/>
      <c r="E4738" s="85"/>
      <c r="F4738" s="59">
        <f t="shared" si="291"/>
        <v>0</v>
      </c>
    </row>
    <row r="4739" spans="1:6" ht="12.75" customHeight="1" x14ac:dyDescent="0.2">
      <c r="A4739" s="3"/>
      <c r="C4739" s="114"/>
      <c r="D4739" s="759"/>
      <c r="E4739" s="85"/>
      <c r="F4739" s="59">
        <f t="shared" si="291"/>
        <v>0</v>
      </c>
    </row>
    <row r="4740" spans="1:6" ht="12.75" customHeight="1" x14ac:dyDescent="0.2">
      <c r="A4740" s="3"/>
      <c r="C4740" s="114"/>
      <c r="D4740" s="759"/>
      <c r="E4740" s="85"/>
      <c r="F4740" s="59">
        <f t="shared" si="291"/>
        <v>0</v>
      </c>
    </row>
    <row r="4741" spans="1:6" ht="12.75" customHeight="1" x14ac:dyDescent="0.2">
      <c r="A4741" s="3"/>
      <c r="C4741" s="114"/>
      <c r="D4741" s="759"/>
      <c r="E4741" s="85"/>
      <c r="F4741" s="59">
        <f t="shared" si="291"/>
        <v>0</v>
      </c>
    </row>
    <row r="4742" spans="1:6" ht="12.75" customHeight="1" x14ac:dyDescent="0.2">
      <c r="A4742" s="3"/>
      <c r="C4742" s="114"/>
      <c r="D4742" s="759"/>
      <c r="E4742" s="85"/>
      <c r="F4742" s="59">
        <f t="shared" si="291"/>
        <v>0</v>
      </c>
    </row>
    <row r="4743" spans="1:6" ht="12.75" customHeight="1" x14ac:dyDescent="0.2">
      <c r="A4743" s="3"/>
      <c r="C4743" s="114"/>
      <c r="D4743" s="759"/>
      <c r="E4743" s="85"/>
      <c r="F4743" s="59">
        <f t="shared" si="291"/>
        <v>0</v>
      </c>
    </row>
    <row r="4744" spans="1:6" ht="12.75" customHeight="1" x14ac:dyDescent="0.2">
      <c r="A4744" s="3"/>
      <c r="C4744" s="114"/>
      <c r="D4744" s="759"/>
      <c r="E4744" s="85"/>
      <c r="F4744" s="59">
        <f t="shared" si="291"/>
        <v>0</v>
      </c>
    </row>
    <row r="4745" spans="1:6" ht="12.75" customHeight="1" x14ac:dyDescent="0.2">
      <c r="A4745" s="3"/>
      <c r="C4745" s="114"/>
      <c r="D4745" s="759"/>
      <c r="E4745" s="85"/>
      <c r="F4745" s="59">
        <f t="shared" si="291"/>
        <v>0</v>
      </c>
    </row>
    <row r="4746" spans="1:6" ht="12.75" customHeight="1" x14ac:dyDescent="0.2">
      <c r="A4746" s="3"/>
      <c r="C4746" s="114"/>
      <c r="D4746" s="759"/>
      <c r="E4746" s="85"/>
      <c r="F4746" s="59">
        <f t="shared" si="291"/>
        <v>0</v>
      </c>
    </row>
    <row r="4747" spans="1:6" ht="12.75" customHeight="1" x14ac:dyDescent="0.2">
      <c r="A4747" s="3"/>
      <c r="B4747" s="86" t="s">
        <v>258</v>
      </c>
      <c r="C4747" s="87"/>
      <c r="D4747" s="88"/>
      <c r="E4747" s="89"/>
      <c r="F4747" s="90">
        <f>SUM(F4737:F4746)</f>
        <v>0</v>
      </c>
    </row>
    <row r="4748" spans="1:6" ht="12.75" customHeight="1" x14ac:dyDescent="0.2">
      <c r="A4748" s="3"/>
      <c r="B4748" s="91" t="s">
        <v>70</v>
      </c>
      <c r="C4748" s="15">
        <f>$D$8</f>
        <v>0</v>
      </c>
      <c r="D4748" s="92"/>
      <c r="E4748" s="93"/>
      <c r="F4748" s="94">
        <f>ROUND(C4748*F4747,2)</f>
        <v>0</v>
      </c>
    </row>
    <row r="4749" spans="1:6" ht="12.75" customHeight="1" x14ac:dyDescent="0.2">
      <c r="A4749" s="95"/>
      <c r="B4749" s="424" t="s">
        <v>260</v>
      </c>
      <c r="C4749" s="425"/>
      <c r="D4749" s="425"/>
      <c r="E4749" s="426"/>
      <c r="F4749" s="96">
        <f>F4747+F4748</f>
        <v>0</v>
      </c>
    </row>
    <row r="4750" spans="1:6" ht="12.75" customHeight="1" x14ac:dyDescent="0.2">
      <c r="A4750" s="97" t="s">
        <v>54</v>
      </c>
      <c r="B4750" s="427" t="s">
        <v>268</v>
      </c>
      <c r="C4750" s="428" t="s">
        <v>263</v>
      </c>
      <c r="D4750" s="429" t="s">
        <v>264</v>
      </c>
      <c r="E4750" s="430" t="s">
        <v>265</v>
      </c>
      <c r="F4750" s="57" t="s">
        <v>266</v>
      </c>
    </row>
    <row r="4751" spans="1:6" ht="12.75" customHeight="1" x14ac:dyDescent="0.2">
      <c r="A4751" s="3" t="str">
        <f>'A VII.'!$A$193</f>
        <v>3.13</v>
      </c>
      <c r="B4751" s="421" t="str">
        <f>VLOOKUP(A4751,'A VII.'!$A$10:$D$199,2,FALSE)</f>
        <v>PINTOR COM ENCARGOS COMPLEMENTARES</v>
      </c>
      <c r="C4751" s="114">
        <f>0.187+((0.039*0.07)/0.16)+0.2</f>
        <v>0.40406249999999999</v>
      </c>
      <c r="D4751" s="757" t="str">
        <f>VLOOKUP(A4751,'A VII.'!$A$10:$D$199,3,FALSE)</f>
        <v>H</v>
      </c>
      <c r="E4751" s="85">
        <f>'A VII.'!$D$193</f>
        <v>0</v>
      </c>
      <c r="F4751" s="59">
        <f t="shared" ref="F4751:F4757" si="292">ROUND(C4751*E4751,2)</f>
        <v>0</v>
      </c>
    </row>
    <row r="4752" spans="1:6" ht="12.75" customHeight="1" x14ac:dyDescent="0.2">
      <c r="A4752" s="3" t="str">
        <f>'A VII.'!$A$196</f>
        <v>3.16</v>
      </c>
      <c r="B4752" s="421" t="str">
        <f>VLOOKUP(A4752,'A VII.'!$A$10:$D$199,2,FALSE)</f>
        <v>SERVENTE COM ENCARGOS COMPLEMENTARES</v>
      </c>
      <c r="C4752" s="114">
        <f>0.069+((0.014*0.07)/0.16)+0.1</f>
        <v>0.17512500000000003</v>
      </c>
      <c r="D4752" s="757" t="str">
        <f>VLOOKUP(A4752,'A VII.'!$A$10:$D$199,3,FALSE)</f>
        <v>H</v>
      </c>
      <c r="E4752" s="85">
        <f>'A VII.'!$D$196</f>
        <v>0</v>
      </c>
      <c r="F4752" s="59">
        <f t="shared" si="292"/>
        <v>0</v>
      </c>
    </row>
    <row r="4753" spans="1:6" ht="12.75" customHeight="1" x14ac:dyDescent="0.2">
      <c r="A4753" s="3"/>
      <c r="C4753" s="114"/>
      <c r="D4753" s="759"/>
      <c r="E4753" s="85"/>
      <c r="F4753" s="59">
        <f t="shared" si="292"/>
        <v>0</v>
      </c>
    </row>
    <row r="4754" spans="1:6" ht="12.75" customHeight="1" x14ac:dyDescent="0.2">
      <c r="A4754" s="3"/>
      <c r="C4754" s="114"/>
      <c r="D4754" s="759"/>
      <c r="E4754" s="85"/>
      <c r="F4754" s="59">
        <f t="shared" si="292"/>
        <v>0</v>
      </c>
    </row>
    <row r="4755" spans="1:6" ht="12.75" customHeight="1" x14ac:dyDescent="0.2">
      <c r="A4755" s="3"/>
      <c r="C4755" s="114"/>
      <c r="D4755" s="759"/>
      <c r="E4755" s="85"/>
      <c r="F4755" s="59">
        <f t="shared" si="292"/>
        <v>0</v>
      </c>
    </row>
    <row r="4756" spans="1:6" ht="12.75" customHeight="1" x14ac:dyDescent="0.2">
      <c r="A4756" s="3"/>
      <c r="C4756" s="114"/>
      <c r="D4756" s="759"/>
      <c r="E4756" s="85"/>
      <c r="F4756" s="59">
        <f t="shared" si="292"/>
        <v>0</v>
      </c>
    </row>
    <row r="4757" spans="1:6" ht="12.75" customHeight="1" x14ac:dyDescent="0.2">
      <c r="A4757" s="3"/>
      <c r="C4757" s="114"/>
      <c r="D4757" s="759"/>
      <c r="E4757" s="85"/>
      <c r="F4757" s="59">
        <f t="shared" si="292"/>
        <v>0</v>
      </c>
    </row>
    <row r="4758" spans="1:6" ht="12.75" customHeight="1" x14ac:dyDescent="0.2">
      <c r="A4758" s="3"/>
      <c r="B4758" s="86" t="s">
        <v>258</v>
      </c>
      <c r="C4758" s="87"/>
      <c r="D4758" s="88"/>
      <c r="E4758" s="89"/>
      <c r="F4758" s="90">
        <f>SUM(F4751:F4757)</f>
        <v>0</v>
      </c>
    </row>
    <row r="4759" spans="1:6" ht="12.75" customHeight="1" x14ac:dyDescent="0.2">
      <c r="A4759" s="3"/>
      <c r="B4759" s="91" t="s">
        <v>261</v>
      </c>
      <c r="C4759" s="15">
        <f>'A IX.'!$C$45</f>
        <v>0</v>
      </c>
      <c r="D4759" s="92"/>
      <c r="E4759" s="93"/>
      <c r="F4759" s="94">
        <f>ROUND(F4758*C4759,2)</f>
        <v>0</v>
      </c>
    </row>
    <row r="4760" spans="1:6" ht="12.75" customHeight="1" x14ac:dyDescent="0.2">
      <c r="A4760" s="3"/>
      <c r="B4760" s="91" t="s">
        <v>70</v>
      </c>
      <c r="C4760" s="15">
        <f>$D$8</f>
        <v>0</v>
      </c>
      <c r="D4760" s="92"/>
      <c r="E4760" s="93"/>
      <c r="F4760" s="94">
        <f>ROUND(SUM(F4758:F4759)*C4760,2)</f>
        <v>0</v>
      </c>
    </row>
    <row r="4761" spans="1:6" ht="12.75" customHeight="1" thickBot="1" x14ac:dyDescent="0.25">
      <c r="A4761" s="98"/>
      <c r="B4761" s="99" t="s">
        <v>262</v>
      </c>
      <c r="C4761" s="100"/>
      <c r="D4761" s="100"/>
      <c r="E4761" s="101"/>
      <c r="F4761" s="102">
        <f>SUM(F4758:F4760)</f>
        <v>0</v>
      </c>
    </row>
    <row r="4762" spans="1:6" ht="12.75" customHeight="1" thickBot="1" x14ac:dyDescent="0.25">
      <c r="A4762" s="252"/>
      <c r="B4762" s="253"/>
      <c r="C4762" s="254"/>
      <c r="D4762" s="254"/>
      <c r="E4762" s="255"/>
      <c r="F4762" s="256"/>
    </row>
    <row r="4763" spans="1:6" ht="30" customHeight="1" x14ac:dyDescent="0.2">
      <c r="A4763" s="5" t="str">
        <f>'A IV.A'!$A$145</f>
        <v>6.8</v>
      </c>
      <c r="B4763" s="416" t="str">
        <f>'A IV.A'!$B$145</f>
        <v>PINTURA EM ESMALTE SINTÉTICO SOBRE FUNDO ANTICORROSIVO - 02 DEMÃOS</v>
      </c>
      <c r="C4763" s="526" t="s">
        <v>269</v>
      </c>
      <c r="D4763" s="527"/>
      <c r="E4763" s="417" t="str">
        <f>'A IV.A'!$C$145</f>
        <v>M2</v>
      </c>
      <c r="F4763" s="58">
        <f>ROUND(F4783+F4797+F4809,2)</f>
        <v>0</v>
      </c>
    </row>
    <row r="4764" spans="1:6" ht="12.75" customHeight="1" x14ac:dyDescent="0.2">
      <c r="A4764" s="1" t="s">
        <v>17</v>
      </c>
      <c r="B4764" s="418" t="s">
        <v>162</v>
      </c>
      <c r="C4764" s="419" t="s">
        <v>263</v>
      </c>
      <c r="D4764" s="419" t="s">
        <v>264</v>
      </c>
      <c r="E4764" s="420" t="s">
        <v>265</v>
      </c>
      <c r="F4764" s="57" t="s">
        <v>266</v>
      </c>
    </row>
    <row r="4765" spans="1:6" ht="12.75" customHeight="1" x14ac:dyDescent="0.2">
      <c r="A4765" s="6" t="str">
        <f>'A VII.'!$A$14</f>
        <v>1.5</v>
      </c>
      <c r="B4765" s="421" t="str">
        <f>VLOOKUP(A4765,'A VII.'!$A$10:$D$199,2,FALSE)</f>
        <v>SOLVENTE DILUENTE A BASE DE AGUARRÁS</v>
      </c>
      <c r="C4765" s="114">
        <v>0.03</v>
      </c>
      <c r="D4765" s="757" t="str">
        <f>VLOOKUP(A4765,'A VII.'!$A$10:$D$199,3,FALSE)</f>
        <v>L</v>
      </c>
      <c r="E4765" s="85">
        <f>'A VII.'!$D$14</f>
        <v>0</v>
      </c>
      <c r="F4765" s="59">
        <f>ROUND(C4765*E4765,2)</f>
        <v>0</v>
      </c>
    </row>
    <row r="4766" spans="1:6" ht="12.75" customHeight="1" x14ac:dyDescent="0.2">
      <c r="A4766" s="6" t="str">
        <f>'A VII.'!$A$110</f>
        <v>1.100</v>
      </c>
      <c r="B4766" s="421" t="str">
        <f>VLOOKUP(A4766,'A VII.'!$A$10:$D$199,2,FALSE)</f>
        <v xml:space="preserve">TINTA ESMALTE SINTETICO PREMIUM </v>
      </c>
      <c r="C4766" s="114">
        <v>0.25</v>
      </c>
      <c r="D4766" s="757" t="str">
        <f>VLOOKUP(A4766,'A VII.'!$A$10:$D$199,3,FALSE)</f>
        <v>L</v>
      </c>
      <c r="E4766" s="85">
        <f>'A VII.'!D110</f>
        <v>0</v>
      </c>
      <c r="F4766" s="59">
        <f t="shared" ref="F4766:F4780" si="293">ROUND(C4766*E4766,2)</f>
        <v>0</v>
      </c>
    </row>
    <row r="4767" spans="1:6" ht="12.75" customHeight="1" x14ac:dyDescent="0.2">
      <c r="A4767" s="6" t="str">
        <f>'A VII.'!$A$69</f>
        <v>1.60</v>
      </c>
      <c r="B4767" s="421" t="str">
        <f>VLOOKUP(A4767,'A VII.'!$A$10:$D$199,2,FALSE)</f>
        <v>LIXA PARA SUPERFICIE METÁLICA, GRANA 150</v>
      </c>
      <c r="C4767" s="114">
        <v>0.5</v>
      </c>
      <c r="D4767" s="757" t="str">
        <f>VLOOKUP(A4767,'A VII.'!$A$10:$D$199,3,FALSE)</f>
        <v>UN</v>
      </c>
      <c r="E4767" s="85">
        <f>'A VII.'!$D$69</f>
        <v>0</v>
      </c>
      <c r="F4767" s="59">
        <f t="shared" si="293"/>
        <v>0</v>
      </c>
    </row>
    <row r="4768" spans="1:6" ht="12.75" customHeight="1" x14ac:dyDescent="0.2">
      <c r="A4768" s="6" t="str">
        <f>'A VII.'!$A$56</f>
        <v>1.47</v>
      </c>
      <c r="B4768" s="421" t="str">
        <f>'A VII.'!B56</f>
        <v>FUNDO PREPARADOR BASE ÁGUA PARA MADEIRA E METAIS</v>
      </c>
      <c r="C4768" s="114">
        <v>0.12</v>
      </c>
      <c r="D4768" s="757" t="str">
        <f>'A VII.'!C56</f>
        <v>L</v>
      </c>
      <c r="E4768" s="85">
        <f>'A VII.'!D56</f>
        <v>0</v>
      </c>
      <c r="F4768" s="59">
        <f t="shared" si="293"/>
        <v>0</v>
      </c>
    </row>
    <row r="4769" spans="1:6" ht="12.75" customHeight="1" x14ac:dyDescent="0.2">
      <c r="A4769" s="6"/>
      <c r="B4769" s="421"/>
      <c r="C4769" s="114"/>
      <c r="D4769" s="757"/>
      <c r="E4769" s="85"/>
      <c r="F4769" s="59">
        <f t="shared" si="293"/>
        <v>0</v>
      </c>
    </row>
    <row r="4770" spans="1:6" ht="12.75" customHeight="1" x14ac:dyDescent="0.2">
      <c r="A4770" s="6"/>
      <c r="B4770" s="421"/>
      <c r="C4770" s="114"/>
      <c r="D4770" s="757"/>
      <c r="E4770" s="85"/>
      <c r="F4770" s="59">
        <f t="shared" si="293"/>
        <v>0</v>
      </c>
    </row>
    <row r="4771" spans="1:6" ht="12.75" customHeight="1" x14ac:dyDescent="0.2">
      <c r="A4771" s="6"/>
      <c r="B4771" s="421"/>
      <c r="C4771" s="114"/>
      <c r="D4771" s="757"/>
      <c r="E4771" s="85"/>
      <c r="F4771" s="59">
        <f t="shared" si="293"/>
        <v>0</v>
      </c>
    </row>
    <row r="4772" spans="1:6" ht="12.75" customHeight="1" x14ac:dyDescent="0.2">
      <c r="A4772" s="6"/>
      <c r="B4772" s="421"/>
      <c r="C4772" s="114"/>
      <c r="D4772" s="757"/>
      <c r="E4772" s="85"/>
      <c r="F4772" s="59">
        <f t="shared" si="293"/>
        <v>0</v>
      </c>
    </row>
    <row r="4773" spans="1:6" ht="12.75" customHeight="1" x14ac:dyDescent="0.2">
      <c r="A4773" s="6"/>
      <c r="B4773" s="421"/>
      <c r="C4773" s="114"/>
      <c r="D4773" s="757"/>
      <c r="E4773" s="85"/>
      <c r="F4773" s="59">
        <f t="shared" si="293"/>
        <v>0</v>
      </c>
    </row>
    <row r="4774" spans="1:6" ht="12.75" customHeight="1" x14ac:dyDescent="0.2">
      <c r="A4774" s="6"/>
      <c r="B4774" s="421"/>
      <c r="C4774" s="114"/>
      <c r="D4774" s="757"/>
      <c r="E4774" s="85"/>
      <c r="F4774" s="59">
        <f t="shared" si="293"/>
        <v>0</v>
      </c>
    </row>
    <row r="4775" spans="1:6" ht="12.75" customHeight="1" x14ac:dyDescent="0.2">
      <c r="A4775" s="6"/>
      <c r="B4775" s="421"/>
      <c r="C4775" s="114"/>
      <c r="D4775" s="757"/>
      <c r="E4775" s="85"/>
      <c r="F4775" s="59">
        <f t="shared" si="293"/>
        <v>0</v>
      </c>
    </row>
    <row r="4776" spans="1:6" ht="12.75" customHeight="1" x14ac:dyDescent="0.2">
      <c r="A4776" s="6"/>
      <c r="B4776" s="421"/>
      <c r="C4776" s="114"/>
      <c r="D4776" s="758"/>
      <c r="E4776" s="85"/>
      <c r="F4776" s="59">
        <f t="shared" si="293"/>
        <v>0</v>
      </c>
    </row>
    <row r="4777" spans="1:6" ht="12.75" customHeight="1" x14ac:dyDescent="0.2">
      <c r="A4777" s="6"/>
      <c r="B4777" s="421"/>
      <c r="C4777" s="114"/>
      <c r="D4777" s="758"/>
      <c r="E4777" s="85"/>
      <c r="F4777" s="59">
        <f t="shared" si="293"/>
        <v>0</v>
      </c>
    </row>
    <row r="4778" spans="1:6" ht="12.75" customHeight="1" x14ac:dyDescent="0.2">
      <c r="A4778" s="6"/>
      <c r="B4778" s="421"/>
      <c r="C4778" s="114"/>
      <c r="D4778" s="758"/>
      <c r="E4778" s="85"/>
      <c r="F4778" s="59">
        <f t="shared" si="293"/>
        <v>0</v>
      </c>
    </row>
    <row r="4779" spans="1:6" ht="12.75" customHeight="1" x14ac:dyDescent="0.2">
      <c r="A4779" s="3"/>
      <c r="C4779" s="114"/>
      <c r="D4779" s="759"/>
      <c r="E4779" s="85"/>
      <c r="F4779" s="59">
        <f t="shared" si="293"/>
        <v>0</v>
      </c>
    </row>
    <row r="4780" spans="1:6" ht="12.75" customHeight="1" x14ac:dyDescent="0.2">
      <c r="A4780" s="3"/>
      <c r="C4780" s="114"/>
      <c r="D4780" s="759"/>
      <c r="E4780" s="85"/>
      <c r="F4780" s="59">
        <f t="shared" si="293"/>
        <v>0</v>
      </c>
    </row>
    <row r="4781" spans="1:6" ht="12.75" customHeight="1" x14ac:dyDescent="0.2">
      <c r="A4781" s="3"/>
      <c r="B4781" s="86" t="s">
        <v>258</v>
      </c>
      <c r="C4781" s="87"/>
      <c r="D4781" s="88"/>
      <c r="E4781" s="89"/>
      <c r="F4781" s="90">
        <f>SUM(F4765:F4780)</f>
        <v>0</v>
      </c>
    </row>
    <row r="4782" spans="1:6" ht="12.75" customHeight="1" x14ac:dyDescent="0.2">
      <c r="A4782" s="3"/>
      <c r="B4782" s="91" t="s">
        <v>70</v>
      </c>
      <c r="C4782" s="15">
        <f>$D$8</f>
        <v>0</v>
      </c>
      <c r="D4782" s="92"/>
      <c r="E4782" s="93"/>
      <c r="F4782" s="94">
        <f>ROUND(F4781*C4782,2)</f>
        <v>0</v>
      </c>
    </row>
    <row r="4783" spans="1:6" ht="12.75" customHeight="1" x14ac:dyDescent="0.2">
      <c r="A4783" s="95"/>
      <c r="B4783" s="424" t="s">
        <v>259</v>
      </c>
      <c r="C4783" s="425"/>
      <c r="D4783" s="425"/>
      <c r="E4783" s="426"/>
      <c r="F4783" s="96">
        <f>F4781+F4782</f>
        <v>0</v>
      </c>
    </row>
    <row r="4784" spans="1:6" ht="12.75" customHeight="1" x14ac:dyDescent="0.2">
      <c r="A4784" s="1" t="s">
        <v>5</v>
      </c>
      <c r="B4784" s="418" t="s">
        <v>267</v>
      </c>
      <c r="C4784" s="419" t="s">
        <v>263</v>
      </c>
      <c r="D4784" s="419" t="s">
        <v>264</v>
      </c>
      <c r="E4784" s="420" t="s">
        <v>265</v>
      </c>
      <c r="F4784" s="57" t="s">
        <v>266</v>
      </c>
    </row>
    <row r="4785" spans="1:6" ht="12.75" customHeight="1" x14ac:dyDescent="0.2">
      <c r="A4785" s="3"/>
      <c r="B4785" s="71"/>
      <c r="C4785" s="114"/>
      <c r="D4785" s="759"/>
      <c r="E4785" s="85"/>
      <c r="F4785" s="59">
        <f t="shared" ref="F4785:F4794" si="294">ROUND(C4785*E4785,2)</f>
        <v>0</v>
      </c>
    </row>
    <row r="4786" spans="1:6" ht="12.75" customHeight="1" x14ac:dyDescent="0.2">
      <c r="A4786" s="3"/>
      <c r="C4786" s="114"/>
      <c r="D4786" s="759"/>
      <c r="E4786" s="85"/>
      <c r="F4786" s="59">
        <f t="shared" si="294"/>
        <v>0</v>
      </c>
    </row>
    <row r="4787" spans="1:6" ht="12.75" customHeight="1" x14ac:dyDescent="0.2">
      <c r="A4787" s="3"/>
      <c r="C4787" s="114"/>
      <c r="D4787" s="759"/>
      <c r="E4787" s="85"/>
      <c r="F4787" s="59">
        <f t="shared" si="294"/>
        <v>0</v>
      </c>
    </row>
    <row r="4788" spans="1:6" ht="12.75" customHeight="1" x14ac:dyDescent="0.2">
      <c r="A4788" s="3"/>
      <c r="C4788" s="114"/>
      <c r="D4788" s="759"/>
      <c r="E4788" s="85"/>
      <c r="F4788" s="59">
        <f t="shared" si="294"/>
        <v>0</v>
      </c>
    </row>
    <row r="4789" spans="1:6" ht="12.75" customHeight="1" x14ac:dyDescent="0.2">
      <c r="A4789" s="3"/>
      <c r="C4789" s="114"/>
      <c r="D4789" s="759"/>
      <c r="E4789" s="85"/>
      <c r="F4789" s="59">
        <f t="shared" si="294"/>
        <v>0</v>
      </c>
    </row>
    <row r="4790" spans="1:6" ht="12.75" customHeight="1" x14ac:dyDescent="0.2">
      <c r="A4790" s="3"/>
      <c r="C4790" s="114"/>
      <c r="D4790" s="759"/>
      <c r="E4790" s="85"/>
      <c r="F4790" s="59">
        <f t="shared" si="294"/>
        <v>0</v>
      </c>
    </row>
    <row r="4791" spans="1:6" ht="12.75" customHeight="1" x14ac:dyDescent="0.2">
      <c r="A4791" s="3"/>
      <c r="C4791" s="114"/>
      <c r="D4791" s="759"/>
      <c r="E4791" s="85"/>
      <c r="F4791" s="59">
        <f t="shared" si="294"/>
        <v>0</v>
      </c>
    </row>
    <row r="4792" spans="1:6" ht="12.75" customHeight="1" x14ac:dyDescent="0.2">
      <c r="A4792" s="3"/>
      <c r="C4792" s="114"/>
      <c r="D4792" s="759"/>
      <c r="E4792" s="85"/>
      <c r="F4792" s="59">
        <f t="shared" si="294"/>
        <v>0</v>
      </c>
    </row>
    <row r="4793" spans="1:6" ht="12.75" customHeight="1" x14ac:dyDescent="0.2">
      <c r="A4793" s="3"/>
      <c r="C4793" s="114"/>
      <c r="D4793" s="759"/>
      <c r="E4793" s="85"/>
      <c r="F4793" s="59">
        <f t="shared" si="294"/>
        <v>0</v>
      </c>
    </row>
    <row r="4794" spans="1:6" ht="12.75" customHeight="1" x14ac:dyDescent="0.2">
      <c r="A4794" s="3"/>
      <c r="C4794" s="114"/>
      <c r="D4794" s="759"/>
      <c r="E4794" s="85"/>
      <c r="F4794" s="59">
        <f t="shared" si="294"/>
        <v>0</v>
      </c>
    </row>
    <row r="4795" spans="1:6" ht="12.75" customHeight="1" x14ac:dyDescent="0.2">
      <c r="A4795" s="3"/>
      <c r="B4795" s="86" t="s">
        <v>258</v>
      </c>
      <c r="C4795" s="87"/>
      <c r="D4795" s="88"/>
      <c r="E4795" s="89"/>
      <c r="F4795" s="90">
        <f>SUM(F4785:F4794)</f>
        <v>0</v>
      </c>
    </row>
    <row r="4796" spans="1:6" ht="12.75" customHeight="1" x14ac:dyDescent="0.2">
      <c r="A4796" s="3"/>
      <c r="B4796" s="91" t="s">
        <v>70</v>
      </c>
      <c r="C4796" s="15">
        <f>$D$8</f>
        <v>0</v>
      </c>
      <c r="D4796" s="92"/>
      <c r="E4796" s="93"/>
      <c r="F4796" s="94">
        <f>ROUND(C4796*F4795,2)</f>
        <v>0</v>
      </c>
    </row>
    <row r="4797" spans="1:6" ht="12.75" customHeight="1" x14ac:dyDescent="0.2">
      <c r="A4797" s="95"/>
      <c r="B4797" s="424" t="s">
        <v>260</v>
      </c>
      <c r="C4797" s="425"/>
      <c r="D4797" s="425"/>
      <c r="E4797" s="426"/>
      <c r="F4797" s="96">
        <f>F4795+F4796</f>
        <v>0</v>
      </c>
    </row>
    <row r="4798" spans="1:6" ht="12.75" customHeight="1" x14ac:dyDescent="0.2">
      <c r="A4798" s="97" t="s">
        <v>54</v>
      </c>
      <c r="B4798" s="427" t="s">
        <v>268</v>
      </c>
      <c r="C4798" s="428" t="s">
        <v>263</v>
      </c>
      <c r="D4798" s="429" t="s">
        <v>264</v>
      </c>
      <c r="E4798" s="430" t="s">
        <v>265</v>
      </c>
      <c r="F4798" s="57" t="s">
        <v>266</v>
      </c>
    </row>
    <row r="4799" spans="1:6" ht="12.75" customHeight="1" x14ac:dyDescent="0.2">
      <c r="A4799" s="3" t="str">
        <f>'A VII.'!$A$181</f>
        <v>3.1</v>
      </c>
      <c r="B4799" s="74" t="s">
        <v>174</v>
      </c>
      <c r="C4799" s="114">
        <v>0.42</v>
      </c>
      <c r="D4799" s="759" t="str">
        <f>VLOOKUP(A4799,'A VII.'!$A$10:$D$199,3,FALSE)</f>
        <v>H</v>
      </c>
      <c r="E4799" s="85">
        <f>'A VII.'!$D$181</f>
        <v>0</v>
      </c>
      <c r="F4799" s="59">
        <f t="shared" ref="F4799:F4805" si="295">ROUND(C4799*E4799,2)</f>
        <v>0</v>
      </c>
    </row>
    <row r="4800" spans="1:6" ht="12.75" customHeight="1" x14ac:dyDescent="0.2">
      <c r="A4800" s="3" t="str">
        <f>'A VII.'!$A$193</f>
        <v>3.13</v>
      </c>
      <c r="B4800" s="74" t="s">
        <v>186</v>
      </c>
      <c r="C4800" s="114">
        <v>0.71</v>
      </c>
      <c r="D4800" s="759" t="str">
        <f>VLOOKUP(A4800,'A VII.'!$A$10:$D$199,3,FALSE)</f>
        <v>H</v>
      </c>
      <c r="E4800" s="85">
        <f>'A VII.'!$D$193</f>
        <v>0</v>
      </c>
      <c r="F4800" s="59">
        <f t="shared" si="295"/>
        <v>0</v>
      </c>
    </row>
    <row r="4801" spans="1:6" ht="12.75" customHeight="1" x14ac:dyDescent="0.2">
      <c r="A4801" s="3"/>
      <c r="C4801" s="114"/>
      <c r="D4801" s="759"/>
      <c r="E4801" s="85"/>
      <c r="F4801" s="59">
        <f t="shared" si="295"/>
        <v>0</v>
      </c>
    </row>
    <row r="4802" spans="1:6" ht="12.75" customHeight="1" x14ac:dyDescent="0.2">
      <c r="A4802" s="3"/>
      <c r="C4802" s="114"/>
      <c r="D4802" s="759"/>
      <c r="E4802" s="85"/>
      <c r="F4802" s="59">
        <f t="shared" si="295"/>
        <v>0</v>
      </c>
    </row>
    <row r="4803" spans="1:6" ht="12.75" customHeight="1" x14ac:dyDescent="0.2">
      <c r="A4803" s="3"/>
      <c r="C4803" s="114"/>
      <c r="D4803" s="759"/>
      <c r="E4803" s="85"/>
      <c r="F4803" s="59">
        <f t="shared" si="295"/>
        <v>0</v>
      </c>
    </row>
    <row r="4804" spans="1:6" ht="12.75" customHeight="1" x14ac:dyDescent="0.2">
      <c r="A4804" s="3"/>
      <c r="C4804" s="114"/>
      <c r="D4804" s="759"/>
      <c r="E4804" s="85"/>
      <c r="F4804" s="59">
        <f t="shared" si="295"/>
        <v>0</v>
      </c>
    </row>
    <row r="4805" spans="1:6" ht="12.75" customHeight="1" x14ac:dyDescent="0.2">
      <c r="A4805" s="3"/>
      <c r="C4805" s="114"/>
      <c r="D4805" s="759"/>
      <c r="E4805" s="85"/>
      <c r="F4805" s="59">
        <f t="shared" si="295"/>
        <v>0</v>
      </c>
    </row>
    <row r="4806" spans="1:6" ht="12.75" customHeight="1" x14ac:dyDescent="0.2">
      <c r="A4806" s="3"/>
      <c r="B4806" s="86" t="s">
        <v>258</v>
      </c>
      <c r="C4806" s="87"/>
      <c r="D4806" s="88"/>
      <c r="E4806" s="89"/>
      <c r="F4806" s="90">
        <f>SUM(F4799:F4805)</f>
        <v>0</v>
      </c>
    </row>
    <row r="4807" spans="1:6" ht="12.75" customHeight="1" x14ac:dyDescent="0.2">
      <c r="A4807" s="3"/>
      <c r="B4807" s="91" t="s">
        <v>261</v>
      </c>
      <c r="C4807" s="15">
        <f>'A IX.'!$C$45</f>
        <v>0</v>
      </c>
      <c r="D4807" s="92"/>
      <c r="E4807" s="93"/>
      <c r="F4807" s="94">
        <f>ROUND(F4806*C4807,2)</f>
        <v>0</v>
      </c>
    </row>
    <row r="4808" spans="1:6" ht="12.75" customHeight="1" x14ac:dyDescent="0.2">
      <c r="A4808" s="3"/>
      <c r="B4808" s="91" t="s">
        <v>70</v>
      </c>
      <c r="C4808" s="15">
        <f>$D$8</f>
        <v>0</v>
      </c>
      <c r="D4808" s="92"/>
      <c r="E4808" s="93"/>
      <c r="F4808" s="94">
        <f>ROUND(SUM(F4806:F4807)*C4808,2)</f>
        <v>0</v>
      </c>
    </row>
    <row r="4809" spans="1:6" ht="12.75" customHeight="1" thickBot="1" x14ac:dyDescent="0.25">
      <c r="A4809" s="98"/>
      <c r="B4809" s="99" t="s">
        <v>262</v>
      </c>
      <c r="C4809" s="100"/>
      <c r="D4809" s="100"/>
      <c r="E4809" s="101"/>
      <c r="F4809" s="102">
        <f>SUM(F4806:F4808)</f>
        <v>0</v>
      </c>
    </row>
    <row r="4810" spans="1:6" ht="12.75" customHeight="1" thickBot="1" x14ac:dyDescent="0.25">
      <c r="A4810" s="81"/>
      <c r="B4810" s="82"/>
      <c r="C4810" s="83"/>
      <c r="D4810" s="83"/>
      <c r="E4810" s="84"/>
      <c r="F4810" s="103"/>
    </row>
    <row r="4811" spans="1:6" ht="30" customHeight="1" x14ac:dyDescent="0.2">
      <c r="A4811" s="5" t="str">
        <f>'A IV.A'!$A$146</f>
        <v>6.9</v>
      </c>
      <c r="B4811" s="416" t="str">
        <f>'A IV.A'!$B$146</f>
        <v>PINTURA DE TUBULAÇÕES ELEVADAS EM ESMALTE SINTÉTICO AZUL FRANÇA SOBRE FUNDO ANTICORROSIVO 2 DEMÃOS</v>
      </c>
      <c r="C4811" s="526" t="s">
        <v>269</v>
      </c>
      <c r="D4811" s="527"/>
      <c r="E4811" s="417" t="str">
        <f>'A IV.A'!$C$146</f>
        <v>M2</v>
      </c>
      <c r="F4811" s="58">
        <f>ROUND(F4831+F4845+F4857,2)</f>
        <v>0</v>
      </c>
    </row>
    <row r="4812" spans="1:6" ht="12.75" customHeight="1" x14ac:dyDescent="0.2">
      <c r="A4812" s="1" t="s">
        <v>17</v>
      </c>
      <c r="B4812" s="418" t="s">
        <v>162</v>
      </c>
      <c r="C4812" s="419" t="s">
        <v>263</v>
      </c>
      <c r="D4812" s="419" t="s">
        <v>264</v>
      </c>
      <c r="E4812" s="420" t="s">
        <v>265</v>
      </c>
      <c r="F4812" s="57" t="s">
        <v>266</v>
      </c>
    </row>
    <row r="4813" spans="1:6" ht="12.75" customHeight="1" x14ac:dyDescent="0.2">
      <c r="A4813" s="6" t="str">
        <f>'A VII.'!$A$14</f>
        <v>1.5</v>
      </c>
      <c r="B4813" s="421" t="str">
        <f>VLOOKUP(A4813,'A VII.'!$A$10:$D$199,2,FALSE)</f>
        <v>SOLVENTE DILUENTE A BASE DE AGUARRÁS</v>
      </c>
      <c r="C4813" s="114">
        <v>0.03</v>
      </c>
      <c r="D4813" s="757" t="str">
        <f>VLOOKUP(A4813,'A VII.'!$A$10:$D$199,3,FALSE)</f>
        <v>L</v>
      </c>
      <c r="E4813" s="85">
        <f>'A VII.'!$D$14</f>
        <v>0</v>
      </c>
      <c r="F4813" s="59">
        <f>ROUND(C4813*E4813,2)</f>
        <v>0</v>
      </c>
    </row>
    <row r="4814" spans="1:6" ht="12.75" customHeight="1" x14ac:dyDescent="0.2">
      <c r="A4814" s="6" t="str">
        <f>'A VII.'!$A$110</f>
        <v>1.100</v>
      </c>
      <c r="B4814" s="421" t="str">
        <f>VLOOKUP(A4814,'A VII.'!$A$10:$D$199,2,FALSE)</f>
        <v xml:space="preserve">TINTA ESMALTE SINTETICO PREMIUM </v>
      </c>
      <c r="C4814" s="114">
        <v>0.25</v>
      </c>
      <c r="D4814" s="757" t="str">
        <f>VLOOKUP(A4814,'A VII.'!$A$10:$D$199,3,FALSE)</f>
        <v>L</v>
      </c>
      <c r="E4814" s="85">
        <f>'A VII.'!D110</f>
        <v>0</v>
      </c>
      <c r="F4814" s="59">
        <f t="shared" ref="F4814:F4828" si="296">ROUND(C4814*E4814,2)</f>
        <v>0</v>
      </c>
    </row>
    <row r="4815" spans="1:6" ht="12.75" customHeight="1" x14ac:dyDescent="0.2">
      <c r="A4815" s="6" t="str">
        <f>'A VII.'!$A$69</f>
        <v>1.60</v>
      </c>
      <c r="B4815" s="421" t="str">
        <f>VLOOKUP(A4815,'A VII.'!$A$10:$D$199,2,FALSE)</f>
        <v>LIXA PARA SUPERFICIE METÁLICA, GRANA 150</v>
      </c>
      <c r="C4815" s="114">
        <v>0.5</v>
      </c>
      <c r="D4815" s="757" t="str">
        <f>VLOOKUP(A4815,'A VII.'!$A$10:$D$199,3,FALSE)</f>
        <v>UN</v>
      </c>
      <c r="E4815" s="85">
        <f>'A VII.'!$D$69</f>
        <v>0</v>
      </c>
      <c r="F4815" s="59">
        <f t="shared" si="296"/>
        <v>0</v>
      </c>
    </row>
    <row r="4816" spans="1:6" ht="12.75" customHeight="1" x14ac:dyDescent="0.2">
      <c r="A4816" s="6" t="str">
        <f>'A VII.'!$A$56</f>
        <v>1.47</v>
      </c>
      <c r="B4816" s="421" t="str">
        <f>'A VII.'!B56</f>
        <v>FUNDO PREPARADOR BASE ÁGUA PARA MADEIRA E METAIS</v>
      </c>
      <c r="C4816" s="114">
        <v>0.12</v>
      </c>
      <c r="D4816" s="757" t="str">
        <f>VLOOKUP(A4816,'A VII.'!$A$10:$D$199,3,FALSE)</f>
        <v>L</v>
      </c>
      <c r="E4816" s="85">
        <f>'A VII.'!D56</f>
        <v>0</v>
      </c>
      <c r="F4816" s="59">
        <f t="shared" si="296"/>
        <v>0</v>
      </c>
    </row>
    <row r="4817" spans="1:6" ht="12.75" customHeight="1" x14ac:dyDescent="0.2">
      <c r="A4817" s="6"/>
      <c r="B4817" s="421"/>
      <c r="C4817" s="114"/>
      <c r="D4817" s="757"/>
      <c r="E4817" s="85"/>
      <c r="F4817" s="59">
        <f t="shared" si="296"/>
        <v>0</v>
      </c>
    </row>
    <row r="4818" spans="1:6" ht="12.75" customHeight="1" x14ac:dyDescent="0.2">
      <c r="A4818" s="6"/>
      <c r="B4818" s="421"/>
      <c r="C4818" s="114"/>
      <c r="D4818" s="757"/>
      <c r="E4818" s="85"/>
      <c r="F4818" s="59">
        <f t="shared" si="296"/>
        <v>0</v>
      </c>
    </row>
    <row r="4819" spans="1:6" ht="12.75" customHeight="1" x14ac:dyDescent="0.2">
      <c r="A4819" s="6"/>
      <c r="B4819" s="421"/>
      <c r="C4819" s="114"/>
      <c r="D4819" s="757"/>
      <c r="E4819" s="85"/>
      <c r="F4819" s="59">
        <f t="shared" si="296"/>
        <v>0</v>
      </c>
    </row>
    <row r="4820" spans="1:6" ht="12.75" customHeight="1" x14ac:dyDescent="0.2">
      <c r="A4820" s="6"/>
      <c r="B4820" s="421"/>
      <c r="C4820" s="114"/>
      <c r="D4820" s="757"/>
      <c r="E4820" s="85"/>
      <c r="F4820" s="59">
        <f t="shared" si="296"/>
        <v>0</v>
      </c>
    </row>
    <row r="4821" spans="1:6" ht="12.75" customHeight="1" x14ac:dyDescent="0.2">
      <c r="A4821" s="6"/>
      <c r="B4821" s="421"/>
      <c r="C4821" s="114"/>
      <c r="D4821" s="757"/>
      <c r="E4821" s="85"/>
      <c r="F4821" s="59">
        <f t="shared" si="296"/>
        <v>0</v>
      </c>
    </row>
    <row r="4822" spans="1:6" ht="12.75" customHeight="1" x14ac:dyDescent="0.2">
      <c r="A4822" s="6"/>
      <c r="B4822" s="421"/>
      <c r="C4822" s="114"/>
      <c r="D4822" s="757"/>
      <c r="E4822" s="85"/>
      <c r="F4822" s="59">
        <f t="shared" si="296"/>
        <v>0</v>
      </c>
    </row>
    <row r="4823" spans="1:6" ht="12.75" customHeight="1" x14ac:dyDescent="0.2">
      <c r="A4823" s="6"/>
      <c r="B4823" s="421"/>
      <c r="C4823" s="114"/>
      <c r="D4823" s="757"/>
      <c r="E4823" s="85"/>
      <c r="F4823" s="59">
        <f t="shared" si="296"/>
        <v>0</v>
      </c>
    </row>
    <row r="4824" spans="1:6" ht="12.75" customHeight="1" x14ac:dyDescent="0.2">
      <c r="A4824" s="6"/>
      <c r="B4824" s="421"/>
      <c r="C4824" s="114"/>
      <c r="D4824" s="758"/>
      <c r="E4824" s="85"/>
      <c r="F4824" s="59">
        <f t="shared" si="296"/>
        <v>0</v>
      </c>
    </row>
    <row r="4825" spans="1:6" ht="12.75" customHeight="1" x14ac:dyDescent="0.2">
      <c r="A4825" s="6"/>
      <c r="B4825" s="421"/>
      <c r="C4825" s="114"/>
      <c r="D4825" s="758"/>
      <c r="E4825" s="85"/>
      <c r="F4825" s="59">
        <f t="shared" si="296"/>
        <v>0</v>
      </c>
    </row>
    <row r="4826" spans="1:6" ht="12.75" customHeight="1" x14ac:dyDescent="0.2">
      <c r="A4826" s="6"/>
      <c r="B4826" s="421"/>
      <c r="C4826" s="114"/>
      <c r="D4826" s="758"/>
      <c r="E4826" s="85"/>
      <c r="F4826" s="59">
        <f t="shared" si="296"/>
        <v>0</v>
      </c>
    </row>
    <row r="4827" spans="1:6" ht="12.75" customHeight="1" x14ac:dyDescent="0.2">
      <c r="A4827" s="3"/>
      <c r="C4827" s="114"/>
      <c r="D4827" s="759"/>
      <c r="E4827" s="85"/>
      <c r="F4827" s="59">
        <f t="shared" si="296"/>
        <v>0</v>
      </c>
    </row>
    <row r="4828" spans="1:6" ht="12.75" customHeight="1" x14ac:dyDescent="0.2">
      <c r="A4828" s="3"/>
      <c r="C4828" s="114"/>
      <c r="D4828" s="759"/>
      <c r="E4828" s="85"/>
      <c r="F4828" s="59">
        <f t="shared" si="296"/>
        <v>0</v>
      </c>
    </row>
    <row r="4829" spans="1:6" ht="12.75" customHeight="1" x14ac:dyDescent="0.2">
      <c r="A4829" s="3"/>
      <c r="B4829" s="86" t="s">
        <v>258</v>
      </c>
      <c r="C4829" s="87"/>
      <c r="D4829" s="88"/>
      <c r="E4829" s="89"/>
      <c r="F4829" s="90">
        <f>SUM(F4813:F4828)</f>
        <v>0</v>
      </c>
    </row>
    <row r="4830" spans="1:6" ht="12.75" customHeight="1" x14ac:dyDescent="0.2">
      <c r="A4830" s="3"/>
      <c r="B4830" s="91" t="s">
        <v>70</v>
      </c>
      <c r="C4830" s="15">
        <f>$D$8</f>
        <v>0</v>
      </c>
      <c r="D4830" s="92"/>
      <c r="E4830" s="93"/>
      <c r="F4830" s="94">
        <f>ROUND(F4829*C4830,2)</f>
        <v>0</v>
      </c>
    </row>
    <row r="4831" spans="1:6" ht="12.75" customHeight="1" x14ac:dyDescent="0.2">
      <c r="A4831" s="95"/>
      <c r="B4831" s="424" t="s">
        <v>259</v>
      </c>
      <c r="C4831" s="425"/>
      <c r="D4831" s="425"/>
      <c r="E4831" s="426"/>
      <c r="F4831" s="96">
        <f>F4829+F4830</f>
        <v>0</v>
      </c>
    </row>
    <row r="4832" spans="1:6" ht="12.75" customHeight="1" x14ac:dyDescent="0.2">
      <c r="A4832" s="1" t="s">
        <v>5</v>
      </c>
      <c r="B4832" s="418" t="s">
        <v>267</v>
      </c>
      <c r="C4832" s="419" t="s">
        <v>263</v>
      </c>
      <c r="D4832" s="419" t="s">
        <v>264</v>
      </c>
      <c r="E4832" s="420" t="s">
        <v>265</v>
      </c>
      <c r="F4832" s="57" t="s">
        <v>266</v>
      </c>
    </row>
    <row r="4833" spans="1:6" ht="12.75" customHeight="1" x14ac:dyDescent="0.2">
      <c r="A4833" s="3" t="str">
        <f>'A VII.'!$A$147</f>
        <v>2.5</v>
      </c>
      <c r="B4833" s="71" t="str">
        <f>VLOOKUP(A4833,'A VII.'!$A$10:$D$199,2,FALSE)</f>
        <v>BALANCIM LEVE TRADICIONAL - PLATAFORMA 3,00 M COM GUINCHO MANUAL, NR 18 (LOCAÇÃO MENSAL + TRANSPORTE)</v>
      </c>
      <c r="C4833" s="114">
        <v>3.7499999999999999E-3</v>
      </c>
      <c r="D4833" s="759" t="str">
        <f>VLOOKUP(A4833,'A VII.'!$A$10:$D$199,3,FALSE)</f>
        <v>LOC/MÊS</v>
      </c>
      <c r="E4833" s="85">
        <f>'A VII.'!$D$147</f>
        <v>0</v>
      </c>
      <c r="F4833" s="59">
        <f t="shared" ref="F4833:F4842" si="297">ROUND(C4833*E4833,2)</f>
        <v>0</v>
      </c>
    </row>
    <row r="4834" spans="1:6" ht="12.75" customHeight="1" x14ac:dyDescent="0.2">
      <c r="A4834" s="3"/>
      <c r="C4834" s="114"/>
      <c r="D4834" s="759"/>
      <c r="E4834" s="85"/>
      <c r="F4834" s="59">
        <f t="shared" si="297"/>
        <v>0</v>
      </c>
    </row>
    <row r="4835" spans="1:6" ht="12.75" customHeight="1" x14ac:dyDescent="0.2">
      <c r="A4835" s="3"/>
      <c r="C4835" s="114"/>
      <c r="D4835" s="759"/>
      <c r="E4835" s="85"/>
      <c r="F4835" s="59">
        <f t="shared" si="297"/>
        <v>0</v>
      </c>
    </row>
    <row r="4836" spans="1:6" ht="12.75" customHeight="1" x14ac:dyDescent="0.2">
      <c r="A4836" s="3"/>
      <c r="C4836" s="114"/>
      <c r="D4836" s="759"/>
      <c r="E4836" s="85"/>
      <c r="F4836" s="59">
        <f t="shared" si="297"/>
        <v>0</v>
      </c>
    </row>
    <row r="4837" spans="1:6" ht="12.75" customHeight="1" x14ac:dyDescent="0.2">
      <c r="A4837" s="3"/>
      <c r="C4837" s="114"/>
      <c r="D4837" s="759"/>
      <c r="E4837" s="85"/>
      <c r="F4837" s="59">
        <f t="shared" si="297"/>
        <v>0</v>
      </c>
    </row>
    <row r="4838" spans="1:6" ht="12.75" customHeight="1" x14ac:dyDescent="0.2">
      <c r="A4838" s="3"/>
      <c r="C4838" s="114"/>
      <c r="D4838" s="759"/>
      <c r="E4838" s="85"/>
      <c r="F4838" s="59">
        <f t="shared" si="297"/>
        <v>0</v>
      </c>
    </row>
    <row r="4839" spans="1:6" ht="12.75" customHeight="1" x14ac:dyDescent="0.2">
      <c r="A4839" s="3"/>
      <c r="C4839" s="114"/>
      <c r="D4839" s="759"/>
      <c r="E4839" s="85"/>
      <c r="F4839" s="59">
        <f t="shared" si="297"/>
        <v>0</v>
      </c>
    </row>
    <row r="4840" spans="1:6" ht="12.75" customHeight="1" x14ac:dyDescent="0.2">
      <c r="A4840" s="3"/>
      <c r="C4840" s="114"/>
      <c r="D4840" s="759"/>
      <c r="E4840" s="85"/>
      <c r="F4840" s="59">
        <f t="shared" si="297"/>
        <v>0</v>
      </c>
    </row>
    <row r="4841" spans="1:6" ht="12.75" customHeight="1" x14ac:dyDescent="0.2">
      <c r="A4841" s="3"/>
      <c r="C4841" s="114"/>
      <c r="D4841" s="759"/>
      <c r="E4841" s="85"/>
      <c r="F4841" s="59">
        <f t="shared" si="297"/>
        <v>0</v>
      </c>
    </row>
    <row r="4842" spans="1:6" ht="12.75" customHeight="1" x14ac:dyDescent="0.2">
      <c r="A4842" s="3"/>
      <c r="C4842" s="114"/>
      <c r="D4842" s="759"/>
      <c r="E4842" s="85"/>
      <c r="F4842" s="59">
        <f t="shared" si="297"/>
        <v>0</v>
      </c>
    </row>
    <row r="4843" spans="1:6" ht="12.75" customHeight="1" x14ac:dyDescent="0.2">
      <c r="A4843" s="3"/>
      <c r="B4843" s="86" t="s">
        <v>258</v>
      </c>
      <c r="C4843" s="87"/>
      <c r="D4843" s="88"/>
      <c r="E4843" s="89"/>
      <c r="F4843" s="90">
        <f>SUM(F4833:F4842)</f>
        <v>0</v>
      </c>
    </row>
    <row r="4844" spans="1:6" ht="12.75" customHeight="1" x14ac:dyDescent="0.2">
      <c r="A4844" s="3"/>
      <c r="B4844" s="91" t="s">
        <v>70</v>
      </c>
      <c r="C4844" s="15">
        <f>$D$8</f>
        <v>0</v>
      </c>
      <c r="D4844" s="92"/>
      <c r="E4844" s="93"/>
      <c r="F4844" s="94">
        <f>ROUND(C4844*F4843,2)</f>
        <v>0</v>
      </c>
    </row>
    <row r="4845" spans="1:6" ht="12.75" customHeight="1" x14ac:dyDescent="0.2">
      <c r="A4845" s="95"/>
      <c r="B4845" s="424" t="s">
        <v>260</v>
      </c>
      <c r="C4845" s="425"/>
      <c r="D4845" s="425"/>
      <c r="E4845" s="426"/>
      <c r="F4845" s="96">
        <f>F4843+F4844</f>
        <v>0</v>
      </c>
    </row>
    <row r="4846" spans="1:6" ht="12.75" customHeight="1" x14ac:dyDescent="0.2">
      <c r="A4846" s="97" t="s">
        <v>54</v>
      </c>
      <c r="B4846" s="427" t="s">
        <v>268</v>
      </c>
      <c r="C4846" s="428" t="s">
        <v>263</v>
      </c>
      <c r="D4846" s="429" t="s">
        <v>264</v>
      </c>
      <c r="E4846" s="430" t="s">
        <v>265</v>
      </c>
      <c r="F4846" s="57" t="s">
        <v>266</v>
      </c>
    </row>
    <row r="4847" spans="1:6" ht="12.75" customHeight="1" x14ac:dyDescent="0.2">
      <c r="A4847" s="3" t="str">
        <f>'A VII.'!$A$181</f>
        <v>3.1</v>
      </c>
      <c r="B4847" s="74" t="s">
        <v>174</v>
      </c>
      <c r="C4847" s="114">
        <v>0.6</v>
      </c>
      <c r="D4847" s="759" t="str">
        <f>VLOOKUP(A4847,'A VII.'!$A$10:$D$199,3,FALSE)</f>
        <v>H</v>
      </c>
      <c r="E4847" s="85">
        <f>'A VII.'!$D$181</f>
        <v>0</v>
      </c>
      <c r="F4847" s="59">
        <f t="shared" ref="F4847:F4853" si="298">ROUND(C4847*E4847,2)</f>
        <v>0</v>
      </c>
    </row>
    <row r="4848" spans="1:6" ht="12.75" customHeight="1" x14ac:dyDescent="0.2">
      <c r="A4848" s="3" t="str">
        <f>'A VII.'!$A$193</f>
        <v>3.13</v>
      </c>
      <c r="B4848" s="74" t="s">
        <v>186</v>
      </c>
      <c r="C4848" s="114">
        <v>0.6</v>
      </c>
      <c r="D4848" s="759" t="str">
        <f>VLOOKUP(A4848,'A VII.'!$A$10:$D$199,3,FALSE)</f>
        <v>H</v>
      </c>
      <c r="E4848" s="85">
        <f>'A VII.'!$D$193</f>
        <v>0</v>
      </c>
      <c r="F4848" s="59">
        <f t="shared" si="298"/>
        <v>0</v>
      </c>
    </row>
    <row r="4849" spans="1:6" ht="12.75" customHeight="1" x14ac:dyDescent="0.2">
      <c r="A4849" s="3"/>
      <c r="C4849" s="114"/>
      <c r="D4849" s="759"/>
      <c r="E4849" s="85"/>
      <c r="F4849" s="59">
        <f t="shared" si="298"/>
        <v>0</v>
      </c>
    </row>
    <row r="4850" spans="1:6" ht="12.75" customHeight="1" x14ac:dyDescent="0.2">
      <c r="A4850" s="3"/>
      <c r="C4850" s="114"/>
      <c r="D4850" s="759"/>
      <c r="E4850" s="85"/>
      <c r="F4850" s="59">
        <f t="shared" si="298"/>
        <v>0</v>
      </c>
    </row>
    <row r="4851" spans="1:6" ht="12.75" customHeight="1" x14ac:dyDescent="0.2">
      <c r="A4851" s="3"/>
      <c r="C4851" s="114"/>
      <c r="D4851" s="759"/>
      <c r="E4851" s="85"/>
      <c r="F4851" s="59">
        <f t="shared" si="298"/>
        <v>0</v>
      </c>
    </row>
    <row r="4852" spans="1:6" ht="12.75" customHeight="1" x14ac:dyDescent="0.2">
      <c r="A4852" s="3"/>
      <c r="C4852" s="114"/>
      <c r="D4852" s="759"/>
      <c r="E4852" s="85"/>
      <c r="F4852" s="59">
        <f t="shared" si="298"/>
        <v>0</v>
      </c>
    </row>
    <row r="4853" spans="1:6" ht="12.75" customHeight="1" x14ac:dyDescent="0.2">
      <c r="A4853" s="3"/>
      <c r="C4853" s="114"/>
      <c r="D4853" s="759"/>
      <c r="E4853" s="85"/>
      <c r="F4853" s="59">
        <f t="shared" si="298"/>
        <v>0</v>
      </c>
    </row>
    <row r="4854" spans="1:6" ht="12.75" customHeight="1" x14ac:dyDescent="0.2">
      <c r="A4854" s="3"/>
      <c r="B4854" s="86" t="s">
        <v>258</v>
      </c>
      <c r="C4854" s="87"/>
      <c r="D4854" s="88"/>
      <c r="E4854" s="89"/>
      <c r="F4854" s="90">
        <f>SUM(F4847:F4853)</f>
        <v>0</v>
      </c>
    </row>
    <row r="4855" spans="1:6" ht="12.75" customHeight="1" x14ac:dyDescent="0.2">
      <c r="A4855" s="3"/>
      <c r="B4855" s="91" t="s">
        <v>261</v>
      </c>
      <c r="C4855" s="15">
        <f>'A IX.'!$C$45</f>
        <v>0</v>
      </c>
      <c r="D4855" s="92"/>
      <c r="E4855" s="93"/>
      <c r="F4855" s="94">
        <f>ROUND(F4854*C4855,2)</f>
        <v>0</v>
      </c>
    </row>
    <row r="4856" spans="1:6" ht="12.75" customHeight="1" x14ac:dyDescent="0.2">
      <c r="A4856" s="3"/>
      <c r="B4856" s="91" t="s">
        <v>70</v>
      </c>
      <c r="C4856" s="15">
        <f>$D$8</f>
        <v>0</v>
      </c>
      <c r="D4856" s="92"/>
      <c r="E4856" s="93"/>
      <c r="F4856" s="94">
        <f>ROUND(SUM(F4854:F4855)*C4856,2)</f>
        <v>0</v>
      </c>
    </row>
    <row r="4857" spans="1:6" ht="12.75" customHeight="1" thickBot="1" x14ac:dyDescent="0.25">
      <c r="A4857" s="98"/>
      <c r="B4857" s="99" t="s">
        <v>262</v>
      </c>
      <c r="C4857" s="100"/>
      <c r="D4857" s="100"/>
      <c r="E4857" s="101"/>
      <c r="F4857" s="102">
        <f>SUM(F4854:F4856)</f>
        <v>0</v>
      </c>
    </row>
    <row r="4858" spans="1:6" ht="12.75" customHeight="1" thickBot="1" x14ac:dyDescent="0.25">
      <c r="A4858" s="81"/>
      <c r="B4858" s="82"/>
      <c r="C4858" s="83"/>
      <c r="D4858" s="83"/>
      <c r="E4858" s="84"/>
      <c r="F4858" s="103"/>
    </row>
    <row r="4859" spans="1:6" ht="30" customHeight="1" x14ac:dyDescent="0.2">
      <c r="A4859" s="5" t="str">
        <f>'A IV.A'!$A$147</f>
        <v>6.10</v>
      </c>
      <c r="B4859" s="416" t="str">
        <f>'A IV.A'!$B$147</f>
        <v>PINTURA ESMALTE SINTÉTICO SOBRE FUNDO ANTICORROSIVO EM ESCADA/GRADIL, 2 DEMÃOS</v>
      </c>
      <c r="C4859" s="526" t="s">
        <v>269</v>
      </c>
      <c r="D4859" s="527"/>
      <c r="E4859" s="417" t="str">
        <f>'A IV.A'!$C$147</f>
        <v>M</v>
      </c>
      <c r="F4859" s="58">
        <f>ROUND(F4879+F4893+F4905,2)</f>
        <v>0</v>
      </c>
    </row>
    <row r="4860" spans="1:6" ht="12.75" customHeight="1" x14ac:dyDescent="0.2">
      <c r="A4860" s="1" t="s">
        <v>17</v>
      </c>
      <c r="B4860" s="418" t="s">
        <v>162</v>
      </c>
      <c r="C4860" s="419" t="s">
        <v>263</v>
      </c>
      <c r="D4860" s="419" t="s">
        <v>264</v>
      </c>
      <c r="E4860" s="420" t="s">
        <v>265</v>
      </c>
      <c r="F4860" s="57" t="s">
        <v>266</v>
      </c>
    </row>
    <row r="4861" spans="1:6" ht="12.75" customHeight="1" x14ac:dyDescent="0.2">
      <c r="A4861" s="6" t="str">
        <f>'A VII.'!$A$14</f>
        <v>1.5</v>
      </c>
      <c r="B4861" s="421" t="str">
        <f>VLOOKUP(A4861,'A VII.'!$A$10:$D$199,2,FALSE)</f>
        <v>SOLVENTE DILUENTE A BASE DE AGUARRÁS</v>
      </c>
      <c r="C4861" s="114">
        <v>4.2000000000000003E-2</v>
      </c>
      <c r="D4861" s="757" t="str">
        <f>VLOOKUP(A4861,'A VII.'!$A$10:$D$199,3,FALSE)</f>
        <v>L</v>
      </c>
      <c r="E4861" s="85">
        <f>'A VII.'!$D$14</f>
        <v>0</v>
      </c>
      <c r="F4861" s="59">
        <f>ROUND(C4861*E4861,2)</f>
        <v>0</v>
      </c>
    </row>
    <row r="4862" spans="1:6" ht="12.75" customHeight="1" x14ac:dyDescent="0.2">
      <c r="A4862" s="6" t="str">
        <f>'A VII.'!$A$110</f>
        <v>1.100</v>
      </c>
      <c r="B4862" s="421" t="str">
        <f>VLOOKUP(A4862,'A VII.'!$A$10:$D$199,2,FALSE)</f>
        <v xml:space="preserve">TINTA ESMALTE SINTETICO PREMIUM </v>
      </c>
      <c r="C4862" s="114">
        <v>0.14399999999999999</v>
      </c>
      <c r="D4862" s="757" t="str">
        <f>VLOOKUP(A4862,'A VII.'!$A$10:$D$199,3,FALSE)</f>
        <v>L</v>
      </c>
      <c r="E4862" s="85">
        <f>'A VII.'!D110</f>
        <v>0</v>
      </c>
      <c r="F4862" s="59">
        <f t="shared" ref="F4862:F4876" si="299">ROUND(C4862*E4862,2)</f>
        <v>0</v>
      </c>
    </row>
    <row r="4863" spans="1:6" ht="12.75" customHeight="1" x14ac:dyDescent="0.2">
      <c r="A4863" s="6" t="str">
        <f>'A VII.'!$A$69</f>
        <v>1.60</v>
      </c>
      <c r="B4863" s="421" t="str">
        <f>VLOOKUP(A4863,'A VII.'!$A$10:$D$199,2,FALSE)</f>
        <v>LIXA PARA SUPERFICIE METÁLICA, GRANA 150</v>
      </c>
      <c r="C4863" s="114">
        <v>0.18</v>
      </c>
      <c r="D4863" s="757" t="str">
        <f>VLOOKUP(A4863,'A VII.'!$A$10:$D$199,3,FALSE)</f>
        <v>UN</v>
      </c>
      <c r="E4863" s="85">
        <f>'A VII.'!$D$69</f>
        <v>0</v>
      </c>
      <c r="F4863" s="59">
        <f t="shared" si="299"/>
        <v>0</v>
      </c>
    </row>
    <row r="4864" spans="1:6" ht="12.75" customHeight="1" x14ac:dyDescent="0.2">
      <c r="A4864" s="6" t="str">
        <f>'A VII.'!$A$54</f>
        <v>1.45</v>
      </c>
      <c r="B4864" s="421" t="str">
        <f>VLOOKUP(A4864,'A VII.'!$A$10:$D$199,2,FALSE)</f>
        <v>FUNDO ANTICORROSIVO PARA METAIS FERROSOS (ZARCAO)</v>
      </c>
      <c r="C4864" s="114">
        <v>7.1999999999999995E-2</v>
      </c>
      <c r="D4864" s="757" t="str">
        <f>VLOOKUP(A4864,'A VII.'!$A$10:$D$199,3,FALSE)</f>
        <v>L</v>
      </c>
      <c r="E4864" s="85">
        <f>'A VII.'!$D$54</f>
        <v>0</v>
      </c>
      <c r="F4864" s="59">
        <f t="shared" si="299"/>
        <v>0</v>
      </c>
    </row>
    <row r="4865" spans="1:6" ht="12.75" customHeight="1" x14ac:dyDescent="0.2">
      <c r="A4865" s="6"/>
      <c r="B4865" s="421"/>
      <c r="C4865" s="114"/>
      <c r="D4865" s="757"/>
      <c r="E4865" s="85"/>
      <c r="F4865" s="59">
        <f t="shared" si="299"/>
        <v>0</v>
      </c>
    </row>
    <row r="4866" spans="1:6" ht="12.75" customHeight="1" x14ac:dyDescent="0.2">
      <c r="A4866" s="6"/>
      <c r="B4866" s="421"/>
      <c r="C4866" s="114"/>
      <c r="D4866" s="757"/>
      <c r="E4866" s="85"/>
      <c r="F4866" s="59">
        <f t="shared" si="299"/>
        <v>0</v>
      </c>
    </row>
    <row r="4867" spans="1:6" ht="12.75" customHeight="1" x14ac:dyDescent="0.2">
      <c r="A4867" s="6"/>
      <c r="B4867" s="421"/>
      <c r="C4867" s="114"/>
      <c r="D4867" s="757"/>
      <c r="E4867" s="85"/>
      <c r="F4867" s="59">
        <f t="shared" si="299"/>
        <v>0</v>
      </c>
    </row>
    <row r="4868" spans="1:6" ht="12.75" customHeight="1" x14ac:dyDescent="0.2">
      <c r="A4868" s="6"/>
      <c r="B4868" s="421"/>
      <c r="C4868" s="114"/>
      <c r="D4868" s="757"/>
      <c r="E4868" s="85"/>
      <c r="F4868" s="59">
        <f t="shared" si="299"/>
        <v>0</v>
      </c>
    </row>
    <row r="4869" spans="1:6" ht="12.75" customHeight="1" x14ac:dyDescent="0.2">
      <c r="A4869" s="6"/>
      <c r="B4869" s="421"/>
      <c r="C4869" s="114"/>
      <c r="D4869" s="757"/>
      <c r="E4869" s="85"/>
      <c r="F4869" s="59">
        <f t="shared" si="299"/>
        <v>0</v>
      </c>
    </row>
    <row r="4870" spans="1:6" ht="12.75" customHeight="1" x14ac:dyDescent="0.2">
      <c r="A4870" s="6"/>
      <c r="B4870" s="421"/>
      <c r="C4870" s="114"/>
      <c r="D4870" s="757"/>
      <c r="E4870" s="85"/>
      <c r="F4870" s="59">
        <f t="shared" si="299"/>
        <v>0</v>
      </c>
    </row>
    <row r="4871" spans="1:6" ht="12.75" customHeight="1" x14ac:dyDescent="0.2">
      <c r="A4871" s="6"/>
      <c r="B4871" s="421"/>
      <c r="C4871" s="114"/>
      <c r="D4871" s="757"/>
      <c r="E4871" s="85"/>
      <c r="F4871" s="59">
        <f t="shared" si="299"/>
        <v>0</v>
      </c>
    </row>
    <row r="4872" spans="1:6" ht="12.75" customHeight="1" x14ac:dyDescent="0.2">
      <c r="A4872" s="6"/>
      <c r="B4872" s="421"/>
      <c r="C4872" s="114"/>
      <c r="D4872" s="758"/>
      <c r="E4872" s="85"/>
      <c r="F4872" s="59">
        <f t="shared" si="299"/>
        <v>0</v>
      </c>
    </row>
    <row r="4873" spans="1:6" ht="12.75" customHeight="1" x14ac:dyDescent="0.2">
      <c r="A4873" s="6"/>
      <c r="B4873" s="421"/>
      <c r="C4873" s="114"/>
      <c r="D4873" s="758"/>
      <c r="E4873" s="85"/>
      <c r="F4873" s="59">
        <f t="shared" si="299"/>
        <v>0</v>
      </c>
    </row>
    <row r="4874" spans="1:6" ht="12.75" customHeight="1" x14ac:dyDescent="0.2">
      <c r="A4874" s="6"/>
      <c r="B4874" s="421"/>
      <c r="C4874" s="114"/>
      <c r="D4874" s="758"/>
      <c r="E4874" s="85"/>
      <c r="F4874" s="59">
        <f t="shared" si="299"/>
        <v>0</v>
      </c>
    </row>
    <row r="4875" spans="1:6" ht="12.75" customHeight="1" x14ac:dyDescent="0.2">
      <c r="A4875" s="3"/>
      <c r="C4875" s="114"/>
      <c r="D4875" s="759"/>
      <c r="E4875" s="85"/>
      <c r="F4875" s="59">
        <f t="shared" si="299"/>
        <v>0</v>
      </c>
    </row>
    <row r="4876" spans="1:6" ht="12.75" customHeight="1" x14ac:dyDescent="0.2">
      <c r="A4876" s="3"/>
      <c r="C4876" s="114"/>
      <c r="D4876" s="759"/>
      <c r="E4876" s="85"/>
      <c r="F4876" s="59">
        <f t="shared" si="299"/>
        <v>0</v>
      </c>
    </row>
    <row r="4877" spans="1:6" ht="12.75" customHeight="1" x14ac:dyDescent="0.2">
      <c r="A4877" s="3"/>
      <c r="B4877" s="86" t="s">
        <v>258</v>
      </c>
      <c r="C4877" s="87"/>
      <c r="D4877" s="88"/>
      <c r="E4877" s="89"/>
      <c r="F4877" s="90">
        <f>SUM(F4861:F4876)</f>
        <v>0</v>
      </c>
    </row>
    <row r="4878" spans="1:6" ht="12.75" customHeight="1" x14ac:dyDescent="0.2">
      <c r="A4878" s="3"/>
      <c r="B4878" s="91" t="s">
        <v>70</v>
      </c>
      <c r="C4878" s="15">
        <f>$D$8</f>
        <v>0</v>
      </c>
      <c r="D4878" s="92"/>
      <c r="E4878" s="93"/>
      <c r="F4878" s="94">
        <f>ROUND(F4877*C4878,2)</f>
        <v>0</v>
      </c>
    </row>
    <row r="4879" spans="1:6" ht="12.75" customHeight="1" x14ac:dyDescent="0.2">
      <c r="A4879" s="95"/>
      <c r="B4879" s="424" t="s">
        <v>259</v>
      </c>
      <c r="C4879" s="425"/>
      <c r="D4879" s="425"/>
      <c r="E4879" s="426"/>
      <c r="F4879" s="96">
        <f>F4877+F4878</f>
        <v>0</v>
      </c>
    </row>
    <row r="4880" spans="1:6" ht="12.75" customHeight="1" x14ac:dyDescent="0.2">
      <c r="A4880" s="1" t="s">
        <v>5</v>
      </c>
      <c r="B4880" s="418" t="s">
        <v>267</v>
      </c>
      <c r="C4880" s="419" t="s">
        <v>263</v>
      </c>
      <c r="D4880" s="419" t="s">
        <v>264</v>
      </c>
      <c r="E4880" s="420" t="s">
        <v>265</v>
      </c>
      <c r="F4880" s="57" t="s">
        <v>266</v>
      </c>
    </row>
    <row r="4881" spans="1:6" ht="12.75" customHeight="1" x14ac:dyDescent="0.2">
      <c r="A4881" s="3" t="str">
        <f>'A VII.'!$A$147</f>
        <v>2.5</v>
      </c>
      <c r="B4881" s="71" t="s">
        <v>480</v>
      </c>
      <c r="C4881" s="114">
        <f>0.00375*1.3</f>
        <v>4.875E-3</v>
      </c>
      <c r="D4881" s="759" t="str">
        <f>VLOOKUP(A4881,'A VII.'!$A$10:$D$199,3,FALSE)</f>
        <v>LOC/MÊS</v>
      </c>
      <c r="E4881" s="85">
        <f>'A VII.'!$D$147</f>
        <v>0</v>
      </c>
      <c r="F4881" s="59">
        <f t="shared" ref="F4881:F4890" si="300">ROUND(C4881*E4881,2)</f>
        <v>0</v>
      </c>
    </row>
    <row r="4882" spans="1:6" ht="12.75" customHeight="1" x14ac:dyDescent="0.2">
      <c r="A4882" s="3"/>
      <c r="C4882" s="114"/>
      <c r="D4882" s="759"/>
      <c r="E4882" s="85"/>
      <c r="F4882" s="59">
        <f t="shared" si="300"/>
        <v>0</v>
      </c>
    </row>
    <row r="4883" spans="1:6" ht="12.75" customHeight="1" x14ac:dyDescent="0.2">
      <c r="A4883" s="3"/>
      <c r="C4883" s="114"/>
      <c r="D4883" s="759"/>
      <c r="E4883" s="85"/>
      <c r="F4883" s="59">
        <f t="shared" si="300"/>
        <v>0</v>
      </c>
    </row>
    <row r="4884" spans="1:6" ht="12.75" customHeight="1" x14ac:dyDescent="0.2">
      <c r="A4884" s="3"/>
      <c r="C4884" s="114"/>
      <c r="D4884" s="759"/>
      <c r="E4884" s="85"/>
      <c r="F4884" s="59">
        <f t="shared" si="300"/>
        <v>0</v>
      </c>
    </row>
    <row r="4885" spans="1:6" ht="12.75" customHeight="1" x14ac:dyDescent="0.2">
      <c r="A4885" s="3"/>
      <c r="C4885" s="114"/>
      <c r="D4885" s="759"/>
      <c r="E4885" s="85"/>
      <c r="F4885" s="59">
        <f t="shared" si="300"/>
        <v>0</v>
      </c>
    </row>
    <row r="4886" spans="1:6" ht="12.75" customHeight="1" x14ac:dyDescent="0.2">
      <c r="A4886" s="3"/>
      <c r="C4886" s="114"/>
      <c r="D4886" s="759"/>
      <c r="E4886" s="85"/>
      <c r="F4886" s="59">
        <f t="shared" si="300"/>
        <v>0</v>
      </c>
    </row>
    <row r="4887" spans="1:6" ht="12.75" customHeight="1" x14ac:dyDescent="0.2">
      <c r="A4887" s="3"/>
      <c r="C4887" s="114"/>
      <c r="D4887" s="759"/>
      <c r="E4887" s="85"/>
      <c r="F4887" s="59">
        <f t="shared" si="300"/>
        <v>0</v>
      </c>
    </row>
    <row r="4888" spans="1:6" ht="12.75" customHeight="1" x14ac:dyDescent="0.2">
      <c r="A4888" s="3"/>
      <c r="C4888" s="114"/>
      <c r="D4888" s="759"/>
      <c r="E4888" s="85"/>
      <c r="F4888" s="59">
        <f t="shared" si="300"/>
        <v>0</v>
      </c>
    </row>
    <row r="4889" spans="1:6" ht="12.75" customHeight="1" x14ac:dyDescent="0.2">
      <c r="A4889" s="3"/>
      <c r="C4889" s="114"/>
      <c r="D4889" s="759"/>
      <c r="E4889" s="85"/>
      <c r="F4889" s="59">
        <f t="shared" si="300"/>
        <v>0</v>
      </c>
    </row>
    <row r="4890" spans="1:6" ht="12.75" customHeight="1" x14ac:dyDescent="0.2">
      <c r="A4890" s="3"/>
      <c r="C4890" s="114"/>
      <c r="D4890" s="759"/>
      <c r="E4890" s="85"/>
      <c r="F4890" s="59">
        <f t="shared" si="300"/>
        <v>0</v>
      </c>
    </row>
    <row r="4891" spans="1:6" ht="12.75" customHeight="1" x14ac:dyDescent="0.2">
      <c r="A4891" s="3"/>
      <c r="B4891" s="86" t="s">
        <v>258</v>
      </c>
      <c r="C4891" s="87"/>
      <c r="D4891" s="88"/>
      <c r="E4891" s="89"/>
      <c r="F4891" s="90">
        <f>SUM(F4881:F4890)</f>
        <v>0</v>
      </c>
    </row>
    <row r="4892" spans="1:6" ht="12.75" customHeight="1" x14ac:dyDescent="0.2">
      <c r="A4892" s="3"/>
      <c r="B4892" s="91" t="s">
        <v>70</v>
      </c>
      <c r="C4892" s="15">
        <f>$D$8</f>
        <v>0</v>
      </c>
      <c r="D4892" s="92"/>
      <c r="E4892" s="93"/>
      <c r="F4892" s="94">
        <f>ROUND(C4892*F4891,2)</f>
        <v>0</v>
      </c>
    </row>
    <row r="4893" spans="1:6" ht="12.75" customHeight="1" x14ac:dyDescent="0.2">
      <c r="A4893" s="95"/>
      <c r="B4893" s="424" t="s">
        <v>260</v>
      </c>
      <c r="C4893" s="425"/>
      <c r="D4893" s="425"/>
      <c r="E4893" s="426"/>
      <c r="F4893" s="96">
        <f>F4891+F4892</f>
        <v>0</v>
      </c>
    </row>
    <row r="4894" spans="1:6" ht="12.75" customHeight="1" x14ac:dyDescent="0.2">
      <c r="A4894" s="97" t="s">
        <v>54</v>
      </c>
      <c r="B4894" s="427" t="s">
        <v>268</v>
      </c>
      <c r="C4894" s="428" t="s">
        <v>263</v>
      </c>
      <c r="D4894" s="429" t="s">
        <v>264</v>
      </c>
      <c r="E4894" s="430" t="s">
        <v>265</v>
      </c>
      <c r="F4894" s="57" t="s">
        <v>266</v>
      </c>
    </row>
    <row r="4895" spans="1:6" ht="12.75" customHeight="1" x14ac:dyDescent="0.2">
      <c r="A4895" s="3" t="str">
        <f>'A VII.'!$A$181</f>
        <v>3.1</v>
      </c>
      <c r="B4895" s="74" t="s">
        <v>174</v>
      </c>
      <c r="C4895" s="114">
        <v>0.5</v>
      </c>
      <c r="D4895" s="759" t="str">
        <f>VLOOKUP(A4895,'A VII.'!$A$10:$D$199,3,FALSE)</f>
        <v>H</v>
      </c>
      <c r="E4895" s="85">
        <f>'A VII.'!$D$181</f>
        <v>0</v>
      </c>
      <c r="F4895" s="59">
        <f t="shared" ref="F4895:F4901" si="301">ROUND(C4895*E4895,2)</f>
        <v>0</v>
      </c>
    </row>
    <row r="4896" spans="1:6" ht="12.75" customHeight="1" x14ac:dyDescent="0.2">
      <c r="A4896" s="3" t="str">
        <f>'A VII.'!$A$193</f>
        <v>3.13</v>
      </c>
      <c r="B4896" s="74" t="s">
        <v>186</v>
      </c>
      <c r="C4896" s="114">
        <v>0.4</v>
      </c>
      <c r="D4896" s="759" t="str">
        <f>VLOOKUP(A4896,'A VII.'!$A$10:$D$199,3,FALSE)</f>
        <v>H</v>
      </c>
      <c r="E4896" s="85">
        <f>'A VII.'!$D$193</f>
        <v>0</v>
      </c>
      <c r="F4896" s="59">
        <f t="shared" si="301"/>
        <v>0</v>
      </c>
    </row>
    <row r="4897" spans="1:6" ht="12.75" customHeight="1" x14ac:dyDescent="0.2">
      <c r="A4897" s="3"/>
      <c r="C4897" s="114"/>
      <c r="D4897" s="759"/>
      <c r="E4897" s="85"/>
      <c r="F4897" s="59">
        <f t="shared" si="301"/>
        <v>0</v>
      </c>
    </row>
    <row r="4898" spans="1:6" ht="12.75" customHeight="1" x14ac:dyDescent="0.2">
      <c r="A4898" s="3"/>
      <c r="C4898" s="114"/>
      <c r="D4898" s="759"/>
      <c r="E4898" s="85"/>
      <c r="F4898" s="59">
        <f t="shared" si="301"/>
        <v>0</v>
      </c>
    </row>
    <row r="4899" spans="1:6" ht="12.75" customHeight="1" x14ac:dyDescent="0.2">
      <c r="A4899" s="3"/>
      <c r="C4899" s="114"/>
      <c r="D4899" s="759"/>
      <c r="E4899" s="85"/>
      <c r="F4899" s="59">
        <f t="shared" si="301"/>
        <v>0</v>
      </c>
    </row>
    <row r="4900" spans="1:6" ht="12.75" customHeight="1" x14ac:dyDescent="0.2">
      <c r="A4900" s="3"/>
      <c r="C4900" s="114"/>
      <c r="D4900" s="759"/>
      <c r="E4900" s="85"/>
      <c r="F4900" s="59">
        <f t="shared" si="301"/>
        <v>0</v>
      </c>
    </row>
    <row r="4901" spans="1:6" ht="12.75" customHeight="1" x14ac:dyDescent="0.2">
      <c r="A4901" s="3"/>
      <c r="C4901" s="114"/>
      <c r="D4901" s="759"/>
      <c r="E4901" s="85"/>
      <c r="F4901" s="59">
        <f t="shared" si="301"/>
        <v>0</v>
      </c>
    </row>
    <row r="4902" spans="1:6" ht="12.75" customHeight="1" x14ac:dyDescent="0.2">
      <c r="A4902" s="3"/>
      <c r="B4902" s="86" t="s">
        <v>258</v>
      </c>
      <c r="C4902" s="87"/>
      <c r="D4902" s="88"/>
      <c r="E4902" s="89"/>
      <c r="F4902" s="90">
        <f>SUM(F4895:F4901)</f>
        <v>0</v>
      </c>
    </row>
    <row r="4903" spans="1:6" ht="12.75" customHeight="1" x14ac:dyDescent="0.2">
      <c r="A4903" s="3"/>
      <c r="B4903" s="91" t="s">
        <v>261</v>
      </c>
      <c r="C4903" s="15">
        <f>'A IX.'!$C$45</f>
        <v>0</v>
      </c>
      <c r="D4903" s="92"/>
      <c r="E4903" s="93"/>
      <c r="F4903" s="94">
        <f>ROUND(F4902*C4903,2)</f>
        <v>0</v>
      </c>
    </row>
    <row r="4904" spans="1:6" ht="12.75" customHeight="1" x14ac:dyDescent="0.2">
      <c r="A4904" s="3"/>
      <c r="B4904" s="91" t="s">
        <v>70</v>
      </c>
      <c r="C4904" s="15">
        <f>$D$8</f>
        <v>0</v>
      </c>
      <c r="D4904" s="92"/>
      <c r="E4904" s="93"/>
      <c r="F4904" s="94">
        <f>ROUND(SUM(F4902:F4903)*C4904,2)</f>
        <v>0</v>
      </c>
    </row>
    <row r="4905" spans="1:6" ht="12.75" customHeight="1" thickBot="1" x14ac:dyDescent="0.25">
      <c r="A4905" s="98"/>
      <c r="B4905" s="99" t="s">
        <v>262</v>
      </c>
      <c r="C4905" s="100"/>
      <c r="D4905" s="100"/>
      <c r="E4905" s="101"/>
      <c r="F4905" s="102">
        <f>SUM(F4902:F4904)</f>
        <v>0</v>
      </c>
    </row>
    <row r="4906" spans="1:6" ht="12.75" customHeight="1" thickBot="1" x14ac:dyDescent="0.25">
      <c r="A4906" s="252"/>
      <c r="B4906" s="253"/>
      <c r="C4906" s="254"/>
      <c r="D4906" s="254"/>
      <c r="E4906" s="255"/>
      <c r="F4906" s="256"/>
    </row>
    <row r="4907" spans="1:6" ht="30" customHeight="1" x14ac:dyDescent="0.2">
      <c r="A4907" s="5" t="str">
        <f>'A IV.A'!$A$148</f>
        <v>6.11</v>
      </c>
      <c r="B4907" s="416" t="str">
        <f>'A IV.A'!$B$148</f>
        <v>PINTURA HIDROFUGANTE A BASE DE SILICONE, INCOLOR, 1 DEMÃO</v>
      </c>
      <c r="C4907" s="526" t="s">
        <v>269</v>
      </c>
      <c r="D4907" s="527"/>
      <c r="E4907" s="417" t="str">
        <f>'A IV.A'!$C$148</f>
        <v>M2</v>
      </c>
      <c r="F4907" s="58">
        <f>ROUND(F4927+F4941+F4953,2)</f>
        <v>0</v>
      </c>
    </row>
    <row r="4908" spans="1:6" ht="12.75" customHeight="1" x14ac:dyDescent="0.2">
      <c r="A4908" s="1" t="s">
        <v>17</v>
      </c>
      <c r="B4908" s="418" t="s">
        <v>162</v>
      </c>
      <c r="C4908" s="419" t="s">
        <v>263</v>
      </c>
      <c r="D4908" s="419" t="s">
        <v>264</v>
      </c>
      <c r="E4908" s="420" t="s">
        <v>265</v>
      </c>
      <c r="F4908" s="57" t="s">
        <v>266</v>
      </c>
    </row>
    <row r="4909" spans="1:6" ht="12.75" customHeight="1" x14ac:dyDescent="0.2">
      <c r="A4909" s="6" t="str">
        <f>'A VII.'!$A$123</f>
        <v>1.113</v>
      </c>
      <c r="B4909" s="421" t="str">
        <f>VLOOKUP(A4909,'A VII.'!$A$10:$D$199,2,FALSE)</f>
        <v>IMPERMEABILIZANTE INCOLOR DE BASE SILICONE</v>
      </c>
      <c r="C4909" s="114">
        <v>0.28999999999999998</v>
      </c>
      <c r="D4909" s="757" t="str">
        <f>VLOOKUP(A4909,'A VII.'!$A$10:$D$199,3,FALSE)</f>
        <v>L</v>
      </c>
      <c r="E4909" s="85">
        <f>'A VII.'!$D$123</f>
        <v>0</v>
      </c>
      <c r="F4909" s="59">
        <f>ROUND(C4909*E4909,2)</f>
        <v>0</v>
      </c>
    </row>
    <row r="4910" spans="1:6" ht="12.75" customHeight="1" x14ac:dyDescent="0.2">
      <c r="A4910" s="6"/>
      <c r="B4910" s="421"/>
      <c r="C4910" s="114"/>
      <c r="D4910" s="757"/>
      <c r="E4910" s="85"/>
      <c r="F4910" s="59">
        <f t="shared" ref="F4910:F4924" si="302">ROUND(C4910*E4910,2)</f>
        <v>0</v>
      </c>
    </row>
    <row r="4911" spans="1:6" ht="12.75" customHeight="1" x14ac:dyDescent="0.2">
      <c r="A4911" s="6"/>
      <c r="B4911" s="421"/>
      <c r="C4911" s="114"/>
      <c r="D4911" s="757"/>
      <c r="E4911" s="85"/>
      <c r="F4911" s="59">
        <f t="shared" si="302"/>
        <v>0</v>
      </c>
    </row>
    <row r="4912" spans="1:6" ht="12.75" customHeight="1" x14ac:dyDescent="0.2">
      <c r="A4912" s="6"/>
      <c r="B4912" s="421"/>
      <c r="C4912" s="114"/>
      <c r="D4912" s="757"/>
      <c r="E4912" s="85"/>
      <c r="F4912" s="59">
        <f t="shared" si="302"/>
        <v>0</v>
      </c>
    </row>
    <row r="4913" spans="1:6" ht="12.75" customHeight="1" x14ac:dyDescent="0.2">
      <c r="A4913" s="6"/>
      <c r="B4913" s="421"/>
      <c r="C4913" s="114"/>
      <c r="D4913" s="757"/>
      <c r="E4913" s="85"/>
      <c r="F4913" s="59">
        <f t="shared" si="302"/>
        <v>0</v>
      </c>
    </row>
    <row r="4914" spans="1:6" ht="12.75" customHeight="1" x14ac:dyDescent="0.2">
      <c r="A4914" s="6"/>
      <c r="B4914" s="421"/>
      <c r="C4914" s="114"/>
      <c r="D4914" s="757"/>
      <c r="E4914" s="85"/>
      <c r="F4914" s="59">
        <f t="shared" si="302"/>
        <v>0</v>
      </c>
    </row>
    <row r="4915" spans="1:6" ht="12.75" customHeight="1" x14ac:dyDescent="0.2">
      <c r="A4915" s="6"/>
      <c r="B4915" s="421"/>
      <c r="C4915" s="114"/>
      <c r="D4915" s="757"/>
      <c r="E4915" s="85"/>
      <c r="F4915" s="59">
        <f t="shared" si="302"/>
        <v>0</v>
      </c>
    </row>
    <row r="4916" spans="1:6" ht="12.75" customHeight="1" x14ac:dyDescent="0.2">
      <c r="A4916" s="6"/>
      <c r="B4916" s="421"/>
      <c r="C4916" s="114"/>
      <c r="D4916" s="757"/>
      <c r="E4916" s="85"/>
      <c r="F4916" s="59">
        <f t="shared" si="302"/>
        <v>0</v>
      </c>
    </row>
    <row r="4917" spans="1:6" ht="12.75" customHeight="1" x14ac:dyDescent="0.2">
      <c r="A4917" s="6"/>
      <c r="B4917" s="421"/>
      <c r="C4917" s="114"/>
      <c r="D4917" s="757"/>
      <c r="E4917" s="85"/>
      <c r="F4917" s="59">
        <f t="shared" si="302"/>
        <v>0</v>
      </c>
    </row>
    <row r="4918" spans="1:6" ht="12.75" customHeight="1" x14ac:dyDescent="0.2">
      <c r="A4918" s="6"/>
      <c r="B4918" s="421"/>
      <c r="C4918" s="114"/>
      <c r="D4918" s="757"/>
      <c r="E4918" s="85"/>
      <c r="F4918" s="59">
        <f t="shared" si="302"/>
        <v>0</v>
      </c>
    </row>
    <row r="4919" spans="1:6" ht="12.75" customHeight="1" x14ac:dyDescent="0.2">
      <c r="A4919" s="6"/>
      <c r="B4919" s="421"/>
      <c r="C4919" s="114"/>
      <c r="D4919" s="757"/>
      <c r="E4919" s="85"/>
      <c r="F4919" s="59">
        <f t="shared" si="302"/>
        <v>0</v>
      </c>
    </row>
    <row r="4920" spans="1:6" ht="12.75" customHeight="1" x14ac:dyDescent="0.2">
      <c r="A4920" s="6"/>
      <c r="B4920" s="421"/>
      <c r="C4920" s="114"/>
      <c r="D4920" s="758"/>
      <c r="E4920" s="85"/>
      <c r="F4920" s="59">
        <f t="shared" si="302"/>
        <v>0</v>
      </c>
    </row>
    <row r="4921" spans="1:6" ht="12.75" customHeight="1" x14ac:dyDescent="0.2">
      <c r="A4921" s="6"/>
      <c r="B4921" s="421"/>
      <c r="C4921" s="114"/>
      <c r="D4921" s="758"/>
      <c r="E4921" s="85"/>
      <c r="F4921" s="59">
        <f t="shared" si="302"/>
        <v>0</v>
      </c>
    </row>
    <row r="4922" spans="1:6" ht="12.75" customHeight="1" x14ac:dyDescent="0.2">
      <c r="A4922" s="6"/>
      <c r="B4922" s="421"/>
      <c r="C4922" s="114"/>
      <c r="D4922" s="758"/>
      <c r="E4922" s="85"/>
      <c r="F4922" s="59">
        <f t="shared" si="302"/>
        <v>0</v>
      </c>
    </row>
    <row r="4923" spans="1:6" ht="12.75" customHeight="1" x14ac:dyDescent="0.2">
      <c r="A4923" s="3"/>
      <c r="C4923" s="114"/>
      <c r="D4923" s="759"/>
      <c r="E4923" s="85"/>
      <c r="F4923" s="59">
        <f t="shared" si="302"/>
        <v>0</v>
      </c>
    </row>
    <row r="4924" spans="1:6" ht="12.75" customHeight="1" x14ac:dyDescent="0.2">
      <c r="A4924" s="3"/>
      <c r="C4924" s="114"/>
      <c r="D4924" s="759"/>
      <c r="E4924" s="85"/>
      <c r="F4924" s="59">
        <f t="shared" si="302"/>
        <v>0</v>
      </c>
    </row>
    <row r="4925" spans="1:6" ht="12.75" customHeight="1" x14ac:dyDescent="0.2">
      <c r="A4925" s="3"/>
      <c r="B4925" s="86" t="s">
        <v>258</v>
      </c>
      <c r="C4925" s="87"/>
      <c r="D4925" s="88"/>
      <c r="E4925" s="89"/>
      <c r="F4925" s="90">
        <f>SUM(F4909:F4924)</f>
        <v>0</v>
      </c>
    </row>
    <row r="4926" spans="1:6" ht="12.75" customHeight="1" x14ac:dyDescent="0.2">
      <c r="A4926" s="3"/>
      <c r="B4926" s="91" t="s">
        <v>70</v>
      </c>
      <c r="C4926" s="15">
        <f>$D$8</f>
        <v>0</v>
      </c>
      <c r="D4926" s="92"/>
      <c r="E4926" s="93"/>
      <c r="F4926" s="94">
        <f>ROUND(F4925*C4926,2)</f>
        <v>0</v>
      </c>
    </row>
    <row r="4927" spans="1:6" ht="12.75" customHeight="1" x14ac:dyDescent="0.2">
      <c r="A4927" s="95"/>
      <c r="B4927" s="424" t="s">
        <v>259</v>
      </c>
      <c r="C4927" s="425"/>
      <c r="D4927" s="425"/>
      <c r="E4927" s="426"/>
      <c r="F4927" s="96">
        <f>F4925+F4926</f>
        <v>0</v>
      </c>
    </row>
    <row r="4928" spans="1:6" ht="12.75" customHeight="1" x14ac:dyDescent="0.2">
      <c r="A4928" s="1" t="s">
        <v>5</v>
      </c>
      <c r="B4928" s="418" t="s">
        <v>267</v>
      </c>
      <c r="C4928" s="419" t="s">
        <v>263</v>
      </c>
      <c r="D4928" s="419" t="s">
        <v>264</v>
      </c>
      <c r="E4928" s="420" t="s">
        <v>265</v>
      </c>
      <c r="F4928" s="57" t="s">
        <v>266</v>
      </c>
    </row>
    <row r="4929" spans="1:6" ht="12.75" customHeight="1" x14ac:dyDescent="0.2">
      <c r="A4929" s="3"/>
      <c r="B4929" s="71"/>
      <c r="C4929" s="114"/>
      <c r="D4929" s="759"/>
      <c r="E4929" s="85"/>
      <c r="F4929" s="59">
        <f t="shared" ref="F4929:F4938" si="303">ROUND(C4929*E4929,2)</f>
        <v>0</v>
      </c>
    </row>
    <row r="4930" spans="1:6" ht="12.75" customHeight="1" x14ac:dyDescent="0.2">
      <c r="A4930" s="3"/>
      <c r="C4930" s="114"/>
      <c r="D4930" s="759"/>
      <c r="E4930" s="85"/>
      <c r="F4930" s="59">
        <f t="shared" si="303"/>
        <v>0</v>
      </c>
    </row>
    <row r="4931" spans="1:6" ht="12.75" customHeight="1" x14ac:dyDescent="0.2">
      <c r="A4931" s="3"/>
      <c r="C4931" s="114"/>
      <c r="D4931" s="759"/>
      <c r="E4931" s="85"/>
      <c r="F4931" s="59">
        <f t="shared" si="303"/>
        <v>0</v>
      </c>
    </row>
    <row r="4932" spans="1:6" ht="12.75" customHeight="1" x14ac:dyDescent="0.2">
      <c r="A4932" s="3"/>
      <c r="C4932" s="114"/>
      <c r="D4932" s="759"/>
      <c r="E4932" s="85"/>
      <c r="F4932" s="59">
        <f t="shared" si="303"/>
        <v>0</v>
      </c>
    </row>
    <row r="4933" spans="1:6" ht="12.75" customHeight="1" x14ac:dyDescent="0.2">
      <c r="A4933" s="3"/>
      <c r="C4933" s="114"/>
      <c r="D4933" s="759"/>
      <c r="E4933" s="85"/>
      <c r="F4933" s="59">
        <f t="shared" si="303"/>
        <v>0</v>
      </c>
    </row>
    <row r="4934" spans="1:6" ht="12.75" customHeight="1" x14ac:dyDescent="0.2">
      <c r="A4934" s="3"/>
      <c r="C4934" s="114"/>
      <c r="D4934" s="759"/>
      <c r="E4934" s="85"/>
      <c r="F4934" s="59">
        <f t="shared" si="303"/>
        <v>0</v>
      </c>
    </row>
    <row r="4935" spans="1:6" ht="12.75" customHeight="1" x14ac:dyDescent="0.2">
      <c r="A4935" s="3"/>
      <c r="C4935" s="114"/>
      <c r="D4935" s="759"/>
      <c r="E4935" s="85"/>
      <c r="F4935" s="59">
        <f t="shared" si="303"/>
        <v>0</v>
      </c>
    </row>
    <row r="4936" spans="1:6" ht="12.75" customHeight="1" x14ac:dyDescent="0.2">
      <c r="A4936" s="3"/>
      <c r="C4936" s="114"/>
      <c r="D4936" s="759"/>
      <c r="E4936" s="85"/>
      <c r="F4936" s="59">
        <f t="shared" si="303"/>
        <v>0</v>
      </c>
    </row>
    <row r="4937" spans="1:6" ht="12.75" customHeight="1" x14ac:dyDescent="0.2">
      <c r="A4937" s="3"/>
      <c r="C4937" s="114"/>
      <c r="D4937" s="759"/>
      <c r="E4937" s="85"/>
      <c r="F4937" s="59">
        <f t="shared" si="303"/>
        <v>0</v>
      </c>
    </row>
    <row r="4938" spans="1:6" ht="12.75" customHeight="1" x14ac:dyDescent="0.2">
      <c r="A4938" s="3"/>
      <c r="C4938" s="114"/>
      <c r="D4938" s="759"/>
      <c r="E4938" s="85"/>
      <c r="F4938" s="59">
        <f t="shared" si="303"/>
        <v>0</v>
      </c>
    </row>
    <row r="4939" spans="1:6" ht="12.75" customHeight="1" x14ac:dyDescent="0.2">
      <c r="A4939" s="3"/>
      <c r="B4939" s="86" t="s">
        <v>258</v>
      </c>
      <c r="C4939" s="87"/>
      <c r="D4939" s="88"/>
      <c r="E4939" s="89"/>
      <c r="F4939" s="90">
        <f>SUM(F4929:F4938)</f>
        <v>0</v>
      </c>
    </row>
    <row r="4940" spans="1:6" ht="12.75" customHeight="1" x14ac:dyDescent="0.2">
      <c r="A4940" s="3"/>
      <c r="B4940" s="91" t="s">
        <v>70</v>
      </c>
      <c r="C4940" s="15">
        <f>$D$8</f>
        <v>0</v>
      </c>
      <c r="D4940" s="92"/>
      <c r="E4940" s="93"/>
      <c r="F4940" s="94">
        <f>ROUND(C4940*F4939,2)</f>
        <v>0</v>
      </c>
    </row>
    <row r="4941" spans="1:6" ht="12.75" customHeight="1" x14ac:dyDescent="0.2">
      <c r="A4941" s="95"/>
      <c r="B4941" s="424" t="s">
        <v>260</v>
      </c>
      <c r="C4941" s="425"/>
      <c r="D4941" s="425"/>
      <c r="E4941" s="426"/>
      <c r="F4941" s="96">
        <f>F4939+F4940</f>
        <v>0</v>
      </c>
    </row>
    <row r="4942" spans="1:6" ht="12.75" customHeight="1" x14ac:dyDescent="0.2">
      <c r="A4942" s="97" t="s">
        <v>54</v>
      </c>
      <c r="B4942" s="427" t="s">
        <v>268</v>
      </c>
      <c r="C4942" s="428" t="s">
        <v>263</v>
      </c>
      <c r="D4942" s="429" t="s">
        <v>264</v>
      </c>
      <c r="E4942" s="430" t="s">
        <v>265</v>
      </c>
      <c r="F4942" s="57" t="s">
        <v>266</v>
      </c>
    </row>
    <row r="4943" spans="1:6" ht="12.75" customHeight="1" x14ac:dyDescent="0.2">
      <c r="A4943" s="3" t="str">
        <f>'A VII.'!$A$181</f>
        <v>3.1</v>
      </c>
      <c r="B4943" s="74" t="s">
        <v>174</v>
      </c>
      <c r="C4943" s="114">
        <v>0.3</v>
      </c>
      <c r="D4943" s="759" t="str">
        <f>VLOOKUP(A4943,'A VII.'!$A$10:$D$199,3,FALSE)</f>
        <v>H</v>
      </c>
      <c r="E4943" s="85">
        <f>'A VII.'!$D$181</f>
        <v>0</v>
      </c>
      <c r="F4943" s="59">
        <f t="shared" ref="F4943:F4949" si="304">ROUND(C4943*E4943,2)</f>
        <v>0</v>
      </c>
    </row>
    <row r="4944" spans="1:6" ht="12.75" customHeight="1" x14ac:dyDescent="0.2">
      <c r="A4944" s="3" t="str">
        <f>'A VII.'!$A$193</f>
        <v>3.13</v>
      </c>
      <c r="B4944" s="74" t="s">
        <v>186</v>
      </c>
      <c r="C4944" s="114">
        <v>0.3</v>
      </c>
      <c r="D4944" s="759" t="str">
        <f>VLOOKUP(A4944,'A VII.'!$A$10:$D$199,3,FALSE)</f>
        <v>H</v>
      </c>
      <c r="E4944" s="85">
        <f>'A VII.'!$D$193</f>
        <v>0</v>
      </c>
      <c r="F4944" s="59">
        <f t="shared" si="304"/>
        <v>0</v>
      </c>
    </row>
    <row r="4945" spans="1:6" ht="12.75" customHeight="1" x14ac:dyDescent="0.2">
      <c r="A4945" s="3"/>
      <c r="C4945" s="114"/>
      <c r="D4945" s="759"/>
      <c r="E4945" s="85"/>
      <c r="F4945" s="59">
        <f t="shared" si="304"/>
        <v>0</v>
      </c>
    </row>
    <row r="4946" spans="1:6" ht="12.75" customHeight="1" x14ac:dyDescent="0.2">
      <c r="A4946" s="3"/>
      <c r="C4946" s="114"/>
      <c r="D4946" s="759"/>
      <c r="E4946" s="85"/>
      <c r="F4946" s="59">
        <f t="shared" si="304"/>
        <v>0</v>
      </c>
    </row>
    <row r="4947" spans="1:6" ht="12.75" customHeight="1" x14ac:dyDescent="0.2">
      <c r="A4947" s="3"/>
      <c r="C4947" s="114"/>
      <c r="D4947" s="759"/>
      <c r="E4947" s="85"/>
      <c r="F4947" s="59">
        <f t="shared" si="304"/>
        <v>0</v>
      </c>
    </row>
    <row r="4948" spans="1:6" ht="12.75" customHeight="1" x14ac:dyDescent="0.2">
      <c r="A4948" s="3"/>
      <c r="C4948" s="114"/>
      <c r="D4948" s="759"/>
      <c r="E4948" s="85"/>
      <c r="F4948" s="59">
        <f t="shared" si="304"/>
        <v>0</v>
      </c>
    </row>
    <row r="4949" spans="1:6" ht="12.75" customHeight="1" x14ac:dyDescent="0.2">
      <c r="A4949" s="3"/>
      <c r="C4949" s="114"/>
      <c r="D4949" s="759"/>
      <c r="E4949" s="85"/>
      <c r="F4949" s="59">
        <f t="shared" si="304"/>
        <v>0</v>
      </c>
    </row>
    <row r="4950" spans="1:6" ht="12.75" customHeight="1" x14ac:dyDescent="0.2">
      <c r="A4950" s="3"/>
      <c r="B4950" s="86" t="s">
        <v>258</v>
      </c>
      <c r="C4950" s="87"/>
      <c r="D4950" s="88"/>
      <c r="E4950" s="89"/>
      <c r="F4950" s="90">
        <f>SUM(F4943:F4949)</f>
        <v>0</v>
      </c>
    </row>
    <row r="4951" spans="1:6" ht="12.75" customHeight="1" x14ac:dyDescent="0.2">
      <c r="A4951" s="3"/>
      <c r="B4951" s="91" t="s">
        <v>261</v>
      </c>
      <c r="C4951" s="15">
        <f>'A IX.'!$C$45</f>
        <v>0</v>
      </c>
      <c r="D4951" s="92"/>
      <c r="E4951" s="93"/>
      <c r="F4951" s="94">
        <f>ROUND(F4950*C4951,2)</f>
        <v>0</v>
      </c>
    </row>
    <row r="4952" spans="1:6" ht="12.75" customHeight="1" x14ac:dyDescent="0.2">
      <c r="A4952" s="3"/>
      <c r="B4952" s="91" t="s">
        <v>70</v>
      </c>
      <c r="C4952" s="15">
        <f>$D$8</f>
        <v>0</v>
      </c>
      <c r="D4952" s="92"/>
      <c r="E4952" s="93"/>
      <c r="F4952" s="94">
        <f>ROUND(SUM(F4950:F4951)*C4952,2)</f>
        <v>0</v>
      </c>
    </row>
    <row r="4953" spans="1:6" ht="12.75" customHeight="1" thickBot="1" x14ac:dyDescent="0.25">
      <c r="A4953" s="98"/>
      <c r="B4953" s="99" t="s">
        <v>262</v>
      </c>
      <c r="C4953" s="100"/>
      <c r="D4953" s="100"/>
      <c r="E4953" s="101"/>
      <c r="F4953" s="102">
        <f>SUM(F4950:F4952)</f>
        <v>0</v>
      </c>
    </row>
    <row r="4954" spans="1:6" ht="12.75" customHeight="1" thickBot="1" x14ac:dyDescent="0.25">
      <c r="A4954" s="252"/>
      <c r="B4954" s="253"/>
      <c r="C4954" s="254"/>
      <c r="D4954" s="254"/>
      <c r="E4954" s="255"/>
      <c r="F4954" s="256"/>
    </row>
    <row r="4955" spans="1:6" ht="30" customHeight="1" x14ac:dyDescent="0.2">
      <c r="A4955" s="5" t="str">
        <f>'A IV.A'!$A$149</f>
        <v>6.12</v>
      </c>
      <c r="B4955" s="416" t="str">
        <f>'A IV.A'!B149</f>
        <v>PINTURA COM TINTA EPOXI, DUAS DEMÃOS</v>
      </c>
      <c r="C4955" s="526" t="s">
        <v>269</v>
      </c>
      <c r="D4955" s="527"/>
      <c r="E4955" s="417" t="str">
        <f>'A IV.A'!C149</f>
        <v>M2</v>
      </c>
      <c r="F4955" s="58">
        <f>ROUND(F4975+F4989+F5001,2)</f>
        <v>0</v>
      </c>
    </row>
    <row r="4956" spans="1:6" ht="12.75" customHeight="1" x14ac:dyDescent="0.2">
      <c r="A4956" s="1" t="s">
        <v>17</v>
      </c>
      <c r="B4956" s="418" t="s">
        <v>162</v>
      </c>
      <c r="C4956" s="419" t="s">
        <v>263</v>
      </c>
      <c r="D4956" s="419" t="s">
        <v>264</v>
      </c>
      <c r="E4956" s="420" t="s">
        <v>265</v>
      </c>
      <c r="F4956" s="57" t="s">
        <v>266</v>
      </c>
    </row>
    <row r="4957" spans="1:6" ht="12.75" customHeight="1" x14ac:dyDescent="0.2">
      <c r="A4957" s="6" t="str">
        <f>'A VII.'!$A$14</f>
        <v>1.5</v>
      </c>
      <c r="B4957" s="421" t="str">
        <f>VLOOKUP(A4957,'A VII.'!$A$10:$D$199,2,FALSE)</f>
        <v>SOLVENTE DILUENTE A BASE DE AGUARRÁS</v>
      </c>
      <c r="C4957" s="114">
        <v>0.05</v>
      </c>
      <c r="D4957" s="757" t="str">
        <f>VLOOKUP(A4957,'A VII.'!$A$10:$D$199,3,FALSE)</f>
        <v>L</v>
      </c>
      <c r="E4957" s="85">
        <f>'A VII.'!D14</f>
        <v>0</v>
      </c>
      <c r="F4957" s="59">
        <f>ROUND(C4957*E4957,2)</f>
        <v>0</v>
      </c>
    </row>
    <row r="4958" spans="1:6" ht="12.75" customHeight="1" x14ac:dyDescent="0.2">
      <c r="A4958" s="6" t="str">
        <f>'A VII.'!$A$111</f>
        <v>1.101</v>
      </c>
      <c r="B4958" s="421" t="str">
        <f>VLOOKUP(A4958,'A VII.'!$A$10:$D$199,2,FALSE)</f>
        <v>TINTA EPOXI PREMIUM, BRANCA</v>
      </c>
      <c r="C4958" s="114">
        <v>0.5</v>
      </c>
      <c r="D4958" s="757" t="str">
        <f>VLOOKUP(A4958,'A VII.'!$A$10:$D$199,3,FALSE)</f>
        <v>L</v>
      </c>
      <c r="E4958" s="85">
        <f>'A VII.'!D111</f>
        <v>0</v>
      </c>
      <c r="F4958" s="59">
        <f t="shared" ref="F4958:F4972" si="305">ROUND(C4958*E4958,2)</f>
        <v>0</v>
      </c>
    </row>
    <row r="4959" spans="1:6" ht="12.75" customHeight="1" x14ac:dyDescent="0.2">
      <c r="A4959" s="6"/>
      <c r="B4959" s="421"/>
      <c r="C4959" s="114"/>
      <c r="D4959" s="757"/>
      <c r="E4959" s="85"/>
      <c r="F4959" s="59">
        <f t="shared" si="305"/>
        <v>0</v>
      </c>
    </row>
    <row r="4960" spans="1:6" ht="12.75" customHeight="1" x14ac:dyDescent="0.2">
      <c r="A4960" s="6"/>
      <c r="B4960" s="421"/>
      <c r="C4960" s="114"/>
      <c r="D4960" s="757"/>
      <c r="E4960" s="85"/>
      <c r="F4960" s="59">
        <f t="shared" si="305"/>
        <v>0</v>
      </c>
    </row>
    <row r="4961" spans="1:6" ht="12.75" customHeight="1" x14ac:dyDescent="0.2">
      <c r="A4961" s="6"/>
      <c r="B4961" s="421"/>
      <c r="C4961" s="114"/>
      <c r="D4961" s="757"/>
      <c r="E4961" s="85"/>
      <c r="F4961" s="59">
        <f t="shared" si="305"/>
        <v>0</v>
      </c>
    </row>
    <row r="4962" spans="1:6" ht="12.75" customHeight="1" x14ac:dyDescent="0.2">
      <c r="A4962" s="6"/>
      <c r="B4962" s="421"/>
      <c r="C4962" s="114"/>
      <c r="D4962" s="757"/>
      <c r="E4962" s="85"/>
      <c r="F4962" s="59">
        <f t="shared" si="305"/>
        <v>0</v>
      </c>
    </row>
    <row r="4963" spans="1:6" ht="12.75" customHeight="1" x14ac:dyDescent="0.2">
      <c r="A4963" s="6"/>
      <c r="B4963" s="421"/>
      <c r="C4963" s="114"/>
      <c r="D4963" s="757"/>
      <c r="E4963" s="85"/>
      <c r="F4963" s="59">
        <f t="shared" si="305"/>
        <v>0</v>
      </c>
    </row>
    <row r="4964" spans="1:6" ht="12.75" customHeight="1" x14ac:dyDescent="0.2">
      <c r="A4964" s="6"/>
      <c r="B4964" s="421"/>
      <c r="C4964" s="114"/>
      <c r="D4964" s="757"/>
      <c r="E4964" s="85"/>
      <c r="F4964" s="59">
        <f t="shared" si="305"/>
        <v>0</v>
      </c>
    </row>
    <row r="4965" spans="1:6" ht="12.75" customHeight="1" x14ac:dyDescent="0.2">
      <c r="A4965" s="6"/>
      <c r="B4965" s="421"/>
      <c r="C4965" s="114"/>
      <c r="D4965" s="757"/>
      <c r="E4965" s="85"/>
      <c r="F4965" s="59">
        <f t="shared" si="305"/>
        <v>0</v>
      </c>
    </row>
    <row r="4966" spans="1:6" ht="12.75" customHeight="1" x14ac:dyDescent="0.2">
      <c r="A4966" s="6"/>
      <c r="B4966" s="421"/>
      <c r="C4966" s="114"/>
      <c r="D4966" s="757"/>
      <c r="E4966" s="85"/>
      <c r="F4966" s="59">
        <f t="shared" si="305"/>
        <v>0</v>
      </c>
    </row>
    <row r="4967" spans="1:6" ht="12.75" customHeight="1" x14ac:dyDescent="0.2">
      <c r="A4967" s="6"/>
      <c r="B4967" s="421"/>
      <c r="C4967" s="114"/>
      <c r="D4967" s="757"/>
      <c r="E4967" s="85"/>
      <c r="F4967" s="59">
        <f t="shared" si="305"/>
        <v>0</v>
      </c>
    </row>
    <row r="4968" spans="1:6" ht="12.75" customHeight="1" x14ac:dyDescent="0.2">
      <c r="A4968" s="6"/>
      <c r="B4968" s="421"/>
      <c r="C4968" s="114"/>
      <c r="D4968" s="758"/>
      <c r="E4968" s="85"/>
      <c r="F4968" s="59">
        <f t="shared" si="305"/>
        <v>0</v>
      </c>
    </row>
    <row r="4969" spans="1:6" ht="12.75" customHeight="1" x14ac:dyDescent="0.2">
      <c r="A4969" s="6"/>
      <c r="B4969" s="421"/>
      <c r="C4969" s="114"/>
      <c r="D4969" s="758"/>
      <c r="E4969" s="85"/>
      <c r="F4969" s="59">
        <f t="shared" si="305"/>
        <v>0</v>
      </c>
    </row>
    <row r="4970" spans="1:6" ht="12.75" customHeight="1" x14ac:dyDescent="0.2">
      <c r="A4970" s="6"/>
      <c r="B4970" s="421"/>
      <c r="C4970" s="114"/>
      <c r="D4970" s="758"/>
      <c r="E4970" s="85"/>
      <c r="F4970" s="59">
        <f t="shared" si="305"/>
        <v>0</v>
      </c>
    </row>
    <row r="4971" spans="1:6" ht="12.75" customHeight="1" x14ac:dyDescent="0.2">
      <c r="A4971" s="3"/>
      <c r="C4971" s="114"/>
      <c r="D4971" s="759"/>
      <c r="E4971" s="85"/>
      <c r="F4971" s="59">
        <f t="shared" si="305"/>
        <v>0</v>
      </c>
    </row>
    <row r="4972" spans="1:6" ht="12.75" customHeight="1" x14ac:dyDescent="0.2">
      <c r="A4972" s="3"/>
      <c r="C4972" s="114"/>
      <c r="D4972" s="759"/>
      <c r="E4972" s="85"/>
      <c r="F4972" s="59">
        <f t="shared" si="305"/>
        <v>0</v>
      </c>
    </row>
    <row r="4973" spans="1:6" ht="12.75" customHeight="1" x14ac:dyDescent="0.2">
      <c r="A4973" s="3"/>
      <c r="B4973" s="86" t="s">
        <v>258</v>
      </c>
      <c r="C4973" s="87"/>
      <c r="D4973" s="88"/>
      <c r="E4973" s="89"/>
      <c r="F4973" s="90">
        <f>SUM(F4957:F4972)</f>
        <v>0</v>
      </c>
    </row>
    <row r="4974" spans="1:6" ht="12.75" customHeight="1" x14ac:dyDescent="0.2">
      <c r="A4974" s="3"/>
      <c r="B4974" s="91" t="s">
        <v>70</v>
      </c>
      <c r="C4974" s="15">
        <f>$D$8</f>
        <v>0</v>
      </c>
      <c r="D4974" s="92"/>
      <c r="E4974" s="93"/>
      <c r="F4974" s="94">
        <f>ROUND(F4973*C4974,2)</f>
        <v>0</v>
      </c>
    </row>
    <row r="4975" spans="1:6" ht="12.75" customHeight="1" x14ac:dyDescent="0.2">
      <c r="A4975" s="95"/>
      <c r="B4975" s="424" t="s">
        <v>259</v>
      </c>
      <c r="C4975" s="425"/>
      <c r="D4975" s="425"/>
      <c r="E4975" s="426"/>
      <c r="F4975" s="96">
        <f>F4973+F4974</f>
        <v>0</v>
      </c>
    </row>
    <row r="4976" spans="1:6" ht="12.75" customHeight="1" x14ac:dyDescent="0.2">
      <c r="A4976" s="1" t="s">
        <v>5</v>
      </c>
      <c r="B4976" s="418" t="s">
        <v>267</v>
      </c>
      <c r="C4976" s="419" t="s">
        <v>263</v>
      </c>
      <c r="D4976" s="419" t="s">
        <v>264</v>
      </c>
      <c r="E4976" s="420" t="s">
        <v>265</v>
      </c>
      <c r="F4976" s="57" t="s">
        <v>266</v>
      </c>
    </row>
    <row r="4977" spans="1:6" ht="12.75" customHeight="1" x14ac:dyDescent="0.2">
      <c r="A4977" s="3"/>
      <c r="B4977" s="71"/>
      <c r="C4977" s="114"/>
      <c r="D4977" s="759"/>
      <c r="E4977" s="85"/>
      <c r="F4977" s="59">
        <f t="shared" ref="F4977:F4986" si="306">ROUND(C4977*E4977,2)</f>
        <v>0</v>
      </c>
    </row>
    <row r="4978" spans="1:6" ht="12.75" customHeight="1" x14ac:dyDescent="0.2">
      <c r="A4978" s="3"/>
      <c r="C4978" s="114"/>
      <c r="D4978" s="759"/>
      <c r="E4978" s="85"/>
      <c r="F4978" s="59">
        <f t="shared" si="306"/>
        <v>0</v>
      </c>
    </row>
    <row r="4979" spans="1:6" ht="12.75" customHeight="1" x14ac:dyDescent="0.2">
      <c r="A4979" s="3"/>
      <c r="C4979" s="114"/>
      <c r="D4979" s="759"/>
      <c r="E4979" s="85"/>
      <c r="F4979" s="59">
        <f t="shared" si="306"/>
        <v>0</v>
      </c>
    </row>
    <row r="4980" spans="1:6" ht="12.75" customHeight="1" x14ac:dyDescent="0.2">
      <c r="A4980" s="3"/>
      <c r="C4980" s="114"/>
      <c r="D4980" s="759"/>
      <c r="E4980" s="85"/>
      <c r="F4980" s="59">
        <f t="shared" si="306"/>
        <v>0</v>
      </c>
    </row>
    <row r="4981" spans="1:6" ht="12.75" customHeight="1" x14ac:dyDescent="0.2">
      <c r="A4981" s="3"/>
      <c r="C4981" s="114"/>
      <c r="D4981" s="759"/>
      <c r="E4981" s="85"/>
      <c r="F4981" s="59">
        <f t="shared" si="306"/>
        <v>0</v>
      </c>
    </row>
    <row r="4982" spans="1:6" ht="12.75" customHeight="1" x14ac:dyDescent="0.2">
      <c r="A4982" s="3"/>
      <c r="C4982" s="114"/>
      <c r="D4982" s="759"/>
      <c r="E4982" s="85"/>
      <c r="F4982" s="59">
        <f t="shared" si="306"/>
        <v>0</v>
      </c>
    </row>
    <row r="4983" spans="1:6" ht="12.75" customHeight="1" x14ac:dyDescent="0.2">
      <c r="A4983" s="3"/>
      <c r="C4983" s="114"/>
      <c r="D4983" s="759"/>
      <c r="E4983" s="85"/>
      <c r="F4983" s="59">
        <f t="shared" si="306"/>
        <v>0</v>
      </c>
    </row>
    <row r="4984" spans="1:6" ht="12.75" customHeight="1" x14ac:dyDescent="0.2">
      <c r="A4984" s="3"/>
      <c r="C4984" s="114"/>
      <c r="D4984" s="759"/>
      <c r="E4984" s="85"/>
      <c r="F4984" s="59">
        <f t="shared" si="306"/>
        <v>0</v>
      </c>
    </row>
    <row r="4985" spans="1:6" ht="12.75" customHeight="1" x14ac:dyDescent="0.2">
      <c r="A4985" s="3"/>
      <c r="C4985" s="114"/>
      <c r="D4985" s="759"/>
      <c r="E4985" s="85"/>
      <c r="F4985" s="59">
        <f t="shared" si="306"/>
        <v>0</v>
      </c>
    </row>
    <row r="4986" spans="1:6" ht="12.75" customHeight="1" x14ac:dyDescent="0.2">
      <c r="A4986" s="3"/>
      <c r="C4986" s="114"/>
      <c r="D4986" s="759"/>
      <c r="E4986" s="85"/>
      <c r="F4986" s="59">
        <f t="shared" si="306"/>
        <v>0</v>
      </c>
    </row>
    <row r="4987" spans="1:6" ht="12.75" customHeight="1" x14ac:dyDescent="0.2">
      <c r="A4987" s="3"/>
      <c r="B4987" s="86" t="s">
        <v>258</v>
      </c>
      <c r="C4987" s="87"/>
      <c r="D4987" s="88"/>
      <c r="E4987" s="89"/>
      <c r="F4987" s="90">
        <f>SUM(F4977:F4986)</f>
        <v>0</v>
      </c>
    </row>
    <row r="4988" spans="1:6" ht="12.75" customHeight="1" x14ac:dyDescent="0.2">
      <c r="A4988" s="3"/>
      <c r="B4988" s="91" t="s">
        <v>70</v>
      </c>
      <c r="C4988" s="15">
        <f>$D$8</f>
        <v>0</v>
      </c>
      <c r="D4988" s="92"/>
      <c r="E4988" s="93"/>
      <c r="F4988" s="94">
        <f>ROUND(C4988*F4987,2)</f>
        <v>0</v>
      </c>
    </row>
    <row r="4989" spans="1:6" ht="12.75" customHeight="1" x14ac:dyDescent="0.2">
      <c r="A4989" s="95"/>
      <c r="B4989" s="424" t="s">
        <v>260</v>
      </c>
      <c r="C4989" s="425"/>
      <c r="D4989" s="425"/>
      <c r="E4989" s="426"/>
      <c r="F4989" s="96">
        <f>F4987+F4988</f>
        <v>0</v>
      </c>
    </row>
    <row r="4990" spans="1:6" ht="12.75" customHeight="1" x14ac:dyDescent="0.2">
      <c r="A4990" s="97" t="s">
        <v>54</v>
      </c>
      <c r="B4990" s="427" t="s">
        <v>268</v>
      </c>
      <c r="C4990" s="428" t="s">
        <v>263</v>
      </c>
      <c r="D4990" s="429" t="s">
        <v>264</v>
      </c>
      <c r="E4990" s="430" t="s">
        <v>265</v>
      </c>
      <c r="F4990" s="57" t="s">
        <v>266</v>
      </c>
    </row>
    <row r="4991" spans="1:6" ht="12.75" customHeight="1" x14ac:dyDescent="0.2">
      <c r="A4991" s="3" t="str">
        <f>'A VII.'!$A$193</f>
        <v>3.13</v>
      </c>
      <c r="B4991" s="74" t="s">
        <v>186</v>
      </c>
      <c r="C4991" s="114">
        <v>0.4</v>
      </c>
      <c r="D4991" s="759" t="str">
        <f>VLOOKUP(A4991,'A VII.'!$A$10:$D$199,3,FALSE)</f>
        <v>H</v>
      </c>
      <c r="E4991" s="85">
        <f>'A VII.'!D193</f>
        <v>0</v>
      </c>
      <c r="F4991" s="59">
        <f t="shared" ref="F4991:F4997" si="307">ROUND(C4991*E4991,2)</f>
        <v>0</v>
      </c>
    </row>
    <row r="4992" spans="1:6" ht="12.75" customHeight="1" x14ac:dyDescent="0.2">
      <c r="A4992" s="3" t="str">
        <f>'A VII.'!$A$196</f>
        <v>3.16</v>
      </c>
      <c r="B4992" s="74" t="s">
        <v>189</v>
      </c>
      <c r="C4992" s="114">
        <v>0.35</v>
      </c>
      <c r="D4992" s="759" t="str">
        <f>VLOOKUP(A4992,'A VII.'!$A$10:$D$199,3,FALSE)</f>
        <v>H</v>
      </c>
      <c r="E4992" s="85">
        <f>'A VII.'!D196</f>
        <v>0</v>
      </c>
      <c r="F4992" s="59">
        <f t="shared" si="307"/>
        <v>0</v>
      </c>
    </row>
    <row r="4993" spans="1:6" ht="12.75" customHeight="1" x14ac:dyDescent="0.2">
      <c r="A4993" s="3"/>
      <c r="C4993" s="114"/>
      <c r="D4993" s="759"/>
      <c r="E4993" s="85"/>
      <c r="F4993" s="59">
        <f t="shared" si="307"/>
        <v>0</v>
      </c>
    </row>
    <row r="4994" spans="1:6" ht="12.75" customHeight="1" x14ac:dyDescent="0.2">
      <c r="A4994" s="3"/>
      <c r="C4994" s="114"/>
      <c r="D4994" s="759"/>
      <c r="E4994" s="85"/>
      <c r="F4994" s="59">
        <f t="shared" si="307"/>
        <v>0</v>
      </c>
    </row>
    <row r="4995" spans="1:6" ht="12.75" customHeight="1" x14ac:dyDescent="0.2">
      <c r="A4995" s="3"/>
      <c r="C4995" s="114"/>
      <c r="D4995" s="759"/>
      <c r="E4995" s="85"/>
      <c r="F4995" s="59">
        <f t="shared" si="307"/>
        <v>0</v>
      </c>
    </row>
    <row r="4996" spans="1:6" ht="12.75" customHeight="1" x14ac:dyDescent="0.2">
      <c r="A4996" s="3"/>
      <c r="C4996" s="114"/>
      <c r="D4996" s="759"/>
      <c r="E4996" s="85"/>
      <c r="F4996" s="59">
        <f t="shared" si="307"/>
        <v>0</v>
      </c>
    </row>
    <row r="4997" spans="1:6" ht="12.75" customHeight="1" x14ac:dyDescent="0.2">
      <c r="A4997" s="3"/>
      <c r="C4997" s="114"/>
      <c r="D4997" s="759"/>
      <c r="E4997" s="85"/>
      <c r="F4997" s="59">
        <f t="shared" si="307"/>
        <v>0</v>
      </c>
    </row>
    <row r="4998" spans="1:6" ht="12.75" customHeight="1" x14ac:dyDescent="0.2">
      <c r="A4998" s="3"/>
      <c r="B4998" s="86" t="s">
        <v>258</v>
      </c>
      <c r="C4998" s="87"/>
      <c r="D4998" s="88"/>
      <c r="E4998" s="89"/>
      <c r="F4998" s="90">
        <f>SUM(F4991:F4997)</f>
        <v>0</v>
      </c>
    </row>
    <row r="4999" spans="1:6" ht="12.75" customHeight="1" x14ac:dyDescent="0.2">
      <c r="A4999" s="3"/>
      <c r="B4999" s="91" t="s">
        <v>261</v>
      </c>
      <c r="C4999" s="15">
        <f>'A IX.'!$C$45</f>
        <v>0</v>
      </c>
      <c r="D4999" s="92"/>
      <c r="E4999" s="93"/>
      <c r="F4999" s="94">
        <f>ROUND(F4998*C4999,2)</f>
        <v>0</v>
      </c>
    </row>
    <row r="5000" spans="1:6" ht="12.75" customHeight="1" x14ac:dyDescent="0.2">
      <c r="A5000" s="3"/>
      <c r="B5000" s="91" t="s">
        <v>70</v>
      </c>
      <c r="C5000" s="15">
        <f>$D$8</f>
        <v>0</v>
      </c>
      <c r="D5000" s="92"/>
      <c r="E5000" s="93"/>
      <c r="F5000" s="94">
        <f>ROUND(SUM(F4998:F4999)*C5000,2)</f>
        <v>0</v>
      </c>
    </row>
    <row r="5001" spans="1:6" ht="12.75" customHeight="1" thickBot="1" x14ac:dyDescent="0.25">
      <c r="A5001" s="98"/>
      <c r="B5001" s="99" t="s">
        <v>262</v>
      </c>
      <c r="C5001" s="100"/>
      <c r="D5001" s="100"/>
      <c r="E5001" s="101"/>
      <c r="F5001" s="102">
        <f>SUM(F4998:F5000)</f>
        <v>0</v>
      </c>
    </row>
    <row r="5002" spans="1:6" ht="12.75" customHeight="1" thickBot="1" x14ac:dyDescent="0.25">
      <c r="A5002" s="81"/>
      <c r="B5002" s="82"/>
      <c r="C5002" s="83"/>
      <c r="D5002" s="83"/>
      <c r="E5002" s="84"/>
      <c r="F5002" s="103"/>
    </row>
    <row r="5003" spans="1:6" ht="30" customHeight="1" x14ac:dyDescent="0.2">
      <c r="A5003" s="5" t="str">
        <f>'A IV.A'!$A$150</f>
        <v>6.13</v>
      </c>
      <c r="B5003" s="416" t="str">
        <f>'A IV.A'!$B$150</f>
        <v>PINTURA DO LOGOTIPO “SEMAE“ NA FACE DO RESERVATÓRIO</v>
      </c>
      <c r="C5003" s="526" t="s">
        <v>269</v>
      </c>
      <c r="D5003" s="527"/>
      <c r="E5003" s="417" t="str">
        <f>'A IV.A'!$C$150</f>
        <v>UN</v>
      </c>
      <c r="F5003" s="58">
        <f>ROUND(F5023+F5037+F5049,2)</f>
        <v>0</v>
      </c>
    </row>
    <row r="5004" spans="1:6" ht="12.75" customHeight="1" x14ac:dyDescent="0.2">
      <c r="A5004" s="1" t="s">
        <v>17</v>
      </c>
      <c r="B5004" s="418" t="s">
        <v>162</v>
      </c>
      <c r="C5004" s="419" t="s">
        <v>263</v>
      </c>
      <c r="D5004" s="419" t="s">
        <v>264</v>
      </c>
      <c r="E5004" s="420" t="s">
        <v>265</v>
      </c>
      <c r="F5004" s="57" t="s">
        <v>266</v>
      </c>
    </row>
    <row r="5005" spans="1:6" ht="12.75" customHeight="1" x14ac:dyDescent="0.2">
      <c r="A5005" s="6" t="str">
        <f>'A VII.'!$A$14</f>
        <v>1.5</v>
      </c>
      <c r="B5005" s="421" t="str">
        <f>VLOOKUP(A5005,'A VII.'!$A$10:$D$199,2,FALSE)</f>
        <v>SOLVENTE DILUENTE A BASE DE AGUARRÁS</v>
      </c>
      <c r="C5005" s="114">
        <f>10*0.05</f>
        <v>0.5</v>
      </c>
      <c r="D5005" s="757" t="str">
        <f>VLOOKUP(A5005,'A VII.'!$A$10:$D$199,3,FALSE)</f>
        <v>L</v>
      </c>
      <c r="E5005" s="85">
        <f>'A VII.'!$D$14</f>
        <v>0</v>
      </c>
      <c r="F5005" s="59">
        <f>ROUND(C5005*E5005,2)</f>
        <v>0</v>
      </c>
    </row>
    <row r="5006" spans="1:6" ht="12.75" customHeight="1" x14ac:dyDescent="0.2">
      <c r="A5006" s="6" t="str">
        <f>'A VII.'!$A$110</f>
        <v>1.100</v>
      </c>
      <c r="B5006" s="421" t="str">
        <f>VLOOKUP(A5006,'A VII.'!$A$10:$D$199,2,FALSE)</f>
        <v xml:space="preserve">TINTA ESMALTE SINTETICO PREMIUM </v>
      </c>
      <c r="C5006" s="114">
        <v>1</v>
      </c>
      <c r="D5006" s="757" t="str">
        <f>VLOOKUP(A5006,'A VII.'!$A$10:$D$199,3,FALSE)</f>
        <v>L</v>
      </c>
      <c r="E5006" s="85">
        <f>'A VII.'!D110</f>
        <v>0</v>
      </c>
      <c r="F5006" s="59">
        <f t="shared" ref="F5006:F5020" si="308">ROUND(C5006*E5006,2)</f>
        <v>0</v>
      </c>
    </row>
    <row r="5007" spans="1:6" ht="12.75" customHeight="1" x14ac:dyDescent="0.2">
      <c r="A5007" s="6" t="str">
        <f>'A VII.'!$A$68</f>
        <v>1.59</v>
      </c>
      <c r="B5007" s="421" t="str">
        <f>VLOOKUP(A5007,'A VII.'!$A$10:$D$199,2,FALSE)</f>
        <v>LIXA PARA SUPERFÍCIE/MASSA, GRANA 120</v>
      </c>
      <c r="C5007" s="114">
        <f>10*0.25</f>
        <v>2.5</v>
      </c>
      <c r="D5007" s="757" t="str">
        <f>VLOOKUP(A5007,'A VII.'!$A$10:$D$199,3,FALSE)</f>
        <v>UN</v>
      </c>
      <c r="E5007" s="85">
        <f>'A VII.'!$D$68</f>
        <v>0</v>
      </c>
      <c r="F5007" s="59">
        <f t="shared" si="308"/>
        <v>0</v>
      </c>
    </row>
    <row r="5008" spans="1:6" ht="12.75" customHeight="1" x14ac:dyDescent="0.2">
      <c r="A5008" s="6" t="str">
        <f>'A VII.'!$A$98</f>
        <v>1.88</v>
      </c>
      <c r="B5008" s="421" t="str">
        <f>VLOOKUP(A5008,'A VII.'!$A$10:$D$199,2,FALSE)</f>
        <v>SELADOR ACRÍLICO</v>
      </c>
      <c r="C5008" s="114">
        <f>10*0.12</f>
        <v>1.2</v>
      </c>
      <c r="D5008" s="757" t="str">
        <f>VLOOKUP(A5008,'A VII.'!$A$10:$D$199,3,FALSE)</f>
        <v>L</v>
      </c>
      <c r="E5008" s="85">
        <f>'A VII.'!$D$98</f>
        <v>0</v>
      </c>
      <c r="F5008" s="59">
        <f t="shared" si="308"/>
        <v>0</v>
      </c>
    </row>
    <row r="5009" spans="1:6" ht="12.75" customHeight="1" x14ac:dyDescent="0.2">
      <c r="A5009" s="6" t="str">
        <f>'A VII.'!$A$112</f>
        <v>1.102</v>
      </c>
      <c r="B5009" s="421" t="str">
        <f>VLOOKUP(A5009,'A VII.'!$A$10:$D$199,2,FALSE)</f>
        <v>TINTA LÁTEX ACRÍLICA - 1ª LINHA</v>
      </c>
      <c r="C5009" s="114">
        <f>20*0.2</f>
        <v>4</v>
      </c>
      <c r="D5009" s="757" t="str">
        <f>VLOOKUP(A5009,'A VII.'!$A$10:$D$199,3,FALSE)</f>
        <v>L</v>
      </c>
      <c r="E5009" s="85">
        <f>'A VII.'!$D$112</f>
        <v>0</v>
      </c>
      <c r="F5009" s="59">
        <f t="shared" si="308"/>
        <v>0</v>
      </c>
    </row>
    <row r="5010" spans="1:6" ht="12.75" customHeight="1" x14ac:dyDescent="0.2">
      <c r="A5010" s="6"/>
      <c r="B5010" s="421"/>
      <c r="C5010" s="114"/>
      <c r="D5010" s="757"/>
      <c r="E5010" s="85"/>
      <c r="F5010" s="59">
        <f t="shared" si="308"/>
        <v>0</v>
      </c>
    </row>
    <row r="5011" spans="1:6" ht="12.75" customHeight="1" x14ac:dyDescent="0.2">
      <c r="A5011" s="6"/>
      <c r="B5011" s="421"/>
      <c r="C5011" s="114"/>
      <c r="D5011" s="757"/>
      <c r="E5011" s="85"/>
      <c r="F5011" s="59">
        <f t="shared" si="308"/>
        <v>0</v>
      </c>
    </row>
    <row r="5012" spans="1:6" ht="12.75" customHeight="1" x14ac:dyDescent="0.2">
      <c r="A5012" s="6"/>
      <c r="B5012" s="421"/>
      <c r="C5012" s="114"/>
      <c r="D5012" s="757"/>
      <c r="E5012" s="85"/>
      <c r="F5012" s="59">
        <f t="shared" si="308"/>
        <v>0</v>
      </c>
    </row>
    <row r="5013" spans="1:6" ht="12.75" customHeight="1" x14ac:dyDescent="0.2">
      <c r="A5013" s="6"/>
      <c r="B5013" s="421"/>
      <c r="C5013" s="114"/>
      <c r="D5013" s="757"/>
      <c r="E5013" s="85"/>
      <c r="F5013" s="59">
        <f t="shared" si="308"/>
        <v>0</v>
      </c>
    </row>
    <row r="5014" spans="1:6" ht="12.75" customHeight="1" x14ac:dyDescent="0.2">
      <c r="A5014" s="6"/>
      <c r="B5014" s="421"/>
      <c r="C5014" s="114"/>
      <c r="D5014" s="757"/>
      <c r="E5014" s="85"/>
      <c r="F5014" s="59">
        <f t="shared" si="308"/>
        <v>0</v>
      </c>
    </row>
    <row r="5015" spans="1:6" ht="12.75" customHeight="1" x14ac:dyDescent="0.2">
      <c r="A5015" s="6"/>
      <c r="B5015" s="421"/>
      <c r="C5015" s="114"/>
      <c r="D5015" s="757"/>
      <c r="E5015" s="85"/>
      <c r="F5015" s="59">
        <f t="shared" si="308"/>
        <v>0</v>
      </c>
    </row>
    <row r="5016" spans="1:6" ht="12.75" customHeight="1" x14ac:dyDescent="0.2">
      <c r="A5016" s="6"/>
      <c r="B5016" s="421"/>
      <c r="C5016" s="114"/>
      <c r="D5016" s="758"/>
      <c r="E5016" s="85"/>
      <c r="F5016" s="59">
        <f t="shared" si="308"/>
        <v>0</v>
      </c>
    </row>
    <row r="5017" spans="1:6" ht="12.75" customHeight="1" x14ac:dyDescent="0.2">
      <c r="A5017" s="6"/>
      <c r="B5017" s="421"/>
      <c r="C5017" s="114"/>
      <c r="D5017" s="758"/>
      <c r="E5017" s="85"/>
      <c r="F5017" s="59">
        <f t="shared" si="308"/>
        <v>0</v>
      </c>
    </row>
    <row r="5018" spans="1:6" ht="12.75" customHeight="1" x14ac:dyDescent="0.2">
      <c r="A5018" s="6"/>
      <c r="B5018" s="421"/>
      <c r="C5018" s="114"/>
      <c r="D5018" s="758"/>
      <c r="E5018" s="85"/>
      <c r="F5018" s="59">
        <f t="shared" si="308"/>
        <v>0</v>
      </c>
    </row>
    <row r="5019" spans="1:6" ht="12.75" customHeight="1" x14ac:dyDescent="0.2">
      <c r="A5019" s="3"/>
      <c r="C5019" s="114"/>
      <c r="D5019" s="759"/>
      <c r="E5019" s="85"/>
      <c r="F5019" s="59">
        <f t="shared" si="308"/>
        <v>0</v>
      </c>
    </row>
    <row r="5020" spans="1:6" ht="12.75" customHeight="1" x14ac:dyDescent="0.2">
      <c r="A5020" s="3"/>
      <c r="C5020" s="114"/>
      <c r="D5020" s="759"/>
      <c r="E5020" s="85"/>
      <c r="F5020" s="59">
        <f t="shared" si="308"/>
        <v>0</v>
      </c>
    </row>
    <row r="5021" spans="1:6" ht="12.75" customHeight="1" x14ac:dyDescent="0.2">
      <c r="A5021" s="3"/>
      <c r="B5021" s="86" t="s">
        <v>258</v>
      </c>
      <c r="C5021" s="87"/>
      <c r="D5021" s="88"/>
      <c r="E5021" s="89"/>
      <c r="F5021" s="90">
        <f>SUM(F5005:F5020)</f>
        <v>0</v>
      </c>
    </row>
    <row r="5022" spans="1:6" ht="12.75" customHeight="1" x14ac:dyDescent="0.2">
      <c r="A5022" s="3"/>
      <c r="B5022" s="91" t="s">
        <v>70</v>
      </c>
      <c r="C5022" s="15">
        <f>$D$8</f>
        <v>0</v>
      </c>
      <c r="D5022" s="92"/>
      <c r="E5022" s="93"/>
      <c r="F5022" s="94">
        <f>ROUND(F5021*C5022,2)</f>
        <v>0</v>
      </c>
    </row>
    <row r="5023" spans="1:6" ht="12.75" customHeight="1" x14ac:dyDescent="0.2">
      <c r="A5023" s="95"/>
      <c r="B5023" s="424" t="s">
        <v>259</v>
      </c>
      <c r="C5023" s="425"/>
      <c r="D5023" s="425"/>
      <c r="E5023" s="426"/>
      <c r="F5023" s="96">
        <f>F5021+F5022</f>
        <v>0</v>
      </c>
    </row>
    <row r="5024" spans="1:6" ht="12.75" customHeight="1" x14ac:dyDescent="0.2">
      <c r="A5024" s="1" t="s">
        <v>5</v>
      </c>
      <c r="B5024" s="418" t="s">
        <v>267</v>
      </c>
      <c r="C5024" s="419" t="s">
        <v>263</v>
      </c>
      <c r="D5024" s="419" t="s">
        <v>264</v>
      </c>
      <c r="E5024" s="420" t="s">
        <v>265</v>
      </c>
      <c r="F5024" s="57" t="s">
        <v>266</v>
      </c>
    </row>
    <row r="5025" spans="1:6" ht="12.75" customHeight="1" x14ac:dyDescent="0.2">
      <c r="A5025" s="3" t="str">
        <f>'A VII.'!$A$147</f>
        <v>2.5</v>
      </c>
      <c r="B5025" s="71" t="str">
        <f>VLOOKUP(A5025,'A VII.'!$A$10:$D$199,2,FALSE)</f>
        <v>BALANCIM LEVE TRADICIONAL - PLATAFORMA 3,00 M COM GUINCHO MANUAL, NR 18 (LOCAÇÃO MENSAL + TRANSPORTE)</v>
      </c>
      <c r="C5025" s="114">
        <v>6.6699999999999995E-2</v>
      </c>
      <c r="D5025" s="759" t="str">
        <f>VLOOKUP(A5025,'A VII.'!$A$10:$D$199,3,FALSE)</f>
        <v>LOC/MÊS</v>
      </c>
      <c r="E5025" s="85">
        <f>'A VII.'!$D$147</f>
        <v>0</v>
      </c>
      <c r="F5025" s="59">
        <f t="shared" ref="F5025:F5034" si="309">ROUND(C5025*E5025,2)</f>
        <v>0</v>
      </c>
    </row>
    <row r="5026" spans="1:6" ht="12.75" customHeight="1" x14ac:dyDescent="0.2">
      <c r="A5026" s="3"/>
      <c r="C5026" s="114"/>
      <c r="D5026" s="759"/>
      <c r="E5026" s="85"/>
      <c r="F5026" s="59">
        <f t="shared" si="309"/>
        <v>0</v>
      </c>
    </row>
    <row r="5027" spans="1:6" ht="12.75" customHeight="1" x14ac:dyDescent="0.2">
      <c r="A5027" s="3"/>
      <c r="C5027" s="114"/>
      <c r="D5027" s="759"/>
      <c r="E5027" s="85"/>
      <c r="F5027" s="59">
        <f t="shared" si="309"/>
        <v>0</v>
      </c>
    </row>
    <row r="5028" spans="1:6" ht="12.75" customHeight="1" x14ac:dyDescent="0.2">
      <c r="A5028" s="3"/>
      <c r="C5028" s="114"/>
      <c r="D5028" s="759"/>
      <c r="E5028" s="85"/>
      <c r="F5028" s="59">
        <f t="shared" si="309"/>
        <v>0</v>
      </c>
    </row>
    <row r="5029" spans="1:6" ht="12.75" customHeight="1" x14ac:dyDescent="0.2">
      <c r="A5029" s="3"/>
      <c r="C5029" s="114"/>
      <c r="D5029" s="759"/>
      <c r="E5029" s="85"/>
      <c r="F5029" s="59">
        <f t="shared" si="309"/>
        <v>0</v>
      </c>
    </row>
    <row r="5030" spans="1:6" ht="12.75" customHeight="1" x14ac:dyDescent="0.2">
      <c r="A5030" s="3"/>
      <c r="C5030" s="114"/>
      <c r="D5030" s="759"/>
      <c r="E5030" s="85"/>
      <c r="F5030" s="59">
        <f t="shared" si="309"/>
        <v>0</v>
      </c>
    </row>
    <row r="5031" spans="1:6" ht="12.75" customHeight="1" x14ac:dyDescent="0.2">
      <c r="A5031" s="3"/>
      <c r="C5031" s="114"/>
      <c r="D5031" s="759"/>
      <c r="E5031" s="85"/>
      <c r="F5031" s="59">
        <f t="shared" si="309"/>
        <v>0</v>
      </c>
    </row>
    <row r="5032" spans="1:6" ht="12.75" customHeight="1" x14ac:dyDescent="0.2">
      <c r="A5032" s="3"/>
      <c r="C5032" s="114"/>
      <c r="D5032" s="759"/>
      <c r="E5032" s="85"/>
      <c r="F5032" s="59">
        <f t="shared" si="309"/>
        <v>0</v>
      </c>
    </row>
    <row r="5033" spans="1:6" ht="12.75" customHeight="1" x14ac:dyDescent="0.2">
      <c r="A5033" s="3"/>
      <c r="C5033" s="114"/>
      <c r="D5033" s="759"/>
      <c r="E5033" s="85"/>
      <c r="F5033" s="59">
        <f t="shared" si="309"/>
        <v>0</v>
      </c>
    </row>
    <row r="5034" spans="1:6" ht="12.75" customHeight="1" x14ac:dyDescent="0.2">
      <c r="A5034" s="3"/>
      <c r="C5034" s="114"/>
      <c r="D5034" s="759"/>
      <c r="E5034" s="85"/>
      <c r="F5034" s="59">
        <f t="shared" si="309"/>
        <v>0</v>
      </c>
    </row>
    <row r="5035" spans="1:6" ht="12.75" customHeight="1" x14ac:dyDescent="0.2">
      <c r="A5035" s="3"/>
      <c r="B5035" s="86" t="s">
        <v>258</v>
      </c>
      <c r="C5035" s="87"/>
      <c r="D5035" s="88"/>
      <c r="E5035" s="89"/>
      <c r="F5035" s="90">
        <f>SUM(F5025:F5034)</f>
        <v>0</v>
      </c>
    </row>
    <row r="5036" spans="1:6" ht="12.75" customHeight="1" x14ac:dyDescent="0.2">
      <c r="A5036" s="3"/>
      <c r="B5036" s="91" t="s">
        <v>70</v>
      </c>
      <c r="C5036" s="15">
        <f>$D$8</f>
        <v>0</v>
      </c>
      <c r="D5036" s="92"/>
      <c r="E5036" s="93"/>
      <c r="F5036" s="94">
        <f>ROUND(C5036*F5035,2)</f>
        <v>0</v>
      </c>
    </row>
    <row r="5037" spans="1:6" ht="12.75" customHeight="1" x14ac:dyDescent="0.2">
      <c r="A5037" s="95"/>
      <c r="B5037" s="424" t="s">
        <v>260</v>
      </c>
      <c r="C5037" s="425"/>
      <c r="D5037" s="425"/>
      <c r="E5037" s="426"/>
      <c r="F5037" s="96">
        <f>F5035+F5036</f>
        <v>0</v>
      </c>
    </row>
    <row r="5038" spans="1:6" ht="12.75" customHeight="1" x14ac:dyDescent="0.2">
      <c r="A5038" s="97" t="s">
        <v>54</v>
      </c>
      <c r="B5038" s="427" t="s">
        <v>268</v>
      </c>
      <c r="C5038" s="428" t="s">
        <v>263</v>
      </c>
      <c r="D5038" s="429" t="s">
        <v>264</v>
      </c>
      <c r="E5038" s="430" t="s">
        <v>265</v>
      </c>
      <c r="F5038" s="57" t="s">
        <v>266</v>
      </c>
    </row>
    <row r="5039" spans="1:6" ht="12.75" customHeight="1" x14ac:dyDescent="0.2">
      <c r="A5039" s="3" t="str">
        <f>'A VII.'!$A$194</f>
        <v>3.14</v>
      </c>
      <c r="B5039" s="74" t="s">
        <v>187</v>
      </c>
      <c r="C5039" s="114">
        <v>16</v>
      </c>
      <c r="D5039" s="759" t="str">
        <f>VLOOKUP(A5039,'A VII.'!$A$10:$D$199,3,FALSE)</f>
        <v>H</v>
      </c>
      <c r="E5039" s="85">
        <f>'A VII.'!$D$194</f>
        <v>0</v>
      </c>
      <c r="F5039" s="59">
        <f t="shared" ref="F5039:F5045" si="310">ROUND(C5039*E5039,2)</f>
        <v>0</v>
      </c>
    </row>
    <row r="5040" spans="1:6" ht="12.75" customHeight="1" x14ac:dyDescent="0.2">
      <c r="A5040" s="3"/>
      <c r="C5040" s="114"/>
      <c r="D5040" s="759"/>
      <c r="E5040" s="85"/>
      <c r="F5040" s="59">
        <f t="shared" si="310"/>
        <v>0</v>
      </c>
    </row>
    <row r="5041" spans="1:6" ht="12.75" customHeight="1" x14ac:dyDescent="0.2">
      <c r="A5041" s="3"/>
      <c r="C5041" s="114"/>
      <c r="D5041" s="759"/>
      <c r="E5041" s="85"/>
      <c r="F5041" s="59">
        <f t="shared" si="310"/>
        <v>0</v>
      </c>
    </row>
    <row r="5042" spans="1:6" ht="12.75" customHeight="1" x14ac:dyDescent="0.2">
      <c r="A5042" s="3"/>
      <c r="C5042" s="114"/>
      <c r="D5042" s="759"/>
      <c r="E5042" s="85"/>
      <c r="F5042" s="59">
        <f t="shared" si="310"/>
        <v>0</v>
      </c>
    </row>
    <row r="5043" spans="1:6" ht="12.75" customHeight="1" x14ac:dyDescent="0.2">
      <c r="A5043" s="3"/>
      <c r="C5043" s="114"/>
      <c r="D5043" s="759"/>
      <c r="E5043" s="85"/>
      <c r="F5043" s="59">
        <f t="shared" si="310"/>
        <v>0</v>
      </c>
    </row>
    <row r="5044" spans="1:6" ht="12.75" customHeight="1" x14ac:dyDescent="0.2">
      <c r="A5044" s="3"/>
      <c r="C5044" s="114"/>
      <c r="D5044" s="759"/>
      <c r="E5044" s="85"/>
      <c r="F5044" s="59">
        <f t="shared" si="310"/>
        <v>0</v>
      </c>
    </row>
    <row r="5045" spans="1:6" ht="12.75" customHeight="1" x14ac:dyDescent="0.2">
      <c r="A5045" s="3"/>
      <c r="C5045" s="114"/>
      <c r="D5045" s="759"/>
      <c r="E5045" s="85"/>
      <c r="F5045" s="59">
        <f t="shared" si="310"/>
        <v>0</v>
      </c>
    </row>
    <row r="5046" spans="1:6" ht="12.75" customHeight="1" x14ac:dyDescent="0.2">
      <c r="A5046" s="3"/>
      <c r="B5046" s="86" t="s">
        <v>258</v>
      </c>
      <c r="C5046" s="87"/>
      <c r="D5046" s="88"/>
      <c r="E5046" s="89"/>
      <c r="F5046" s="90">
        <f>SUM(F5039:F5045)</f>
        <v>0</v>
      </c>
    </row>
    <row r="5047" spans="1:6" ht="12.75" customHeight="1" x14ac:dyDescent="0.2">
      <c r="A5047" s="3"/>
      <c r="B5047" s="91" t="s">
        <v>261</v>
      </c>
      <c r="C5047" s="15">
        <f>'A IX.'!$C$45</f>
        <v>0</v>
      </c>
      <c r="D5047" s="92"/>
      <c r="E5047" s="93"/>
      <c r="F5047" s="94">
        <f>ROUND(F5046*C5047,2)</f>
        <v>0</v>
      </c>
    </row>
    <row r="5048" spans="1:6" ht="12.75" customHeight="1" x14ac:dyDescent="0.2">
      <c r="A5048" s="3"/>
      <c r="B5048" s="91" t="s">
        <v>70</v>
      </c>
      <c r="C5048" s="15">
        <f>$D$8</f>
        <v>0</v>
      </c>
      <c r="D5048" s="92"/>
      <c r="E5048" s="93"/>
      <c r="F5048" s="94">
        <f>ROUND(SUM(F5046:F5047)*C5048,2)</f>
        <v>0</v>
      </c>
    </row>
    <row r="5049" spans="1:6" ht="12.75" customHeight="1" thickBot="1" x14ac:dyDescent="0.25">
      <c r="A5049" s="98"/>
      <c r="B5049" s="99" t="s">
        <v>262</v>
      </c>
      <c r="C5049" s="100"/>
      <c r="D5049" s="100"/>
      <c r="E5049" s="101"/>
      <c r="F5049" s="102">
        <f>SUM(F5046:F5048)</f>
        <v>0</v>
      </c>
    </row>
    <row r="5050" spans="1:6" ht="12.75" customHeight="1" thickBot="1" x14ac:dyDescent="0.25">
      <c r="A5050" s="81"/>
      <c r="B5050" s="82"/>
      <c r="C5050" s="83"/>
      <c r="D5050" s="83"/>
      <c r="E5050" s="84"/>
      <c r="F5050" s="103"/>
    </row>
    <row r="5051" spans="1:6" ht="30" customHeight="1" x14ac:dyDescent="0.2">
      <c r="A5051" s="5" t="str">
        <f>'A IV.A'!$A$151</f>
        <v>6.14</v>
      </c>
      <c r="B5051" s="416" t="str">
        <f>'A IV.A'!$B$151</f>
        <v>PINTURA DA LOGOMARCA DO MUNICÍPIO DE SÃO JOSÉ DO RIO PRETO E NOME DO SISTEMA</v>
      </c>
      <c r="C5051" s="526" t="s">
        <v>269</v>
      </c>
      <c r="D5051" s="527"/>
      <c r="E5051" s="417" t="str">
        <f>'A IV.A'!$C$151</f>
        <v>UN</v>
      </c>
      <c r="F5051" s="58">
        <f>ROUND(F5071+F5085+F5097,2)</f>
        <v>0</v>
      </c>
    </row>
    <row r="5052" spans="1:6" ht="12.75" customHeight="1" x14ac:dyDescent="0.2">
      <c r="A5052" s="1" t="s">
        <v>17</v>
      </c>
      <c r="B5052" s="418" t="s">
        <v>162</v>
      </c>
      <c r="C5052" s="419" t="s">
        <v>263</v>
      </c>
      <c r="D5052" s="419" t="s">
        <v>264</v>
      </c>
      <c r="E5052" s="420" t="s">
        <v>265</v>
      </c>
      <c r="F5052" s="57" t="s">
        <v>266</v>
      </c>
    </row>
    <row r="5053" spans="1:6" ht="12.75" customHeight="1" x14ac:dyDescent="0.2">
      <c r="A5053" s="6" t="str">
        <f>'A VII.'!$A$14</f>
        <v>1.5</v>
      </c>
      <c r="B5053" s="421" t="str">
        <f>VLOOKUP(A5053,'A VII.'!$A$10:$D$199,2,FALSE)</f>
        <v>SOLVENTE DILUENTE A BASE DE AGUARRÁS</v>
      </c>
      <c r="C5053" s="114">
        <f>10*0.05</f>
        <v>0.5</v>
      </c>
      <c r="D5053" s="757" t="str">
        <f>VLOOKUP(A5053,'A VII.'!$A$10:$D$199,3,FALSE)</f>
        <v>L</v>
      </c>
      <c r="E5053" s="85">
        <f>'A VII.'!$D$14</f>
        <v>0</v>
      </c>
      <c r="F5053" s="59">
        <f>ROUND(C5053*E5053,2)</f>
        <v>0</v>
      </c>
    </row>
    <row r="5054" spans="1:6" ht="12.75" customHeight="1" x14ac:dyDescent="0.2">
      <c r="A5054" s="6" t="str">
        <f>'A VII.'!$A$110</f>
        <v>1.100</v>
      </c>
      <c r="B5054" s="421" t="str">
        <f>VLOOKUP(A5054,'A VII.'!$A$10:$D$199,2,FALSE)</f>
        <v xml:space="preserve">TINTA ESMALTE SINTETICO PREMIUM </v>
      </c>
      <c r="C5054" s="114">
        <v>1</v>
      </c>
      <c r="D5054" s="757" t="str">
        <f>VLOOKUP(A5054,'A VII.'!$A$10:$D$199,3,FALSE)</f>
        <v>L</v>
      </c>
      <c r="E5054" s="85">
        <f>'A VII.'!D110</f>
        <v>0</v>
      </c>
      <c r="F5054" s="59">
        <f t="shared" ref="F5054:F5068" si="311">ROUND(C5054*E5054,2)</f>
        <v>0</v>
      </c>
    </row>
    <row r="5055" spans="1:6" ht="12.75" customHeight="1" x14ac:dyDescent="0.2">
      <c r="A5055" s="6" t="str">
        <f>'A VII.'!$A$68</f>
        <v>1.59</v>
      </c>
      <c r="B5055" s="421" t="str">
        <f>VLOOKUP(A5055,'A VII.'!$A$10:$D$199,2,FALSE)</f>
        <v>LIXA PARA SUPERFÍCIE/MASSA, GRANA 120</v>
      </c>
      <c r="C5055" s="114">
        <f>10*0.25</f>
        <v>2.5</v>
      </c>
      <c r="D5055" s="757" t="str">
        <f>VLOOKUP(A5055,'A VII.'!$A$10:$D$199,3,FALSE)</f>
        <v>UN</v>
      </c>
      <c r="E5055" s="85">
        <f>'A VII.'!$D$68</f>
        <v>0</v>
      </c>
      <c r="F5055" s="59">
        <f t="shared" si="311"/>
        <v>0</v>
      </c>
    </row>
    <row r="5056" spans="1:6" ht="12.75" customHeight="1" x14ac:dyDescent="0.2">
      <c r="A5056" s="6" t="str">
        <f>'A VII.'!$A$98</f>
        <v>1.88</v>
      </c>
      <c r="B5056" s="421" t="str">
        <f>VLOOKUP(A5056,'A VII.'!$A$10:$D$199,2,FALSE)</f>
        <v>SELADOR ACRÍLICO</v>
      </c>
      <c r="C5056" s="114">
        <f>10*0.12</f>
        <v>1.2</v>
      </c>
      <c r="D5056" s="757" t="str">
        <f>VLOOKUP(A5056,'A VII.'!$A$10:$D$199,3,FALSE)</f>
        <v>L</v>
      </c>
      <c r="E5056" s="85">
        <f>'A VII.'!$D$98</f>
        <v>0</v>
      </c>
      <c r="F5056" s="59">
        <f t="shared" si="311"/>
        <v>0</v>
      </c>
    </row>
    <row r="5057" spans="1:6" ht="12.75" customHeight="1" x14ac:dyDescent="0.2">
      <c r="A5057" s="6" t="str">
        <f>'A VII.'!$A$112</f>
        <v>1.102</v>
      </c>
      <c r="B5057" s="421" t="str">
        <f>VLOOKUP(A5057,'A VII.'!$A$10:$D$199,2,FALSE)</f>
        <v>TINTA LÁTEX ACRÍLICA - 1ª LINHA</v>
      </c>
      <c r="C5057" s="114">
        <f>20*0.2</f>
        <v>4</v>
      </c>
      <c r="D5057" s="757" t="str">
        <f>VLOOKUP(A5057,'A VII.'!$A$10:$D$199,3,FALSE)</f>
        <v>L</v>
      </c>
      <c r="E5057" s="85">
        <f>'A VII.'!$D$112</f>
        <v>0</v>
      </c>
      <c r="F5057" s="59">
        <f t="shared" si="311"/>
        <v>0</v>
      </c>
    </row>
    <row r="5058" spans="1:6" ht="12.75" customHeight="1" x14ac:dyDescent="0.2">
      <c r="A5058" s="6"/>
      <c r="B5058" s="421"/>
      <c r="C5058" s="114"/>
      <c r="D5058" s="757"/>
      <c r="E5058" s="85"/>
      <c r="F5058" s="59">
        <f t="shared" si="311"/>
        <v>0</v>
      </c>
    </row>
    <row r="5059" spans="1:6" ht="12.75" customHeight="1" x14ac:dyDescent="0.2">
      <c r="A5059" s="6"/>
      <c r="B5059" s="421"/>
      <c r="C5059" s="114"/>
      <c r="D5059" s="757"/>
      <c r="E5059" s="85"/>
      <c r="F5059" s="59">
        <f t="shared" si="311"/>
        <v>0</v>
      </c>
    </row>
    <row r="5060" spans="1:6" ht="12.75" customHeight="1" x14ac:dyDescent="0.2">
      <c r="A5060" s="6"/>
      <c r="B5060" s="421"/>
      <c r="C5060" s="114"/>
      <c r="D5060" s="757"/>
      <c r="E5060" s="85"/>
      <c r="F5060" s="59">
        <f t="shared" si="311"/>
        <v>0</v>
      </c>
    </row>
    <row r="5061" spans="1:6" ht="12.75" customHeight="1" x14ac:dyDescent="0.2">
      <c r="A5061" s="6"/>
      <c r="B5061" s="421"/>
      <c r="C5061" s="114"/>
      <c r="D5061" s="757"/>
      <c r="E5061" s="85"/>
      <c r="F5061" s="59">
        <f t="shared" si="311"/>
        <v>0</v>
      </c>
    </row>
    <row r="5062" spans="1:6" ht="12.75" customHeight="1" x14ac:dyDescent="0.2">
      <c r="A5062" s="6"/>
      <c r="B5062" s="421"/>
      <c r="C5062" s="114"/>
      <c r="D5062" s="757"/>
      <c r="E5062" s="85"/>
      <c r="F5062" s="59">
        <f t="shared" si="311"/>
        <v>0</v>
      </c>
    </row>
    <row r="5063" spans="1:6" ht="12.75" customHeight="1" x14ac:dyDescent="0.2">
      <c r="A5063" s="6"/>
      <c r="B5063" s="421"/>
      <c r="C5063" s="114"/>
      <c r="D5063" s="757"/>
      <c r="E5063" s="85"/>
      <c r="F5063" s="59">
        <f t="shared" si="311"/>
        <v>0</v>
      </c>
    </row>
    <row r="5064" spans="1:6" ht="12.75" customHeight="1" x14ac:dyDescent="0.2">
      <c r="A5064" s="6"/>
      <c r="B5064" s="421"/>
      <c r="C5064" s="114"/>
      <c r="D5064" s="758"/>
      <c r="E5064" s="85"/>
      <c r="F5064" s="59">
        <f t="shared" si="311"/>
        <v>0</v>
      </c>
    </row>
    <row r="5065" spans="1:6" ht="12.75" customHeight="1" x14ac:dyDescent="0.2">
      <c r="A5065" s="6"/>
      <c r="B5065" s="421"/>
      <c r="C5065" s="114"/>
      <c r="D5065" s="758"/>
      <c r="E5065" s="85"/>
      <c r="F5065" s="59">
        <f t="shared" si="311"/>
        <v>0</v>
      </c>
    </row>
    <row r="5066" spans="1:6" ht="12.75" customHeight="1" x14ac:dyDescent="0.2">
      <c r="A5066" s="6"/>
      <c r="B5066" s="421"/>
      <c r="C5066" s="114"/>
      <c r="D5066" s="758"/>
      <c r="E5066" s="85"/>
      <c r="F5066" s="59">
        <f t="shared" si="311"/>
        <v>0</v>
      </c>
    </row>
    <row r="5067" spans="1:6" ht="12.75" customHeight="1" x14ac:dyDescent="0.2">
      <c r="A5067" s="3"/>
      <c r="C5067" s="114"/>
      <c r="D5067" s="759"/>
      <c r="E5067" s="85"/>
      <c r="F5067" s="59">
        <f t="shared" si="311"/>
        <v>0</v>
      </c>
    </row>
    <row r="5068" spans="1:6" ht="12.75" customHeight="1" x14ac:dyDescent="0.2">
      <c r="A5068" s="3"/>
      <c r="C5068" s="114"/>
      <c r="D5068" s="759"/>
      <c r="E5068" s="85"/>
      <c r="F5068" s="59">
        <f t="shared" si="311"/>
        <v>0</v>
      </c>
    </row>
    <row r="5069" spans="1:6" ht="12.75" customHeight="1" x14ac:dyDescent="0.2">
      <c r="A5069" s="3"/>
      <c r="B5069" s="86" t="s">
        <v>258</v>
      </c>
      <c r="C5069" s="87"/>
      <c r="D5069" s="88"/>
      <c r="E5069" s="89"/>
      <c r="F5069" s="90">
        <f>SUM(F5053:F5068)</f>
        <v>0</v>
      </c>
    </row>
    <row r="5070" spans="1:6" ht="12.75" customHeight="1" x14ac:dyDescent="0.2">
      <c r="A5070" s="3"/>
      <c r="B5070" s="91" t="s">
        <v>70</v>
      </c>
      <c r="C5070" s="15">
        <f>$D$8</f>
        <v>0</v>
      </c>
      <c r="D5070" s="92"/>
      <c r="E5070" s="93"/>
      <c r="F5070" s="94">
        <f>ROUND(F5069*C5070,2)</f>
        <v>0</v>
      </c>
    </row>
    <row r="5071" spans="1:6" ht="12.75" customHeight="1" x14ac:dyDescent="0.2">
      <c r="A5071" s="95"/>
      <c r="B5071" s="424" t="s">
        <v>259</v>
      </c>
      <c r="C5071" s="425"/>
      <c r="D5071" s="425"/>
      <c r="E5071" s="426"/>
      <c r="F5071" s="96">
        <f>F5069+F5070</f>
        <v>0</v>
      </c>
    </row>
    <row r="5072" spans="1:6" ht="12.75" customHeight="1" x14ac:dyDescent="0.2">
      <c r="A5072" s="1" t="s">
        <v>5</v>
      </c>
      <c r="B5072" s="418" t="s">
        <v>267</v>
      </c>
      <c r="C5072" s="419" t="s">
        <v>263</v>
      </c>
      <c r="D5072" s="419" t="s">
        <v>264</v>
      </c>
      <c r="E5072" s="420" t="s">
        <v>265</v>
      </c>
      <c r="F5072" s="57" t="s">
        <v>266</v>
      </c>
    </row>
    <row r="5073" spans="1:6" ht="12.75" customHeight="1" x14ac:dyDescent="0.2">
      <c r="A5073" s="3" t="str">
        <f>'A VII.'!$A$147</f>
        <v>2.5</v>
      </c>
      <c r="B5073" s="71" t="str">
        <f>VLOOKUP(A5073,'A VII.'!$A$10:$D$199,2,FALSE)</f>
        <v>BALANCIM LEVE TRADICIONAL - PLATAFORMA 3,00 M COM GUINCHO MANUAL, NR 18 (LOCAÇÃO MENSAL + TRANSPORTE)</v>
      </c>
      <c r="C5073" s="114">
        <v>6.6699999999999995E-2</v>
      </c>
      <c r="D5073" s="759" t="str">
        <f>VLOOKUP(A5073,'A VII.'!$A$10:$D$199,3,FALSE)</f>
        <v>LOC/MÊS</v>
      </c>
      <c r="E5073" s="85">
        <f>'A VII.'!$D$147</f>
        <v>0</v>
      </c>
      <c r="F5073" s="59">
        <f t="shared" ref="F5073:F5082" si="312">ROUND(C5073*E5073,2)</f>
        <v>0</v>
      </c>
    </row>
    <row r="5074" spans="1:6" ht="12.75" customHeight="1" x14ac:dyDescent="0.2">
      <c r="A5074" s="3"/>
      <c r="C5074" s="114"/>
      <c r="D5074" s="759"/>
      <c r="E5074" s="85"/>
      <c r="F5074" s="59">
        <f t="shared" si="312"/>
        <v>0</v>
      </c>
    </row>
    <row r="5075" spans="1:6" ht="12.75" customHeight="1" x14ac:dyDescent="0.2">
      <c r="A5075" s="3"/>
      <c r="C5075" s="114"/>
      <c r="D5075" s="759"/>
      <c r="E5075" s="85"/>
      <c r="F5075" s="59">
        <f t="shared" si="312"/>
        <v>0</v>
      </c>
    </row>
    <row r="5076" spans="1:6" ht="12.75" customHeight="1" x14ac:dyDescent="0.2">
      <c r="A5076" s="3"/>
      <c r="C5076" s="114"/>
      <c r="D5076" s="759"/>
      <c r="E5076" s="85"/>
      <c r="F5076" s="59">
        <f t="shared" si="312"/>
        <v>0</v>
      </c>
    </row>
    <row r="5077" spans="1:6" ht="12.75" customHeight="1" x14ac:dyDescent="0.2">
      <c r="A5077" s="3"/>
      <c r="C5077" s="114"/>
      <c r="D5077" s="759"/>
      <c r="E5077" s="85"/>
      <c r="F5077" s="59">
        <f t="shared" si="312"/>
        <v>0</v>
      </c>
    </row>
    <row r="5078" spans="1:6" ht="12.75" customHeight="1" x14ac:dyDescent="0.2">
      <c r="A5078" s="3"/>
      <c r="C5078" s="114"/>
      <c r="D5078" s="759"/>
      <c r="E5078" s="85"/>
      <c r="F5078" s="59">
        <f t="shared" si="312"/>
        <v>0</v>
      </c>
    </row>
    <row r="5079" spans="1:6" ht="12.75" customHeight="1" x14ac:dyDescent="0.2">
      <c r="A5079" s="3"/>
      <c r="C5079" s="114"/>
      <c r="D5079" s="759"/>
      <c r="E5079" s="85"/>
      <c r="F5079" s="59">
        <f t="shared" si="312"/>
        <v>0</v>
      </c>
    </row>
    <row r="5080" spans="1:6" ht="12.75" customHeight="1" x14ac:dyDescent="0.2">
      <c r="A5080" s="3"/>
      <c r="C5080" s="114"/>
      <c r="D5080" s="759"/>
      <c r="E5080" s="85"/>
      <c r="F5080" s="59">
        <f t="shared" si="312"/>
        <v>0</v>
      </c>
    </row>
    <row r="5081" spans="1:6" ht="12.75" customHeight="1" x14ac:dyDescent="0.2">
      <c r="A5081" s="3"/>
      <c r="C5081" s="114"/>
      <c r="D5081" s="759"/>
      <c r="E5081" s="85"/>
      <c r="F5081" s="59">
        <f t="shared" si="312"/>
        <v>0</v>
      </c>
    </row>
    <row r="5082" spans="1:6" ht="12.75" customHeight="1" x14ac:dyDescent="0.2">
      <c r="A5082" s="3"/>
      <c r="C5082" s="114"/>
      <c r="D5082" s="759"/>
      <c r="E5082" s="85"/>
      <c r="F5082" s="59">
        <f t="shared" si="312"/>
        <v>0</v>
      </c>
    </row>
    <row r="5083" spans="1:6" ht="12.75" customHeight="1" x14ac:dyDescent="0.2">
      <c r="A5083" s="3"/>
      <c r="B5083" s="86" t="s">
        <v>258</v>
      </c>
      <c r="C5083" s="87"/>
      <c r="D5083" s="88"/>
      <c r="E5083" s="89"/>
      <c r="F5083" s="90">
        <f>SUM(F5073:F5082)</f>
        <v>0</v>
      </c>
    </row>
    <row r="5084" spans="1:6" ht="12.75" customHeight="1" x14ac:dyDescent="0.2">
      <c r="A5084" s="3"/>
      <c r="B5084" s="91" t="s">
        <v>70</v>
      </c>
      <c r="C5084" s="15">
        <f>$D$8</f>
        <v>0</v>
      </c>
      <c r="D5084" s="92"/>
      <c r="E5084" s="93"/>
      <c r="F5084" s="94">
        <f>ROUND(C5084*F5083,2)</f>
        <v>0</v>
      </c>
    </row>
    <row r="5085" spans="1:6" ht="12.75" customHeight="1" x14ac:dyDescent="0.2">
      <c r="A5085" s="95"/>
      <c r="B5085" s="424" t="s">
        <v>260</v>
      </c>
      <c r="C5085" s="425"/>
      <c r="D5085" s="425"/>
      <c r="E5085" s="426"/>
      <c r="F5085" s="96">
        <f>F5083+F5084</f>
        <v>0</v>
      </c>
    </row>
    <row r="5086" spans="1:6" ht="12.75" customHeight="1" x14ac:dyDescent="0.2">
      <c r="A5086" s="97" t="s">
        <v>54</v>
      </c>
      <c r="B5086" s="427" t="s">
        <v>268</v>
      </c>
      <c r="C5086" s="428" t="s">
        <v>263</v>
      </c>
      <c r="D5086" s="429" t="s">
        <v>264</v>
      </c>
      <c r="E5086" s="430" t="s">
        <v>265</v>
      </c>
      <c r="F5086" s="57" t="s">
        <v>266</v>
      </c>
    </row>
    <row r="5087" spans="1:6" ht="12.75" customHeight="1" x14ac:dyDescent="0.2">
      <c r="A5087" s="3" t="str">
        <f>'A VII.'!$A$194</f>
        <v>3.14</v>
      </c>
      <c r="B5087" s="74" t="s">
        <v>187</v>
      </c>
      <c r="C5087" s="114">
        <v>16</v>
      </c>
      <c r="D5087" s="759" t="str">
        <f>VLOOKUP(A5087,'A VII.'!$A$10:$D$199,3,FALSE)</f>
        <v>H</v>
      </c>
      <c r="E5087" s="85">
        <f>'A VII.'!$D$194</f>
        <v>0</v>
      </c>
      <c r="F5087" s="59">
        <f t="shared" ref="F5087:F5093" si="313">ROUND(C5087*E5087,2)</f>
        <v>0</v>
      </c>
    </row>
    <row r="5088" spans="1:6" ht="12.75" customHeight="1" x14ac:dyDescent="0.2">
      <c r="A5088" s="3"/>
      <c r="C5088" s="114"/>
      <c r="D5088" s="759"/>
      <c r="E5088" s="85"/>
      <c r="F5088" s="59">
        <f t="shared" si="313"/>
        <v>0</v>
      </c>
    </row>
    <row r="5089" spans="1:6" ht="12.75" customHeight="1" x14ac:dyDescent="0.2">
      <c r="A5089" s="3"/>
      <c r="C5089" s="114"/>
      <c r="D5089" s="759"/>
      <c r="E5089" s="85"/>
      <c r="F5089" s="59">
        <f t="shared" si="313"/>
        <v>0</v>
      </c>
    </row>
    <row r="5090" spans="1:6" ht="12.75" customHeight="1" x14ac:dyDescent="0.2">
      <c r="A5090" s="3"/>
      <c r="C5090" s="114"/>
      <c r="D5090" s="759"/>
      <c r="E5090" s="85"/>
      <c r="F5090" s="59">
        <f t="shared" si="313"/>
        <v>0</v>
      </c>
    </row>
    <row r="5091" spans="1:6" ht="12.75" customHeight="1" x14ac:dyDescent="0.2">
      <c r="A5091" s="3"/>
      <c r="C5091" s="114"/>
      <c r="D5091" s="759"/>
      <c r="E5091" s="85"/>
      <c r="F5091" s="59">
        <f t="shared" si="313"/>
        <v>0</v>
      </c>
    </row>
    <row r="5092" spans="1:6" ht="12.75" customHeight="1" x14ac:dyDescent="0.2">
      <c r="A5092" s="3"/>
      <c r="C5092" s="114"/>
      <c r="D5092" s="759"/>
      <c r="E5092" s="85"/>
      <c r="F5092" s="59">
        <f t="shared" si="313"/>
        <v>0</v>
      </c>
    </row>
    <row r="5093" spans="1:6" ht="12.75" customHeight="1" x14ac:dyDescent="0.2">
      <c r="A5093" s="3"/>
      <c r="C5093" s="114"/>
      <c r="D5093" s="759"/>
      <c r="E5093" s="85"/>
      <c r="F5093" s="59">
        <f t="shared" si="313"/>
        <v>0</v>
      </c>
    </row>
    <row r="5094" spans="1:6" ht="12.75" customHeight="1" x14ac:dyDescent="0.2">
      <c r="A5094" s="3"/>
      <c r="B5094" s="86" t="s">
        <v>258</v>
      </c>
      <c r="C5094" s="87"/>
      <c r="D5094" s="88"/>
      <c r="E5094" s="89"/>
      <c r="F5094" s="90">
        <f>SUM(F5087:F5093)</f>
        <v>0</v>
      </c>
    </row>
    <row r="5095" spans="1:6" ht="12.75" customHeight="1" x14ac:dyDescent="0.2">
      <c r="A5095" s="3"/>
      <c r="B5095" s="91" t="s">
        <v>261</v>
      </c>
      <c r="C5095" s="15">
        <f>'A IX.'!$C$45</f>
        <v>0</v>
      </c>
      <c r="D5095" s="92"/>
      <c r="E5095" s="93"/>
      <c r="F5095" s="94">
        <f>ROUND(F5094*C5095,2)</f>
        <v>0</v>
      </c>
    </row>
    <row r="5096" spans="1:6" ht="12.75" customHeight="1" x14ac:dyDescent="0.2">
      <c r="A5096" s="3"/>
      <c r="B5096" s="91" t="s">
        <v>70</v>
      </c>
      <c r="C5096" s="15">
        <f>$D$8</f>
        <v>0</v>
      </c>
      <c r="D5096" s="92"/>
      <c r="E5096" s="93"/>
      <c r="F5096" s="94">
        <f>ROUND(SUM(F5094:F5095)*C5096,2)</f>
        <v>0</v>
      </c>
    </row>
    <row r="5097" spans="1:6" ht="12.75" customHeight="1" thickBot="1" x14ac:dyDescent="0.25">
      <c r="A5097" s="98"/>
      <c r="B5097" s="99" t="s">
        <v>262</v>
      </c>
      <c r="C5097" s="100"/>
      <c r="D5097" s="100"/>
      <c r="E5097" s="101"/>
      <c r="F5097" s="102">
        <f>SUM(F5094:F5096)</f>
        <v>0</v>
      </c>
    </row>
    <row r="5098" spans="1:6" ht="12.75" customHeight="1" thickBot="1" x14ac:dyDescent="0.25">
      <c r="A5098" s="81"/>
      <c r="B5098" s="82"/>
      <c r="C5098" s="83"/>
      <c r="D5098" s="83"/>
      <c r="E5098" s="84"/>
      <c r="F5098" s="103"/>
    </row>
    <row r="5099" spans="1:6" ht="30" customHeight="1" x14ac:dyDescent="0.2">
      <c r="A5099" s="5" t="str">
        <f>'A IV.A'!$A$152</f>
        <v>6.15</v>
      </c>
      <c r="B5099" s="416" t="str">
        <f>'A IV.A'!$B$152</f>
        <v>PINTURA DE PISO NA COR GRAFITE, DUAS DEMÃOS</v>
      </c>
      <c r="C5099" s="526" t="s">
        <v>269</v>
      </c>
      <c r="D5099" s="527"/>
      <c r="E5099" s="417" t="str">
        <f>'A IV.A'!$C$152</f>
        <v>M2</v>
      </c>
      <c r="F5099" s="58">
        <f>ROUND(F5119+F5133+F5145,2)</f>
        <v>0</v>
      </c>
    </row>
    <row r="5100" spans="1:6" ht="12.75" customHeight="1" x14ac:dyDescent="0.2">
      <c r="A5100" s="1" t="s">
        <v>17</v>
      </c>
      <c r="B5100" s="418" t="s">
        <v>162</v>
      </c>
      <c r="C5100" s="419" t="s">
        <v>263</v>
      </c>
      <c r="D5100" s="419" t="s">
        <v>264</v>
      </c>
      <c r="E5100" s="420" t="s">
        <v>265</v>
      </c>
      <c r="F5100" s="57" t="s">
        <v>266</v>
      </c>
    </row>
    <row r="5101" spans="1:6" ht="12.75" customHeight="1" x14ac:dyDescent="0.2">
      <c r="A5101" s="6" t="str">
        <f>'A VII.'!$A$109</f>
        <v>1.99</v>
      </c>
      <c r="B5101" s="421" t="str">
        <f>VLOOKUP(A5101,'A VII.'!$A$10:$D$199,2,FALSE)</f>
        <v>TINTA ACRILICA PREMIUM PARA PISO  NA COR GRAFITE</v>
      </c>
      <c r="C5101" s="114">
        <v>0.17</v>
      </c>
      <c r="D5101" s="757" t="str">
        <f>VLOOKUP(A5101,'A VII.'!$A$10:$D$199,3,FALSE)</f>
        <v>L</v>
      </c>
      <c r="E5101" s="85">
        <f>'A VII.'!$D$109</f>
        <v>0</v>
      </c>
      <c r="F5101" s="59">
        <f>ROUND(C5101*E5101,2)</f>
        <v>0</v>
      </c>
    </row>
    <row r="5102" spans="1:6" ht="12.75" customHeight="1" x14ac:dyDescent="0.2">
      <c r="A5102" s="6"/>
      <c r="B5102" s="421"/>
      <c r="C5102" s="114"/>
      <c r="D5102" s="757"/>
      <c r="E5102" s="85"/>
      <c r="F5102" s="59">
        <f t="shared" ref="F5102:F5116" si="314">ROUND(C5102*E5102,2)</f>
        <v>0</v>
      </c>
    </row>
    <row r="5103" spans="1:6" ht="12.75" customHeight="1" x14ac:dyDescent="0.2">
      <c r="A5103" s="6"/>
      <c r="B5103" s="421"/>
      <c r="C5103" s="114"/>
      <c r="D5103" s="757"/>
      <c r="E5103" s="85"/>
      <c r="F5103" s="59">
        <f t="shared" si="314"/>
        <v>0</v>
      </c>
    </row>
    <row r="5104" spans="1:6" ht="12.75" customHeight="1" x14ac:dyDescent="0.2">
      <c r="A5104" s="6"/>
      <c r="B5104" s="421"/>
      <c r="C5104" s="114"/>
      <c r="D5104" s="757"/>
      <c r="E5104" s="85"/>
      <c r="F5104" s="59">
        <f t="shared" si="314"/>
        <v>0</v>
      </c>
    </row>
    <row r="5105" spans="1:6" ht="12.75" customHeight="1" x14ac:dyDescent="0.2">
      <c r="A5105" s="6"/>
      <c r="B5105" s="421"/>
      <c r="C5105" s="114"/>
      <c r="D5105" s="757"/>
      <c r="E5105" s="85"/>
      <c r="F5105" s="59">
        <f t="shared" si="314"/>
        <v>0</v>
      </c>
    </row>
    <row r="5106" spans="1:6" ht="12.75" customHeight="1" x14ac:dyDescent="0.2">
      <c r="A5106" s="6"/>
      <c r="B5106" s="421"/>
      <c r="C5106" s="114"/>
      <c r="D5106" s="757"/>
      <c r="E5106" s="85"/>
      <c r="F5106" s="59">
        <f t="shared" si="314"/>
        <v>0</v>
      </c>
    </row>
    <row r="5107" spans="1:6" ht="12.75" customHeight="1" x14ac:dyDescent="0.2">
      <c r="A5107" s="6"/>
      <c r="B5107" s="421"/>
      <c r="C5107" s="114"/>
      <c r="D5107" s="757"/>
      <c r="E5107" s="85"/>
      <c r="F5107" s="59">
        <f t="shared" si="314"/>
        <v>0</v>
      </c>
    </row>
    <row r="5108" spans="1:6" ht="12.75" customHeight="1" x14ac:dyDescent="0.2">
      <c r="A5108" s="6"/>
      <c r="B5108" s="421"/>
      <c r="C5108" s="114"/>
      <c r="D5108" s="757"/>
      <c r="E5108" s="85"/>
      <c r="F5108" s="59">
        <f t="shared" si="314"/>
        <v>0</v>
      </c>
    </row>
    <row r="5109" spans="1:6" ht="12.75" customHeight="1" x14ac:dyDescent="0.2">
      <c r="A5109" s="6"/>
      <c r="B5109" s="421"/>
      <c r="C5109" s="114"/>
      <c r="D5109" s="757"/>
      <c r="E5109" s="85"/>
      <c r="F5109" s="59">
        <f t="shared" si="314"/>
        <v>0</v>
      </c>
    </row>
    <row r="5110" spans="1:6" ht="12.75" customHeight="1" x14ac:dyDescent="0.2">
      <c r="A5110" s="6"/>
      <c r="B5110" s="421"/>
      <c r="C5110" s="114"/>
      <c r="D5110" s="757"/>
      <c r="E5110" s="85"/>
      <c r="F5110" s="59">
        <f t="shared" si="314"/>
        <v>0</v>
      </c>
    </row>
    <row r="5111" spans="1:6" ht="12.75" customHeight="1" x14ac:dyDescent="0.2">
      <c r="A5111" s="6"/>
      <c r="B5111" s="421"/>
      <c r="C5111" s="114"/>
      <c r="D5111" s="757"/>
      <c r="E5111" s="85"/>
      <c r="F5111" s="59">
        <f t="shared" si="314"/>
        <v>0</v>
      </c>
    </row>
    <row r="5112" spans="1:6" ht="12.75" customHeight="1" x14ac:dyDescent="0.2">
      <c r="A5112" s="6"/>
      <c r="B5112" s="421"/>
      <c r="C5112" s="114"/>
      <c r="D5112" s="758"/>
      <c r="E5112" s="85"/>
      <c r="F5112" s="59">
        <f t="shared" si="314"/>
        <v>0</v>
      </c>
    </row>
    <row r="5113" spans="1:6" ht="12.75" customHeight="1" x14ac:dyDescent="0.2">
      <c r="A5113" s="6"/>
      <c r="B5113" s="421"/>
      <c r="C5113" s="114"/>
      <c r="D5113" s="758"/>
      <c r="E5113" s="85"/>
      <c r="F5113" s="59">
        <f t="shared" si="314"/>
        <v>0</v>
      </c>
    </row>
    <row r="5114" spans="1:6" ht="12.75" customHeight="1" x14ac:dyDescent="0.2">
      <c r="A5114" s="6"/>
      <c r="B5114" s="421"/>
      <c r="C5114" s="114"/>
      <c r="D5114" s="758"/>
      <c r="E5114" s="85"/>
      <c r="F5114" s="59">
        <f t="shared" si="314"/>
        <v>0</v>
      </c>
    </row>
    <row r="5115" spans="1:6" ht="12.75" customHeight="1" x14ac:dyDescent="0.2">
      <c r="A5115" s="3"/>
      <c r="C5115" s="114"/>
      <c r="D5115" s="759"/>
      <c r="E5115" s="85"/>
      <c r="F5115" s="59">
        <f t="shared" si="314"/>
        <v>0</v>
      </c>
    </row>
    <row r="5116" spans="1:6" ht="12.75" customHeight="1" x14ac:dyDescent="0.2">
      <c r="A5116" s="3"/>
      <c r="C5116" s="114"/>
      <c r="D5116" s="759"/>
      <c r="E5116" s="85"/>
      <c r="F5116" s="59">
        <f t="shared" si="314"/>
        <v>0</v>
      </c>
    </row>
    <row r="5117" spans="1:6" ht="12.75" customHeight="1" x14ac:dyDescent="0.2">
      <c r="A5117" s="3"/>
      <c r="B5117" s="86" t="s">
        <v>258</v>
      </c>
      <c r="C5117" s="87"/>
      <c r="D5117" s="88"/>
      <c r="E5117" s="89"/>
      <c r="F5117" s="90">
        <f>SUM(F5101:F5116)</f>
        <v>0</v>
      </c>
    </row>
    <row r="5118" spans="1:6" ht="12.75" customHeight="1" x14ac:dyDescent="0.2">
      <c r="A5118" s="3"/>
      <c r="B5118" s="91" t="s">
        <v>70</v>
      </c>
      <c r="C5118" s="15">
        <f>$D$8</f>
        <v>0</v>
      </c>
      <c r="D5118" s="92"/>
      <c r="E5118" s="93"/>
      <c r="F5118" s="94">
        <f>ROUND(F5117*C5118,2)</f>
        <v>0</v>
      </c>
    </row>
    <row r="5119" spans="1:6" ht="12.75" customHeight="1" x14ac:dyDescent="0.2">
      <c r="A5119" s="95"/>
      <c r="B5119" s="424" t="s">
        <v>259</v>
      </c>
      <c r="C5119" s="425"/>
      <c r="D5119" s="425"/>
      <c r="E5119" s="426"/>
      <c r="F5119" s="96">
        <f>F5117+F5118</f>
        <v>0</v>
      </c>
    </row>
    <row r="5120" spans="1:6" ht="12.75" customHeight="1" x14ac:dyDescent="0.2">
      <c r="A5120" s="1" t="s">
        <v>5</v>
      </c>
      <c r="B5120" s="418" t="s">
        <v>267</v>
      </c>
      <c r="C5120" s="419" t="s">
        <v>263</v>
      </c>
      <c r="D5120" s="419" t="s">
        <v>264</v>
      </c>
      <c r="E5120" s="420" t="s">
        <v>265</v>
      </c>
      <c r="F5120" s="57" t="s">
        <v>266</v>
      </c>
    </row>
    <row r="5121" spans="1:6" ht="12.75" customHeight="1" x14ac:dyDescent="0.2">
      <c r="A5121" s="3"/>
      <c r="B5121" s="71"/>
      <c r="C5121" s="114"/>
      <c r="D5121" s="759"/>
      <c r="E5121" s="85"/>
      <c r="F5121" s="59">
        <f t="shared" ref="F5121:F5130" si="315">ROUND(C5121*E5121,2)</f>
        <v>0</v>
      </c>
    </row>
    <row r="5122" spans="1:6" ht="12.75" customHeight="1" x14ac:dyDescent="0.2">
      <c r="A5122" s="3"/>
      <c r="C5122" s="114"/>
      <c r="D5122" s="759"/>
      <c r="E5122" s="85"/>
      <c r="F5122" s="59">
        <f t="shared" si="315"/>
        <v>0</v>
      </c>
    </row>
    <row r="5123" spans="1:6" ht="12.75" customHeight="1" x14ac:dyDescent="0.2">
      <c r="A5123" s="3"/>
      <c r="C5123" s="114"/>
      <c r="D5123" s="759"/>
      <c r="E5123" s="85"/>
      <c r="F5123" s="59">
        <f t="shared" si="315"/>
        <v>0</v>
      </c>
    </row>
    <row r="5124" spans="1:6" ht="12.75" customHeight="1" x14ac:dyDescent="0.2">
      <c r="A5124" s="3"/>
      <c r="C5124" s="114"/>
      <c r="D5124" s="759"/>
      <c r="E5124" s="85"/>
      <c r="F5124" s="59">
        <f t="shared" si="315"/>
        <v>0</v>
      </c>
    </row>
    <row r="5125" spans="1:6" ht="12.75" customHeight="1" x14ac:dyDescent="0.2">
      <c r="A5125" s="3"/>
      <c r="C5125" s="114"/>
      <c r="D5125" s="759"/>
      <c r="E5125" s="85"/>
      <c r="F5125" s="59">
        <f t="shared" si="315"/>
        <v>0</v>
      </c>
    </row>
    <row r="5126" spans="1:6" ht="12.75" customHeight="1" x14ac:dyDescent="0.2">
      <c r="A5126" s="3"/>
      <c r="C5126" s="114"/>
      <c r="D5126" s="759"/>
      <c r="E5126" s="85"/>
      <c r="F5126" s="59">
        <f t="shared" si="315"/>
        <v>0</v>
      </c>
    </row>
    <row r="5127" spans="1:6" ht="12.75" customHeight="1" x14ac:dyDescent="0.2">
      <c r="A5127" s="3"/>
      <c r="C5127" s="114"/>
      <c r="D5127" s="759"/>
      <c r="E5127" s="85"/>
      <c r="F5127" s="59">
        <f t="shared" si="315"/>
        <v>0</v>
      </c>
    </row>
    <row r="5128" spans="1:6" ht="12.75" customHeight="1" x14ac:dyDescent="0.2">
      <c r="A5128" s="3"/>
      <c r="C5128" s="114"/>
      <c r="D5128" s="759"/>
      <c r="E5128" s="85"/>
      <c r="F5128" s="59">
        <f t="shared" si="315"/>
        <v>0</v>
      </c>
    </row>
    <row r="5129" spans="1:6" ht="12.75" customHeight="1" x14ac:dyDescent="0.2">
      <c r="A5129" s="3"/>
      <c r="C5129" s="114"/>
      <c r="D5129" s="759"/>
      <c r="E5129" s="85"/>
      <c r="F5129" s="59">
        <f t="shared" si="315"/>
        <v>0</v>
      </c>
    </row>
    <row r="5130" spans="1:6" ht="12.75" customHeight="1" x14ac:dyDescent="0.2">
      <c r="A5130" s="3"/>
      <c r="C5130" s="114"/>
      <c r="D5130" s="759"/>
      <c r="E5130" s="85"/>
      <c r="F5130" s="59">
        <f t="shared" si="315"/>
        <v>0</v>
      </c>
    </row>
    <row r="5131" spans="1:6" ht="12.75" customHeight="1" x14ac:dyDescent="0.2">
      <c r="A5131" s="3"/>
      <c r="B5131" s="86" t="s">
        <v>258</v>
      </c>
      <c r="C5131" s="87"/>
      <c r="D5131" s="88"/>
      <c r="E5131" s="89"/>
      <c r="F5131" s="90">
        <f>SUM(F5121:F5130)</f>
        <v>0</v>
      </c>
    </row>
    <row r="5132" spans="1:6" ht="12.75" customHeight="1" x14ac:dyDescent="0.2">
      <c r="A5132" s="3"/>
      <c r="B5132" s="91" t="s">
        <v>70</v>
      </c>
      <c r="C5132" s="15">
        <f>$D$8</f>
        <v>0</v>
      </c>
      <c r="D5132" s="92"/>
      <c r="E5132" s="93"/>
      <c r="F5132" s="94">
        <f>ROUND(C5132*F5131,2)</f>
        <v>0</v>
      </c>
    </row>
    <row r="5133" spans="1:6" ht="12.75" customHeight="1" x14ac:dyDescent="0.2">
      <c r="A5133" s="95"/>
      <c r="B5133" s="424" t="s">
        <v>260</v>
      </c>
      <c r="C5133" s="425"/>
      <c r="D5133" s="425"/>
      <c r="E5133" s="426"/>
      <c r="F5133" s="96">
        <f>F5131+F5132</f>
        <v>0</v>
      </c>
    </row>
    <row r="5134" spans="1:6" ht="12.75" customHeight="1" x14ac:dyDescent="0.2">
      <c r="A5134" s="97" t="s">
        <v>54</v>
      </c>
      <c r="B5134" s="427" t="s">
        <v>268</v>
      </c>
      <c r="C5134" s="428" t="s">
        <v>263</v>
      </c>
      <c r="D5134" s="429" t="s">
        <v>264</v>
      </c>
      <c r="E5134" s="430" t="s">
        <v>265</v>
      </c>
      <c r="F5134" s="57" t="s">
        <v>266</v>
      </c>
    </row>
    <row r="5135" spans="1:6" ht="12.75" customHeight="1" x14ac:dyDescent="0.2">
      <c r="A5135" s="3" t="str">
        <f>'A VII.'!$A$181</f>
        <v>3.1</v>
      </c>
      <c r="B5135" s="74" t="s">
        <v>174</v>
      </c>
      <c r="C5135" s="114">
        <v>0.25</v>
      </c>
      <c r="D5135" s="759" t="str">
        <f>VLOOKUP(A5135,'A VII.'!$A$10:$D$199,3,FALSE)</f>
        <v>H</v>
      </c>
      <c r="E5135" s="85">
        <f>'A VII.'!D181</f>
        <v>0</v>
      </c>
      <c r="F5135" s="59">
        <f t="shared" ref="F5135:F5141" si="316">ROUND(C5135*E5135,2)</f>
        <v>0</v>
      </c>
    </row>
    <row r="5136" spans="1:6" ht="12.75" customHeight="1" x14ac:dyDescent="0.2">
      <c r="A5136" s="3" t="str">
        <f>'A VII.'!$A$193</f>
        <v>3.13</v>
      </c>
      <c r="B5136" s="74" t="s">
        <v>186</v>
      </c>
      <c r="C5136" s="114">
        <v>0.35</v>
      </c>
      <c r="D5136" s="759" t="str">
        <f>VLOOKUP(A5136,'A VII.'!$A$10:$D$199,3,FALSE)</f>
        <v>H</v>
      </c>
      <c r="E5136" s="85">
        <f>'A VII.'!$D$193</f>
        <v>0</v>
      </c>
      <c r="F5136" s="59">
        <f t="shared" si="316"/>
        <v>0</v>
      </c>
    </row>
    <row r="5137" spans="1:6" ht="12.75" customHeight="1" x14ac:dyDescent="0.2">
      <c r="A5137" s="3"/>
      <c r="C5137" s="114"/>
      <c r="D5137" s="759"/>
      <c r="E5137" s="85"/>
      <c r="F5137" s="59">
        <f t="shared" si="316"/>
        <v>0</v>
      </c>
    </row>
    <row r="5138" spans="1:6" ht="12.75" customHeight="1" x14ac:dyDescent="0.2">
      <c r="A5138" s="3"/>
      <c r="C5138" s="114"/>
      <c r="D5138" s="759"/>
      <c r="E5138" s="85"/>
      <c r="F5138" s="59">
        <f t="shared" si="316"/>
        <v>0</v>
      </c>
    </row>
    <row r="5139" spans="1:6" ht="12.75" customHeight="1" x14ac:dyDescent="0.2">
      <c r="A5139" s="3"/>
      <c r="C5139" s="114"/>
      <c r="D5139" s="759"/>
      <c r="E5139" s="85"/>
      <c r="F5139" s="59">
        <f t="shared" si="316"/>
        <v>0</v>
      </c>
    </row>
    <row r="5140" spans="1:6" ht="12.75" customHeight="1" x14ac:dyDescent="0.2">
      <c r="A5140" s="3"/>
      <c r="C5140" s="114"/>
      <c r="D5140" s="759"/>
      <c r="E5140" s="85"/>
      <c r="F5140" s="59">
        <f t="shared" si="316"/>
        <v>0</v>
      </c>
    </row>
    <row r="5141" spans="1:6" ht="12.75" customHeight="1" x14ac:dyDescent="0.2">
      <c r="A5141" s="3"/>
      <c r="C5141" s="114"/>
      <c r="D5141" s="759"/>
      <c r="E5141" s="85"/>
      <c r="F5141" s="59">
        <f t="shared" si="316"/>
        <v>0</v>
      </c>
    </row>
    <row r="5142" spans="1:6" ht="12.75" customHeight="1" x14ac:dyDescent="0.2">
      <c r="A5142" s="3"/>
      <c r="B5142" s="86" t="s">
        <v>258</v>
      </c>
      <c r="C5142" s="87"/>
      <c r="D5142" s="88"/>
      <c r="E5142" s="89"/>
      <c r="F5142" s="90">
        <f>SUM(F5135:F5141)</f>
        <v>0</v>
      </c>
    </row>
    <row r="5143" spans="1:6" ht="12.75" customHeight="1" x14ac:dyDescent="0.2">
      <c r="A5143" s="3"/>
      <c r="B5143" s="91" t="s">
        <v>261</v>
      </c>
      <c r="C5143" s="15">
        <f>'A IX.'!$C$45</f>
        <v>0</v>
      </c>
      <c r="D5143" s="92"/>
      <c r="E5143" s="93"/>
      <c r="F5143" s="94">
        <f>ROUND(F5142*C5143,2)</f>
        <v>0</v>
      </c>
    </row>
    <row r="5144" spans="1:6" ht="12.75" customHeight="1" x14ac:dyDescent="0.2">
      <c r="A5144" s="3"/>
      <c r="B5144" s="91" t="s">
        <v>70</v>
      </c>
      <c r="C5144" s="15">
        <f>$D$8</f>
        <v>0</v>
      </c>
      <c r="D5144" s="92"/>
      <c r="E5144" s="93"/>
      <c r="F5144" s="94">
        <f>ROUND(SUM(F5142:F5143)*C5144,2)</f>
        <v>0</v>
      </c>
    </row>
    <row r="5145" spans="1:6" ht="12.75" customHeight="1" thickBot="1" x14ac:dyDescent="0.25">
      <c r="A5145" s="98"/>
      <c r="B5145" s="99" t="s">
        <v>262</v>
      </c>
      <c r="C5145" s="100"/>
      <c r="D5145" s="100"/>
      <c r="E5145" s="101"/>
      <c r="F5145" s="102">
        <f>SUM(F5142:F5144)</f>
        <v>0</v>
      </c>
    </row>
    <row r="5146" spans="1:6" ht="12.75" customHeight="1" thickBot="1" x14ac:dyDescent="0.25">
      <c r="A5146" s="81"/>
      <c r="B5146" s="82"/>
      <c r="C5146" s="83"/>
      <c r="D5146" s="83"/>
      <c r="E5146" s="84"/>
      <c r="F5146" s="103"/>
    </row>
    <row r="5147" spans="1:6" ht="30" customHeight="1" x14ac:dyDescent="0.2">
      <c r="A5147" s="5" t="str">
        <f>'A IV.A'!$A$153</f>
        <v>6.16</v>
      </c>
      <c r="B5147" s="416" t="str">
        <f>'A IV.A'!$B$153</f>
        <v>PINTURA TIPO CAIAÇÃO DE GUIAS</v>
      </c>
      <c r="C5147" s="526" t="s">
        <v>269</v>
      </c>
      <c r="D5147" s="527"/>
      <c r="E5147" s="417" t="str">
        <f>'A IV.A'!$C$153</f>
        <v>M</v>
      </c>
      <c r="F5147" s="58">
        <f>ROUND(F5167+F5181+F5193,2)</f>
        <v>0</v>
      </c>
    </row>
    <row r="5148" spans="1:6" ht="12.75" customHeight="1" x14ac:dyDescent="0.2">
      <c r="A5148" s="1" t="s">
        <v>17</v>
      </c>
      <c r="B5148" s="418" t="s">
        <v>162</v>
      </c>
      <c r="C5148" s="419" t="s">
        <v>263</v>
      </c>
      <c r="D5148" s="419" t="s">
        <v>264</v>
      </c>
      <c r="E5148" s="420" t="s">
        <v>265</v>
      </c>
      <c r="F5148" s="57" t="s">
        <v>266</v>
      </c>
    </row>
    <row r="5149" spans="1:6" ht="12.75" customHeight="1" x14ac:dyDescent="0.2">
      <c r="A5149" s="6" t="str">
        <f>'A VII.'!$A$29</f>
        <v>1.20</v>
      </c>
      <c r="B5149" s="421" t="str">
        <f>VLOOKUP(A5149,'A VII.'!$A$10:$D$199,2,FALSE)</f>
        <v>CAL HIDRATADA CH III - NBR 7175</v>
      </c>
      <c r="C5149" s="114">
        <f>0.5*0.25</f>
        <v>0.125</v>
      </c>
      <c r="D5149" s="757" t="str">
        <f>VLOOKUP(A5149,'A VII.'!$A$10:$D$199,3,FALSE)</f>
        <v>KG</v>
      </c>
      <c r="E5149" s="85">
        <f>'A VII.'!D29</f>
        <v>0</v>
      </c>
      <c r="F5149" s="59">
        <f>ROUND(C5149*E5149,2)</f>
        <v>0</v>
      </c>
    </row>
    <row r="5150" spans="1:6" ht="12.75" customHeight="1" x14ac:dyDescent="0.2">
      <c r="A5150" s="6" t="str">
        <f>'A VII.'!$A$39</f>
        <v>1.30</v>
      </c>
      <c r="B5150" s="421" t="str">
        <f>VLOOKUP(A5150,'A VII.'!$A$10:$D$199,2,FALSE)</f>
        <v>COLA BRANCA BASE PVA</v>
      </c>
      <c r="C5150" s="114">
        <f>0.04*0.25</f>
        <v>0.01</v>
      </c>
      <c r="D5150" s="757" t="str">
        <f>VLOOKUP(A5150,'A VII.'!$A$10:$D$199,3,FALSE)</f>
        <v>KG</v>
      </c>
      <c r="E5150" s="85">
        <f>'A VII.'!D39</f>
        <v>0</v>
      </c>
      <c r="F5150" s="59">
        <f t="shared" ref="F5150:F5164" si="317">ROUND(C5150*E5150,2)</f>
        <v>0</v>
      </c>
    </row>
    <row r="5151" spans="1:6" ht="12.75" customHeight="1" x14ac:dyDescent="0.2">
      <c r="A5151" s="6"/>
      <c r="B5151" s="421"/>
      <c r="C5151" s="114"/>
      <c r="D5151" s="757"/>
      <c r="E5151" s="85"/>
      <c r="F5151" s="59">
        <f t="shared" si="317"/>
        <v>0</v>
      </c>
    </row>
    <row r="5152" spans="1:6" ht="12.75" customHeight="1" x14ac:dyDescent="0.2">
      <c r="A5152" s="6"/>
      <c r="B5152" s="421"/>
      <c r="C5152" s="114"/>
      <c r="D5152" s="757"/>
      <c r="E5152" s="85"/>
      <c r="F5152" s="59">
        <f t="shared" si="317"/>
        <v>0</v>
      </c>
    </row>
    <row r="5153" spans="1:6" ht="12.75" customHeight="1" x14ac:dyDescent="0.2">
      <c r="A5153" s="6"/>
      <c r="B5153" s="421"/>
      <c r="C5153" s="114"/>
      <c r="D5153" s="757"/>
      <c r="E5153" s="85"/>
      <c r="F5153" s="59">
        <f t="shared" si="317"/>
        <v>0</v>
      </c>
    </row>
    <row r="5154" spans="1:6" ht="12.75" customHeight="1" x14ac:dyDescent="0.2">
      <c r="A5154" s="6"/>
      <c r="B5154" s="421"/>
      <c r="C5154" s="114"/>
      <c r="D5154" s="757"/>
      <c r="E5154" s="85"/>
      <c r="F5154" s="59">
        <f t="shared" si="317"/>
        <v>0</v>
      </c>
    </row>
    <row r="5155" spans="1:6" ht="12.75" customHeight="1" x14ac:dyDescent="0.2">
      <c r="A5155" s="6"/>
      <c r="B5155" s="421"/>
      <c r="C5155" s="114"/>
      <c r="D5155" s="757"/>
      <c r="E5155" s="85"/>
      <c r="F5155" s="59">
        <f t="shared" si="317"/>
        <v>0</v>
      </c>
    </row>
    <row r="5156" spans="1:6" ht="12.75" customHeight="1" x14ac:dyDescent="0.2">
      <c r="A5156" s="6"/>
      <c r="B5156" s="421"/>
      <c r="C5156" s="114"/>
      <c r="D5156" s="757"/>
      <c r="E5156" s="85"/>
      <c r="F5156" s="59">
        <f t="shared" si="317"/>
        <v>0</v>
      </c>
    </row>
    <row r="5157" spans="1:6" ht="12.75" customHeight="1" x14ac:dyDescent="0.2">
      <c r="A5157" s="6"/>
      <c r="B5157" s="421"/>
      <c r="C5157" s="114"/>
      <c r="D5157" s="757"/>
      <c r="E5157" s="85"/>
      <c r="F5157" s="59">
        <f t="shared" si="317"/>
        <v>0</v>
      </c>
    </row>
    <row r="5158" spans="1:6" ht="12.75" customHeight="1" x14ac:dyDescent="0.2">
      <c r="A5158" s="6"/>
      <c r="B5158" s="421"/>
      <c r="C5158" s="114"/>
      <c r="D5158" s="757"/>
      <c r="E5158" s="85"/>
      <c r="F5158" s="59">
        <f t="shared" si="317"/>
        <v>0</v>
      </c>
    </row>
    <row r="5159" spans="1:6" ht="12.75" customHeight="1" x14ac:dyDescent="0.2">
      <c r="A5159" s="6"/>
      <c r="B5159" s="421"/>
      <c r="C5159" s="114"/>
      <c r="D5159" s="757"/>
      <c r="E5159" s="85"/>
      <c r="F5159" s="59">
        <f t="shared" si="317"/>
        <v>0</v>
      </c>
    </row>
    <row r="5160" spans="1:6" ht="12.75" customHeight="1" x14ac:dyDescent="0.2">
      <c r="A5160" s="6"/>
      <c r="B5160" s="421"/>
      <c r="C5160" s="114"/>
      <c r="D5160" s="758"/>
      <c r="E5160" s="85"/>
      <c r="F5160" s="59">
        <f t="shared" si="317"/>
        <v>0</v>
      </c>
    </row>
    <row r="5161" spans="1:6" ht="12.75" customHeight="1" x14ac:dyDescent="0.2">
      <c r="A5161" s="6"/>
      <c r="B5161" s="421"/>
      <c r="C5161" s="114"/>
      <c r="D5161" s="758"/>
      <c r="E5161" s="85"/>
      <c r="F5161" s="59">
        <f t="shared" si="317"/>
        <v>0</v>
      </c>
    </row>
    <row r="5162" spans="1:6" ht="12.75" customHeight="1" x14ac:dyDescent="0.2">
      <c r="A5162" s="6"/>
      <c r="B5162" s="421"/>
      <c r="C5162" s="114"/>
      <c r="D5162" s="758"/>
      <c r="E5162" s="85"/>
      <c r="F5162" s="59">
        <f t="shared" si="317"/>
        <v>0</v>
      </c>
    </row>
    <row r="5163" spans="1:6" ht="12.75" customHeight="1" x14ac:dyDescent="0.2">
      <c r="A5163" s="3"/>
      <c r="C5163" s="114"/>
      <c r="D5163" s="759"/>
      <c r="E5163" s="85"/>
      <c r="F5163" s="59">
        <f t="shared" si="317"/>
        <v>0</v>
      </c>
    </row>
    <row r="5164" spans="1:6" ht="12.75" customHeight="1" x14ac:dyDescent="0.2">
      <c r="A5164" s="3"/>
      <c r="C5164" s="114"/>
      <c r="D5164" s="759"/>
      <c r="E5164" s="85"/>
      <c r="F5164" s="59">
        <f t="shared" si="317"/>
        <v>0</v>
      </c>
    </row>
    <row r="5165" spans="1:6" ht="12.75" customHeight="1" x14ac:dyDescent="0.2">
      <c r="A5165" s="3"/>
      <c r="B5165" s="86" t="s">
        <v>258</v>
      </c>
      <c r="C5165" s="87"/>
      <c r="D5165" s="88"/>
      <c r="E5165" s="89"/>
      <c r="F5165" s="90">
        <f>SUM(F5149:F5164)</f>
        <v>0</v>
      </c>
    </row>
    <row r="5166" spans="1:6" ht="12.75" customHeight="1" x14ac:dyDescent="0.2">
      <c r="A5166" s="3"/>
      <c r="B5166" s="91" t="s">
        <v>70</v>
      </c>
      <c r="C5166" s="15">
        <f>$D$8</f>
        <v>0</v>
      </c>
      <c r="D5166" s="92"/>
      <c r="E5166" s="93"/>
      <c r="F5166" s="94">
        <f>ROUND(F5165*C5166,2)</f>
        <v>0</v>
      </c>
    </row>
    <row r="5167" spans="1:6" ht="12.75" customHeight="1" x14ac:dyDescent="0.2">
      <c r="A5167" s="95"/>
      <c r="B5167" s="424" t="s">
        <v>259</v>
      </c>
      <c r="C5167" s="425"/>
      <c r="D5167" s="425"/>
      <c r="E5167" s="426"/>
      <c r="F5167" s="96">
        <f>F5165+F5166</f>
        <v>0</v>
      </c>
    </row>
    <row r="5168" spans="1:6" ht="12.75" customHeight="1" x14ac:dyDescent="0.2">
      <c r="A5168" s="1" t="s">
        <v>5</v>
      </c>
      <c r="B5168" s="418" t="s">
        <v>267</v>
      </c>
      <c r="C5168" s="419" t="s">
        <v>263</v>
      </c>
      <c r="D5168" s="419" t="s">
        <v>264</v>
      </c>
      <c r="E5168" s="420" t="s">
        <v>265</v>
      </c>
      <c r="F5168" s="57" t="s">
        <v>266</v>
      </c>
    </row>
    <row r="5169" spans="1:6" ht="12.75" customHeight="1" x14ac:dyDescent="0.2">
      <c r="A5169" s="3"/>
      <c r="B5169" s="71"/>
      <c r="C5169" s="114"/>
      <c r="D5169" s="759"/>
      <c r="E5169" s="85"/>
      <c r="F5169" s="59">
        <f t="shared" ref="F5169:F5178" si="318">ROUND(C5169*E5169,2)</f>
        <v>0</v>
      </c>
    </row>
    <row r="5170" spans="1:6" ht="12.75" customHeight="1" x14ac:dyDescent="0.2">
      <c r="A5170" s="3"/>
      <c r="C5170" s="114"/>
      <c r="D5170" s="759"/>
      <c r="E5170" s="85"/>
      <c r="F5170" s="59">
        <f t="shared" si="318"/>
        <v>0</v>
      </c>
    </row>
    <row r="5171" spans="1:6" ht="12.75" customHeight="1" x14ac:dyDescent="0.2">
      <c r="A5171" s="3"/>
      <c r="C5171" s="114"/>
      <c r="D5171" s="759"/>
      <c r="E5171" s="85"/>
      <c r="F5171" s="59">
        <f t="shared" si="318"/>
        <v>0</v>
      </c>
    </row>
    <row r="5172" spans="1:6" ht="12.75" customHeight="1" x14ac:dyDescent="0.2">
      <c r="A5172" s="3"/>
      <c r="C5172" s="114"/>
      <c r="D5172" s="759"/>
      <c r="E5172" s="85"/>
      <c r="F5172" s="59">
        <f t="shared" si="318"/>
        <v>0</v>
      </c>
    </row>
    <row r="5173" spans="1:6" ht="12.75" customHeight="1" x14ac:dyDescent="0.2">
      <c r="A5173" s="3"/>
      <c r="C5173" s="114"/>
      <c r="D5173" s="759"/>
      <c r="E5173" s="85"/>
      <c r="F5173" s="59">
        <f t="shared" si="318"/>
        <v>0</v>
      </c>
    </row>
    <row r="5174" spans="1:6" ht="12.75" customHeight="1" x14ac:dyDescent="0.2">
      <c r="A5174" s="3"/>
      <c r="C5174" s="114"/>
      <c r="D5174" s="759"/>
      <c r="E5174" s="85"/>
      <c r="F5174" s="59">
        <f t="shared" si="318"/>
        <v>0</v>
      </c>
    </row>
    <row r="5175" spans="1:6" ht="12.75" customHeight="1" x14ac:dyDescent="0.2">
      <c r="A5175" s="3"/>
      <c r="C5175" s="114"/>
      <c r="D5175" s="759"/>
      <c r="E5175" s="85"/>
      <c r="F5175" s="59">
        <f t="shared" si="318"/>
        <v>0</v>
      </c>
    </row>
    <row r="5176" spans="1:6" ht="12.75" customHeight="1" x14ac:dyDescent="0.2">
      <c r="A5176" s="3"/>
      <c r="C5176" s="114"/>
      <c r="D5176" s="759"/>
      <c r="E5176" s="85"/>
      <c r="F5176" s="59">
        <f t="shared" si="318"/>
        <v>0</v>
      </c>
    </row>
    <row r="5177" spans="1:6" ht="12.75" customHeight="1" x14ac:dyDescent="0.2">
      <c r="A5177" s="3"/>
      <c r="C5177" s="114"/>
      <c r="D5177" s="759"/>
      <c r="E5177" s="85"/>
      <c r="F5177" s="59">
        <f t="shared" si="318"/>
        <v>0</v>
      </c>
    </row>
    <row r="5178" spans="1:6" ht="12.75" customHeight="1" x14ac:dyDescent="0.2">
      <c r="A5178" s="3"/>
      <c r="C5178" s="114"/>
      <c r="D5178" s="759"/>
      <c r="E5178" s="85"/>
      <c r="F5178" s="59">
        <f t="shared" si="318"/>
        <v>0</v>
      </c>
    </row>
    <row r="5179" spans="1:6" ht="12.75" customHeight="1" x14ac:dyDescent="0.2">
      <c r="A5179" s="3"/>
      <c r="B5179" s="86" t="s">
        <v>258</v>
      </c>
      <c r="C5179" s="87"/>
      <c r="D5179" s="88"/>
      <c r="E5179" s="89"/>
      <c r="F5179" s="90">
        <f>SUM(F5169:F5178)</f>
        <v>0</v>
      </c>
    </row>
    <row r="5180" spans="1:6" ht="12.75" customHeight="1" x14ac:dyDescent="0.2">
      <c r="A5180" s="3"/>
      <c r="B5180" s="91" t="s">
        <v>70</v>
      </c>
      <c r="C5180" s="15">
        <f>$D$8</f>
        <v>0</v>
      </c>
      <c r="D5180" s="92"/>
      <c r="E5180" s="93"/>
      <c r="F5180" s="94">
        <f>ROUND(C5180*F5179,2)</f>
        <v>0</v>
      </c>
    </row>
    <row r="5181" spans="1:6" ht="12.75" customHeight="1" x14ac:dyDescent="0.2">
      <c r="A5181" s="95"/>
      <c r="B5181" s="424" t="s">
        <v>260</v>
      </c>
      <c r="C5181" s="425"/>
      <c r="D5181" s="425"/>
      <c r="E5181" s="426"/>
      <c r="F5181" s="96">
        <f>F5179+F5180</f>
        <v>0</v>
      </c>
    </row>
    <row r="5182" spans="1:6" ht="12.75" customHeight="1" x14ac:dyDescent="0.2">
      <c r="A5182" s="97" t="s">
        <v>54</v>
      </c>
      <c r="B5182" s="427" t="s">
        <v>268</v>
      </c>
      <c r="C5182" s="428" t="s">
        <v>263</v>
      </c>
      <c r="D5182" s="429" t="s">
        <v>264</v>
      </c>
      <c r="E5182" s="430" t="s">
        <v>265</v>
      </c>
      <c r="F5182" s="57" t="s">
        <v>266</v>
      </c>
    </row>
    <row r="5183" spans="1:6" ht="12.75" customHeight="1" x14ac:dyDescent="0.2">
      <c r="A5183" s="3" t="str">
        <f>'A VII.'!$A$193</f>
        <v>3.13</v>
      </c>
      <c r="B5183" s="74" t="s">
        <v>186</v>
      </c>
      <c r="C5183" s="114">
        <v>0.1</v>
      </c>
      <c r="D5183" s="759" t="str">
        <f>VLOOKUP(A5183,'A VII.'!$A$10:$D$199,3,FALSE)</f>
        <v>H</v>
      </c>
      <c r="E5183" s="85">
        <f>'A VII.'!D193</f>
        <v>0</v>
      </c>
      <c r="F5183" s="59">
        <f t="shared" ref="F5183:F5189" si="319">ROUND(C5183*E5183,2)</f>
        <v>0</v>
      </c>
    </row>
    <row r="5184" spans="1:6" ht="12.75" customHeight="1" x14ac:dyDescent="0.2">
      <c r="A5184" s="3"/>
      <c r="C5184" s="114"/>
      <c r="D5184" s="759"/>
      <c r="E5184" s="85"/>
      <c r="F5184" s="59">
        <f t="shared" si="319"/>
        <v>0</v>
      </c>
    </row>
    <row r="5185" spans="1:6" ht="12.75" customHeight="1" x14ac:dyDescent="0.2">
      <c r="A5185" s="3"/>
      <c r="C5185" s="114"/>
      <c r="D5185" s="759"/>
      <c r="E5185" s="85"/>
      <c r="F5185" s="59">
        <f t="shared" si="319"/>
        <v>0</v>
      </c>
    </row>
    <row r="5186" spans="1:6" ht="12.75" customHeight="1" x14ac:dyDescent="0.2">
      <c r="A5186" s="3"/>
      <c r="C5186" s="114"/>
      <c r="D5186" s="759"/>
      <c r="E5186" s="85"/>
      <c r="F5186" s="59">
        <f t="shared" si="319"/>
        <v>0</v>
      </c>
    </row>
    <row r="5187" spans="1:6" ht="12.75" customHeight="1" x14ac:dyDescent="0.2">
      <c r="A5187" s="3"/>
      <c r="C5187" s="114"/>
      <c r="D5187" s="759"/>
      <c r="E5187" s="85"/>
      <c r="F5187" s="59">
        <f t="shared" si="319"/>
        <v>0</v>
      </c>
    </row>
    <row r="5188" spans="1:6" ht="12.75" customHeight="1" x14ac:dyDescent="0.2">
      <c r="A5188" s="3"/>
      <c r="C5188" s="114"/>
      <c r="D5188" s="759"/>
      <c r="E5188" s="85"/>
      <c r="F5188" s="59">
        <f t="shared" si="319"/>
        <v>0</v>
      </c>
    </row>
    <row r="5189" spans="1:6" ht="12.75" customHeight="1" x14ac:dyDescent="0.2">
      <c r="A5189" s="3"/>
      <c r="C5189" s="114"/>
      <c r="D5189" s="759"/>
      <c r="E5189" s="85"/>
      <c r="F5189" s="59">
        <f t="shared" si="319"/>
        <v>0</v>
      </c>
    </row>
    <row r="5190" spans="1:6" ht="12.75" customHeight="1" x14ac:dyDescent="0.2">
      <c r="A5190" s="3"/>
      <c r="B5190" s="86" t="s">
        <v>258</v>
      </c>
      <c r="C5190" s="87"/>
      <c r="D5190" s="88"/>
      <c r="E5190" s="89"/>
      <c r="F5190" s="90">
        <f>SUM(F5183:F5189)</f>
        <v>0</v>
      </c>
    </row>
    <row r="5191" spans="1:6" ht="12.75" customHeight="1" x14ac:dyDescent="0.2">
      <c r="A5191" s="3"/>
      <c r="B5191" s="91" t="s">
        <v>261</v>
      </c>
      <c r="C5191" s="15">
        <f>'A IX.'!$C$45</f>
        <v>0</v>
      </c>
      <c r="D5191" s="92"/>
      <c r="E5191" s="93"/>
      <c r="F5191" s="94">
        <f>ROUND(F5190*C5191,2)</f>
        <v>0</v>
      </c>
    </row>
    <row r="5192" spans="1:6" ht="12.75" customHeight="1" x14ac:dyDescent="0.2">
      <c r="A5192" s="3"/>
      <c r="B5192" s="91" t="s">
        <v>70</v>
      </c>
      <c r="C5192" s="15">
        <f>$D$8</f>
        <v>0</v>
      </c>
      <c r="D5192" s="92"/>
      <c r="E5192" s="93"/>
      <c r="F5192" s="94">
        <f>ROUND(SUM(F5190:F5191)*C5192,2)</f>
        <v>0</v>
      </c>
    </row>
    <row r="5193" spans="1:6" ht="12.75" customHeight="1" thickBot="1" x14ac:dyDescent="0.25">
      <c r="A5193" s="98"/>
      <c r="B5193" s="99" t="s">
        <v>262</v>
      </c>
      <c r="C5193" s="100"/>
      <c r="D5193" s="100"/>
      <c r="E5193" s="101"/>
      <c r="F5193" s="102">
        <f>SUM(F5190:F5192)</f>
        <v>0</v>
      </c>
    </row>
    <row r="5194" spans="1:6" ht="12.75" customHeight="1" thickBot="1" x14ac:dyDescent="0.25">
      <c r="A5194" s="81"/>
      <c r="B5194" s="82"/>
      <c r="C5194" s="83"/>
      <c r="D5194" s="83"/>
      <c r="E5194" s="84"/>
      <c r="F5194" s="103"/>
    </row>
    <row r="5195" spans="1:6" ht="30" customHeight="1" x14ac:dyDescent="0.2">
      <c r="A5195" s="5" t="str">
        <f>'A IV.A'!A157</f>
        <v>7.1</v>
      </c>
      <c r="B5195" s="416" t="str">
        <f>'A IV.A'!B157</f>
        <v>FORNECIMENTO E INSTALAÇÃO DE LONA PLASTICA PRETA PARA IMPERMEABILIZAÇÃO</v>
      </c>
      <c r="C5195" s="526" t="s">
        <v>269</v>
      </c>
      <c r="D5195" s="527"/>
      <c r="E5195" s="417" t="str">
        <f>'A IV.A'!C157</f>
        <v>M2</v>
      </c>
      <c r="F5195" s="58">
        <f>ROUND(F5215+F5229+F5241,2)</f>
        <v>0</v>
      </c>
    </row>
    <row r="5196" spans="1:6" ht="12.75" customHeight="1" x14ac:dyDescent="0.2">
      <c r="A5196" s="1" t="s">
        <v>17</v>
      </c>
      <c r="B5196" s="418" t="s">
        <v>162</v>
      </c>
      <c r="C5196" s="419" t="s">
        <v>263</v>
      </c>
      <c r="D5196" s="419" t="s">
        <v>264</v>
      </c>
      <c r="E5196" s="420" t="s">
        <v>265</v>
      </c>
      <c r="F5196" s="57" t="s">
        <v>266</v>
      </c>
    </row>
    <row r="5197" spans="1:6" ht="12.75" customHeight="1" x14ac:dyDescent="0.2">
      <c r="A5197" s="6" t="str">
        <f>'A VII.'!$A$70</f>
        <v>1.61</v>
      </c>
      <c r="B5197" s="421" t="str">
        <f>'A VII.'!B70</f>
        <v>LONA PLASTICA PRETA, E= 150 MICRA</v>
      </c>
      <c r="C5197" s="114">
        <v>1.1000000000000001</v>
      </c>
      <c r="D5197" s="757" t="str">
        <f>'A VII.'!C70</f>
        <v>M2</v>
      </c>
      <c r="E5197" s="85">
        <f>'A VII.'!D70</f>
        <v>0</v>
      </c>
      <c r="F5197" s="59">
        <f>ROUND(C5197*E5197,2)</f>
        <v>0</v>
      </c>
    </row>
    <row r="5198" spans="1:6" ht="12.75" customHeight="1" x14ac:dyDescent="0.2">
      <c r="A5198" s="6"/>
      <c r="B5198" s="421"/>
      <c r="C5198" s="114"/>
      <c r="D5198" s="757"/>
      <c r="E5198" s="85"/>
      <c r="F5198" s="59">
        <f t="shared" ref="F5198:F5212" si="320">ROUND(C5198*E5198,2)</f>
        <v>0</v>
      </c>
    </row>
    <row r="5199" spans="1:6" ht="12.75" customHeight="1" x14ac:dyDescent="0.2">
      <c r="A5199" s="6"/>
      <c r="B5199" s="421"/>
      <c r="C5199" s="114"/>
      <c r="D5199" s="757"/>
      <c r="E5199" s="85"/>
      <c r="F5199" s="59">
        <f t="shared" si="320"/>
        <v>0</v>
      </c>
    </row>
    <row r="5200" spans="1:6" ht="12.75" customHeight="1" x14ac:dyDescent="0.2">
      <c r="A5200" s="6"/>
      <c r="B5200" s="421"/>
      <c r="C5200" s="114"/>
      <c r="D5200" s="757"/>
      <c r="E5200" s="85"/>
      <c r="F5200" s="59">
        <f t="shared" si="320"/>
        <v>0</v>
      </c>
    </row>
    <row r="5201" spans="1:6" ht="12.75" customHeight="1" x14ac:dyDescent="0.2">
      <c r="A5201" s="6"/>
      <c r="B5201" s="421"/>
      <c r="C5201" s="114"/>
      <c r="D5201" s="757"/>
      <c r="E5201" s="85"/>
      <c r="F5201" s="59">
        <f t="shared" si="320"/>
        <v>0</v>
      </c>
    </row>
    <row r="5202" spans="1:6" ht="12.75" customHeight="1" x14ac:dyDescent="0.2">
      <c r="A5202" s="6"/>
      <c r="B5202" s="421"/>
      <c r="C5202" s="114"/>
      <c r="D5202" s="757"/>
      <c r="E5202" s="85"/>
      <c r="F5202" s="59">
        <f t="shared" si="320"/>
        <v>0</v>
      </c>
    </row>
    <row r="5203" spans="1:6" ht="12.75" customHeight="1" x14ac:dyDescent="0.2">
      <c r="A5203" s="6"/>
      <c r="B5203" s="421"/>
      <c r="C5203" s="114"/>
      <c r="D5203" s="757"/>
      <c r="E5203" s="85"/>
      <c r="F5203" s="59">
        <f t="shared" si="320"/>
        <v>0</v>
      </c>
    </row>
    <row r="5204" spans="1:6" ht="12.75" customHeight="1" x14ac:dyDescent="0.2">
      <c r="A5204" s="6"/>
      <c r="B5204" s="421"/>
      <c r="C5204" s="114"/>
      <c r="D5204" s="757"/>
      <c r="E5204" s="85"/>
      <c r="F5204" s="59">
        <f t="shared" si="320"/>
        <v>0</v>
      </c>
    </row>
    <row r="5205" spans="1:6" ht="12.75" customHeight="1" x14ac:dyDescent="0.2">
      <c r="A5205" s="6"/>
      <c r="B5205" s="421"/>
      <c r="C5205" s="114"/>
      <c r="D5205" s="757"/>
      <c r="E5205" s="85"/>
      <c r="F5205" s="59">
        <f t="shared" si="320"/>
        <v>0</v>
      </c>
    </row>
    <row r="5206" spans="1:6" ht="12.75" customHeight="1" x14ac:dyDescent="0.2">
      <c r="A5206" s="6"/>
      <c r="B5206" s="421"/>
      <c r="C5206" s="114"/>
      <c r="D5206" s="757"/>
      <c r="E5206" s="85"/>
      <c r="F5206" s="59">
        <f t="shared" si="320"/>
        <v>0</v>
      </c>
    </row>
    <row r="5207" spans="1:6" ht="12.75" customHeight="1" x14ac:dyDescent="0.2">
      <c r="A5207" s="6"/>
      <c r="B5207" s="421"/>
      <c r="C5207" s="114"/>
      <c r="D5207" s="757"/>
      <c r="E5207" s="85"/>
      <c r="F5207" s="59">
        <f t="shared" si="320"/>
        <v>0</v>
      </c>
    </row>
    <row r="5208" spans="1:6" ht="12.75" customHeight="1" x14ac:dyDescent="0.2">
      <c r="A5208" s="6"/>
      <c r="B5208" s="421"/>
      <c r="C5208" s="114"/>
      <c r="D5208" s="758"/>
      <c r="E5208" s="85"/>
      <c r="F5208" s="59">
        <f t="shared" si="320"/>
        <v>0</v>
      </c>
    </row>
    <row r="5209" spans="1:6" ht="12.75" customHeight="1" x14ac:dyDescent="0.2">
      <c r="A5209" s="6"/>
      <c r="B5209" s="421"/>
      <c r="C5209" s="114"/>
      <c r="D5209" s="758"/>
      <c r="E5209" s="85"/>
      <c r="F5209" s="59">
        <f t="shared" si="320"/>
        <v>0</v>
      </c>
    </row>
    <row r="5210" spans="1:6" ht="12.75" customHeight="1" x14ac:dyDescent="0.2">
      <c r="A5210" s="6"/>
      <c r="B5210" s="421"/>
      <c r="C5210" s="114"/>
      <c r="D5210" s="758"/>
      <c r="E5210" s="85"/>
      <c r="F5210" s="59">
        <f t="shared" si="320"/>
        <v>0</v>
      </c>
    </row>
    <row r="5211" spans="1:6" ht="12.75" customHeight="1" x14ac:dyDescent="0.2">
      <c r="A5211" s="3"/>
      <c r="C5211" s="114"/>
      <c r="D5211" s="759"/>
      <c r="E5211" s="85"/>
      <c r="F5211" s="59">
        <f t="shared" si="320"/>
        <v>0</v>
      </c>
    </row>
    <row r="5212" spans="1:6" ht="12.75" customHeight="1" x14ac:dyDescent="0.2">
      <c r="A5212" s="3"/>
      <c r="C5212" s="114"/>
      <c r="D5212" s="759"/>
      <c r="E5212" s="85"/>
      <c r="F5212" s="59">
        <f t="shared" si="320"/>
        <v>0</v>
      </c>
    </row>
    <row r="5213" spans="1:6" ht="12.75" customHeight="1" x14ac:dyDescent="0.2">
      <c r="A5213" s="3"/>
      <c r="B5213" s="86" t="s">
        <v>258</v>
      </c>
      <c r="C5213" s="87"/>
      <c r="D5213" s="88"/>
      <c r="E5213" s="89"/>
      <c r="F5213" s="90">
        <f>SUM(F5197:F5212)</f>
        <v>0</v>
      </c>
    </row>
    <row r="5214" spans="1:6" ht="12.75" customHeight="1" x14ac:dyDescent="0.2">
      <c r="A5214" s="3"/>
      <c r="B5214" s="91" t="s">
        <v>70</v>
      </c>
      <c r="C5214" s="15">
        <f>$D$8</f>
        <v>0</v>
      </c>
      <c r="D5214" s="92"/>
      <c r="E5214" s="93"/>
      <c r="F5214" s="94">
        <f>ROUND(F5213*C5214,2)</f>
        <v>0</v>
      </c>
    </row>
    <row r="5215" spans="1:6" ht="12.75" customHeight="1" x14ac:dyDescent="0.2">
      <c r="A5215" s="95"/>
      <c r="B5215" s="424" t="s">
        <v>259</v>
      </c>
      <c r="C5215" s="425"/>
      <c r="D5215" s="425"/>
      <c r="E5215" s="426"/>
      <c r="F5215" s="96">
        <f>F5213+F5214</f>
        <v>0</v>
      </c>
    </row>
    <row r="5216" spans="1:6" ht="12.75" customHeight="1" x14ac:dyDescent="0.2">
      <c r="A5216" s="1" t="s">
        <v>5</v>
      </c>
      <c r="B5216" s="418" t="s">
        <v>267</v>
      </c>
      <c r="C5216" s="419" t="s">
        <v>263</v>
      </c>
      <c r="D5216" s="419" t="s">
        <v>264</v>
      </c>
      <c r="E5216" s="420" t="s">
        <v>265</v>
      </c>
      <c r="F5216" s="57" t="s">
        <v>266</v>
      </c>
    </row>
    <row r="5217" spans="1:6" ht="12.75" customHeight="1" x14ac:dyDescent="0.2">
      <c r="A5217" s="3"/>
      <c r="B5217" s="71"/>
      <c r="C5217" s="114"/>
      <c r="D5217" s="759"/>
      <c r="E5217" s="85"/>
      <c r="F5217" s="59">
        <f t="shared" ref="F5217:F5226" si="321">ROUND(C5217*E5217,2)</f>
        <v>0</v>
      </c>
    </row>
    <row r="5218" spans="1:6" ht="12.75" customHeight="1" x14ac:dyDescent="0.2">
      <c r="A5218" s="3"/>
      <c r="C5218" s="114"/>
      <c r="D5218" s="759"/>
      <c r="E5218" s="85"/>
      <c r="F5218" s="59">
        <f t="shared" si="321"/>
        <v>0</v>
      </c>
    </row>
    <row r="5219" spans="1:6" ht="12.75" customHeight="1" x14ac:dyDescent="0.2">
      <c r="A5219" s="3"/>
      <c r="C5219" s="114"/>
      <c r="D5219" s="759"/>
      <c r="E5219" s="85"/>
      <c r="F5219" s="59">
        <f t="shared" si="321"/>
        <v>0</v>
      </c>
    </row>
    <row r="5220" spans="1:6" ht="12.75" customHeight="1" x14ac:dyDescent="0.2">
      <c r="A5220" s="3"/>
      <c r="C5220" s="114"/>
      <c r="D5220" s="759"/>
      <c r="E5220" s="85"/>
      <c r="F5220" s="59">
        <f t="shared" si="321"/>
        <v>0</v>
      </c>
    </row>
    <row r="5221" spans="1:6" ht="12.75" customHeight="1" x14ac:dyDescent="0.2">
      <c r="A5221" s="3"/>
      <c r="C5221" s="114"/>
      <c r="D5221" s="759"/>
      <c r="E5221" s="85"/>
      <c r="F5221" s="59">
        <f t="shared" si="321"/>
        <v>0</v>
      </c>
    </row>
    <row r="5222" spans="1:6" ht="12.75" customHeight="1" x14ac:dyDescent="0.2">
      <c r="A5222" s="3"/>
      <c r="C5222" s="114"/>
      <c r="D5222" s="759"/>
      <c r="E5222" s="85"/>
      <c r="F5222" s="59">
        <f t="shared" si="321"/>
        <v>0</v>
      </c>
    </row>
    <row r="5223" spans="1:6" ht="12.75" customHeight="1" x14ac:dyDescent="0.2">
      <c r="A5223" s="3"/>
      <c r="C5223" s="114"/>
      <c r="D5223" s="759"/>
      <c r="E5223" s="85"/>
      <c r="F5223" s="59">
        <f t="shared" si="321"/>
        <v>0</v>
      </c>
    </row>
    <row r="5224" spans="1:6" ht="12.75" customHeight="1" x14ac:dyDescent="0.2">
      <c r="A5224" s="3"/>
      <c r="C5224" s="114"/>
      <c r="D5224" s="759"/>
      <c r="E5224" s="85"/>
      <c r="F5224" s="59">
        <f t="shared" si="321"/>
        <v>0</v>
      </c>
    </row>
    <row r="5225" spans="1:6" ht="12.75" customHeight="1" x14ac:dyDescent="0.2">
      <c r="A5225" s="3"/>
      <c r="C5225" s="114"/>
      <c r="D5225" s="759"/>
      <c r="E5225" s="85"/>
      <c r="F5225" s="59">
        <f t="shared" si="321"/>
        <v>0</v>
      </c>
    </row>
    <row r="5226" spans="1:6" ht="12.75" customHeight="1" x14ac:dyDescent="0.2">
      <c r="A5226" s="3"/>
      <c r="C5226" s="114"/>
      <c r="D5226" s="759"/>
      <c r="E5226" s="85"/>
      <c r="F5226" s="59">
        <f t="shared" si="321"/>
        <v>0</v>
      </c>
    </row>
    <row r="5227" spans="1:6" ht="12.75" customHeight="1" x14ac:dyDescent="0.2">
      <c r="A5227" s="3"/>
      <c r="B5227" s="86" t="s">
        <v>258</v>
      </c>
      <c r="C5227" s="87"/>
      <c r="D5227" s="88"/>
      <c r="E5227" s="89"/>
      <c r="F5227" s="90">
        <f>SUM(F5217:F5226)</f>
        <v>0</v>
      </c>
    </row>
    <row r="5228" spans="1:6" ht="12.75" customHeight="1" x14ac:dyDescent="0.2">
      <c r="A5228" s="3"/>
      <c r="B5228" s="91" t="s">
        <v>70</v>
      </c>
      <c r="C5228" s="15">
        <f>$D$8</f>
        <v>0</v>
      </c>
      <c r="D5228" s="92"/>
      <c r="E5228" s="93"/>
      <c r="F5228" s="94">
        <f>ROUND(C5228*F5227,2)</f>
        <v>0</v>
      </c>
    </row>
    <row r="5229" spans="1:6" ht="12.75" customHeight="1" x14ac:dyDescent="0.2">
      <c r="A5229" s="95"/>
      <c r="B5229" s="424" t="s">
        <v>260</v>
      </c>
      <c r="C5229" s="425"/>
      <c r="D5229" s="425"/>
      <c r="E5229" s="426"/>
      <c r="F5229" s="96">
        <f>F5227+F5228</f>
        <v>0</v>
      </c>
    </row>
    <row r="5230" spans="1:6" ht="12.75" customHeight="1" x14ac:dyDescent="0.2">
      <c r="A5230" s="97" t="s">
        <v>54</v>
      </c>
      <c r="B5230" s="427" t="s">
        <v>268</v>
      </c>
      <c r="C5230" s="428" t="s">
        <v>263</v>
      </c>
      <c r="D5230" s="429" t="s">
        <v>264</v>
      </c>
      <c r="E5230" s="430" t="s">
        <v>265</v>
      </c>
      <c r="F5230" s="57" t="s">
        <v>266</v>
      </c>
    </row>
    <row r="5231" spans="1:6" ht="12.75" customHeight="1" x14ac:dyDescent="0.2">
      <c r="A5231" s="3" t="str">
        <f>'A VII.'!$A$191</f>
        <v>3.11</v>
      </c>
      <c r="B5231" s="74" t="str">
        <f>'A VII.'!B191</f>
        <v>IMPERMEABILIZADOR COM ENCARGOS COMPLEMENTARES</v>
      </c>
      <c r="C5231" s="114">
        <v>0.2</v>
      </c>
      <c r="D5231" s="759" t="str">
        <f>'A VII.'!C191</f>
        <v>H</v>
      </c>
      <c r="E5231" s="85">
        <f>'A VII.'!D191</f>
        <v>0</v>
      </c>
      <c r="F5231" s="59">
        <f t="shared" ref="F5231:F5237" si="322">ROUND(C5231*E5231,2)</f>
        <v>0</v>
      </c>
    </row>
    <row r="5232" spans="1:6" ht="12.75" customHeight="1" x14ac:dyDescent="0.2">
      <c r="A5232" s="3"/>
      <c r="C5232" s="114"/>
      <c r="D5232" s="759"/>
      <c r="E5232" s="85"/>
      <c r="F5232" s="59">
        <f t="shared" si="322"/>
        <v>0</v>
      </c>
    </row>
    <row r="5233" spans="1:6" ht="12.75" customHeight="1" x14ac:dyDescent="0.2">
      <c r="A5233" s="3"/>
      <c r="C5233" s="114"/>
      <c r="D5233" s="759"/>
      <c r="E5233" s="85"/>
      <c r="F5233" s="59">
        <f t="shared" si="322"/>
        <v>0</v>
      </c>
    </row>
    <row r="5234" spans="1:6" ht="12.75" customHeight="1" x14ac:dyDescent="0.2">
      <c r="A5234" s="3"/>
      <c r="C5234" s="114"/>
      <c r="D5234" s="759"/>
      <c r="E5234" s="85"/>
      <c r="F5234" s="59">
        <f t="shared" si="322"/>
        <v>0</v>
      </c>
    </row>
    <row r="5235" spans="1:6" ht="12.75" customHeight="1" x14ac:dyDescent="0.2">
      <c r="A5235" s="3"/>
      <c r="C5235" s="114"/>
      <c r="D5235" s="759"/>
      <c r="E5235" s="85"/>
      <c r="F5235" s="59">
        <f t="shared" si="322"/>
        <v>0</v>
      </c>
    </row>
    <row r="5236" spans="1:6" ht="12.75" customHeight="1" x14ac:dyDescent="0.2">
      <c r="A5236" s="3"/>
      <c r="C5236" s="114"/>
      <c r="D5236" s="759"/>
      <c r="E5236" s="85"/>
      <c r="F5236" s="59">
        <f t="shared" si="322"/>
        <v>0</v>
      </c>
    </row>
    <row r="5237" spans="1:6" ht="12.75" customHeight="1" x14ac:dyDescent="0.2">
      <c r="A5237" s="3"/>
      <c r="C5237" s="114"/>
      <c r="D5237" s="759"/>
      <c r="E5237" s="85"/>
      <c r="F5237" s="59">
        <f t="shared" si="322"/>
        <v>0</v>
      </c>
    </row>
    <row r="5238" spans="1:6" ht="12.75" customHeight="1" x14ac:dyDescent="0.2">
      <c r="A5238" s="3"/>
      <c r="B5238" s="86" t="s">
        <v>258</v>
      </c>
      <c r="C5238" s="87"/>
      <c r="D5238" s="88"/>
      <c r="E5238" s="89"/>
      <c r="F5238" s="90">
        <f>SUM(F5231:F5237)</f>
        <v>0</v>
      </c>
    </row>
    <row r="5239" spans="1:6" ht="12.75" customHeight="1" x14ac:dyDescent="0.2">
      <c r="A5239" s="3"/>
      <c r="B5239" s="91" t="s">
        <v>261</v>
      </c>
      <c r="C5239" s="15">
        <f>'A IX.'!$C$45</f>
        <v>0</v>
      </c>
      <c r="D5239" s="92"/>
      <c r="E5239" s="93"/>
      <c r="F5239" s="94">
        <f>ROUND(F5238*C5239,2)</f>
        <v>0</v>
      </c>
    </row>
    <row r="5240" spans="1:6" ht="12.75" customHeight="1" x14ac:dyDescent="0.2">
      <c r="A5240" s="3"/>
      <c r="B5240" s="91" t="s">
        <v>70</v>
      </c>
      <c r="C5240" s="15">
        <f>$D$8</f>
        <v>0</v>
      </c>
      <c r="D5240" s="92"/>
      <c r="E5240" s="93"/>
      <c r="F5240" s="94">
        <f>ROUND(SUM(F5238:F5239)*C5240,2)</f>
        <v>0</v>
      </c>
    </row>
    <row r="5241" spans="1:6" ht="12.75" customHeight="1" thickBot="1" x14ac:dyDescent="0.25">
      <c r="A5241" s="98"/>
      <c r="B5241" s="99" t="s">
        <v>262</v>
      </c>
      <c r="C5241" s="100"/>
      <c r="D5241" s="100"/>
      <c r="E5241" s="101"/>
      <c r="F5241" s="102">
        <f>SUM(F5238:F5240)</f>
        <v>0</v>
      </c>
    </row>
    <row r="5242" spans="1:6" ht="12.75" customHeight="1" thickBot="1" x14ac:dyDescent="0.25">
      <c r="A5242" s="252"/>
      <c r="B5242" s="253"/>
      <c r="C5242" s="254"/>
      <c r="D5242" s="254"/>
      <c r="E5242" s="255"/>
      <c r="F5242" s="256"/>
    </row>
    <row r="5243" spans="1:6" ht="30" customHeight="1" x14ac:dyDescent="0.2">
      <c r="A5243" s="5" t="str">
        <f>'A IV.A'!A158</f>
        <v>7.2</v>
      </c>
      <c r="B5243" s="416" t="str">
        <f>'A IV.A'!B158</f>
        <v>FORNECIMENTO E LANÇAMENTO DE ELETRODUTO FLEXÍVEL CORRUGADO REFORÇADO, PVC, DN 25 MM (3/4")</v>
      </c>
      <c r="C5243" s="526" t="s">
        <v>269</v>
      </c>
      <c r="D5243" s="527"/>
      <c r="E5243" s="417" t="str">
        <f>'A IV.A'!C158</f>
        <v>M</v>
      </c>
      <c r="F5243" s="58">
        <f>ROUND(F5263+F5277+F5289,2)</f>
        <v>0</v>
      </c>
    </row>
    <row r="5244" spans="1:6" ht="12.75" customHeight="1" x14ac:dyDescent="0.2">
      <c r="A5244" s="1" t="s">
        <v>17</v>
      </c>
      <c r="B5244" s="418" t="s">
        <v>162</v>
      </c>
      <c r="C5244" s="419" t="s">
        <v>263</v>
      </c>
      <c r="D5244" s="419" t="s">
        <v>264</v>
      </c>
      <c r="E5244" s="420" t="s">
        <v>265</v>
      </c>
      <c r="F5244" s="57" t="s">
        <v>266</v>
      </c>
    </row>
    <row r="5245" spans="1:6" ht="12.75" customHeight="1" x14ac:dyDescent="0.2">
      <c r="A5245" s="6" t="str">
        <f>'A VII.'!$A$47</f>
        <v>1.38</v>
      </c>
      <c r="B5245" s="421" t="str">
        <f>VLOOKUP(A5245,'A VII.'!$A$10:$D$199,2,FALSE)</f>
        <v>ELETRODUTO PVC FLEXIVEL CORRUGADO, REFORCADO, COR LARANJA, DE 25 MM, 3/4"</v>
      </c>
      <c r="C5245" s="114">
        <v>1.0169999999999999</v>
      </c>
      <c r="D5245" s="757" t="str">
        <f>VLOOKUP(A5245,'A VII.'!$A$10:$D$199,3,FALSE)</f>
        <v>M</v>
      </c>
      <c r="E5245" s="85">
        <f>'A VII.'!D47</f>
        <v>0</v>
      </c>
      <c r="F5245" s="59">
        <f>ROUND(C5245*E5245,2)</f>
        <v>0</v>
      </c>
    </row>
    <row r="5246" spans="1:6" ht="12.75" customHeight="1" x14ac:dyDescent="0.2">
      <c r="A5246" s="6"/>
      <c r="B5246" s="421"/>
      <c r="C5246" s="114"/>
      <c r="D5246" s="757"/>
      <c r="E5246" s="85"/>
      <c r="F5246" s="59">
        <f t="shared" ref="F5246:F5260" si="323">ROUND(C5246*E5246,2)</f>
        <v>0</v>
      </c>
    </row>
    <row r="5247" spans="1:6" ht="12.75" customHeight="1" x14ac:dyDescent="0.2">
      <c r="A5247" s="6"/>
      <c r="B5247" s="421"/>
      <c r="C5247" s="114"/>
      <c r="D5247" s="757"/>
      <c r="E5247" s="85"/>
      <c r="F5247" s="59">
        <f t="shared" si="323"/>
        <v>0</v>
      </c>
    </row>
    <row r="5248" spans="1:6" ht="12.75" customHeight="1" x14ac:dyDescent="0.2">
      <c r="A5248" s="6"/>
      <c r="B5248" s="421"/>
      <c r="C5248" s="114"/>
      <c r="D5248" s="757"/>
      <c r="E5248" s="85"/>
      <c r="F5248" s="59">
        <f t="shared" si="323"/>
        <v>0</v>
      </c>
    </row>
    <row r="5249" spans="1:6" ht="12.75" customHeight="1" x14ac:dyDescent="0.2">
      <c r="A5249" s="6"/>
      <c r="B5249" s="421"/>
      <c r="C5249" s="114"/>
      <c r="D5249" s="757"/>
      <c r="E5249" s="85"/>
      <c r="F5249" s="59">
        <f t="shared" si="323"/>
        <v>0</v>
      </c>
    </row>
    <row r="5250" spans="1:6" ht="12.75" customHeight="1" x14ac:dyDescent="0.2">
      <c r="A5250" s="6"/>
      <c r="B5250" s="421"/>
      <c r="C5250" s="114"/>
      <c r="D5250" s="757"/>
      <c r="E5250" s="85"/>
      <c r="F5250" s="59">
        <f t="shared" si="323"/>
        <v>0</v>
      </c>
    </row>
    <row r="5251" spans="1:6" ht="12.75" customHeight="1" x14ac:dyDescent="0.2">
      <c r="A5251" s="6"/>
      <c r="B5251" s="421"/>
      <c r="C5251" s="114"/>
      <c r="D5251" s="757"/>
      <c r="E5251" s="85"/>
      <c r="F5251" s="59">
        <f t="shared" si="323"/>
        <v>0</v>
      </c>
    </row>
    <row r="5252" spans="1:6" ht="12.75" customHeight="1" x14ac:dyDescent="0.2">
      <c r="A5252" s="6"/>
      <c r="B5252" s="421"/>
      <c r="C5252" s="114"/>
      <c r="D5252" s="757"/>
      <c r="E5252" s="85"/>
      <c r="F5252" s="59">
        <f t="shared" si="323"/>
        <v>0</v>
      </c>
    </row>
    <row r="5253" spans="1:6" ht="12.75" customHeight="1" x14ac:dyDescent="0.2">
      <c r="A5253" s="6"/>
      <c r="B5253" s="421"/>
      <c r="C5253" s="114"/>
      <c r="D5253" s="757"/>
      <c r="E5253" s="85"/>
      <c r="F5253" s="59">
        <f t="shared" si="323"/>
        <v>0</v>
      </c>
    </row>
    <row r="5254" spans="1:6" ht="12.75" customHeight="1" x14ac:dyDescent="0.2">
      <c r="A5254" s="6"/>
      <c r="B5254" s="421"/>
      <c r="C5254" s="114"/>
      <c r="D5254" s="757"/>
      <c r="E5254" s="85"/>
      <c r="F5254" s="59">
        <f t="shared" si="323"/>
        <v>0</v>
      </c>
    </row>
    <row r="5255" spans="1:6" ht="12.75" customHeight="1" x14ac:dyDescent="0.2">
      <c r="A5255" s="6"/>
      <c r="B5255" s="421"/>
      <c r="C5255" s="114"/>
      <c r="D5255" s="757"/>
      <c r="E5255" s="85"/>
      <c r="F5255" s="59">
        <f t="shared" si="323"/>
        <v>0</v>
      </c>
    </row>
    <row r="5256" spans="1:6" ht="12.75" customHeight="1" x14ac:dyDescent="0.2">
      <c r="A5256" s="6"/>
      <c r="B5256" s="421"/>
      <c r="C5256" s="114"/>
      <c r="D5256" s="758"/>
      <c r="E5256" s="85"/>
      <c r="F5256" s="59">
        <f t="shared" si="323"/>
        <v>0</v>
      </c>
    </row>
    <row r="5257" spans="1:6" ht="12.75" customHeight="1" x14ac:dyDescent="0.2">
      <c r="A5257" s="6"/>
      <c r="B5257" s="421"/>
      <c r="C5257" s="114"/>
      <c r="D5257" s="758"/>
      <c r="E5257" s="85"/>
      <c r="F5257" s="59">
        <f t="shared" si="323"/>
        <v>0</v>
      </c>
    </row>
    <row r="5258" spans="1:6" ht="12.75" customHeight="1" x14ac:dyDescent="0.2">
      <c r="A5258" s="6"/>
      <c r="B5258" s="421"/>
      <c r="C5258" s="114"/>
      <c r="D5258" s="758"/>
      <c r="E5258" s="85"/>
      <c r="F5258" s="59">
        <f t="shared" si="323"/>
        <v>0</v>
      </c>
    </row>
    <row r="5259" spans="1:6" ht="12.75" customHeight="1" x14ac:dyDescent="0.2">
      <c r="A5259" s="3"/>
      <c r="C5259" s="114"/>
      <c r="D5259" s="759"/>
      <c r="E5259" s="85"/>
      <c r="F5259" s="59">
        <f t="shared" si="323"/>
        <v>0</v>
      </c>
    </row>
    <row r="5260" spans="1:6" ht="12.75" customHeight="1" x14ac:dyDescent="0.2">
      <c r="A5260" s="3"/>
      <c r="C5260" s="114"/>
      <c r="D5260" s="759"/>
      <c r="E5260" s="85"/>
      <c r="F5260" s="59">
        <f t="shared" si="323"/>
        <v>0</v>
      </c>
    </row>
    <row r="5261" spans="1:6" ht="12.75" customHeight="1" x14ac:dyDescent="0.2">
      <c r="A5261" s="3"/>
      <c r="B5261" s="86" t="s">
        <v>258</v>
      </c>
      <c r="C5261" s="87"/>
      <c r="D5261" s="88"/>
      <c r="E5261" s="89"/>
      <c r="F5261" s="90">
        <f>SUM(F5245:F5260)</f>
        <v>0</v>
      </c>
    </row>
    <row r="5262" spans="1:6" ht="12.75" customHeight="1" x14ac:dyDescent="0.2">
      <c r="A5262" s="3"/>
      <c r="B5262" s="91" t="s">
        <v>70</v>
      </c>
      <c r="C5262" s="15">
        <f>$D$8</f>
        <v>0</v>
      </c>
      <c r="D5262" s="92"/>
      <c r="E5262" s="93"/>
      <c r="F5262" s="94">
        <f>ROUND(F5261*C5262,2)</f>
        <v>0</v>
      </c>
    </row>
    <row r="5263" spans="1:6" ht="12.75" customHeight="1" x14ac:dyDescent="0.2">
      <c r="A5263" s="95"/>
      <c r="B5263" s="424" t="s">
        <v>259</v>
      </c>
      <c r="C5263" s="425"/>
      <c r="D5263" s="425"/>
      <c r="E5263" s="426"/>
      <c r="F5263" s="96">
        <f>F5261+F5262</f>
        <v>0</v>
      </c>
    </row>
    <row r="5264" spans="1:6" ht="12.75" customHeight="1" x14ac:dyDescent="0.2">
      <c r="A5264" s="1" t="s">
        <v>5</v>
      </c>
      <c r="B5264" s="418" t="s">
        <v>267</v>
      </c>
      <c r="C5264" s="419" t="s">
        <v>263</v>
      </c>
      <c r="D5264" s="419" t="s">
        <v>264</v>
      </c>
      <c r="E5264" s="420" t="s">
        <v>265</v>
      </c>
      <c r="F5264" s="57" t="s">
        <v>266</v>
      </c>
    </row>
    <row r="5265" spans="1:6" ht="12.75" customHeight="1" x14ac:dyDescent="0.2">
      <c r="A5265" s="3"/>
      <c r="B5265" s="71"/>
      <c r="C5265" s="114"/>
      <c r="D5265" s="759"/>
      <c r="E5265" s="85"/>
      <c r="F5265" s="59">
        <f t="shared" ref="F5265:F5274" si="324">ROUND(C5265*E5265,2)</f>
        <v>0</v>
      </c>
    </row>
    <row r="5266" spans="1:6" ht="12.75" customHeight="1" x14ac:dyDescent="0.2">
      <c r="A5266" s="3"/>
      <c r="C5266" s="114"/>
      <c r="D5266" s="759"/>
      <c r="E5266" s="85"/>
      <c r="F5266" s="59">
        <f t="shared" si="324"/>
        <v>0</v>
      </c>
    </row>
    <row r="5267" spans="1:6" ht="12.75" customHeight="1" x14ac:dyDescent="0.2">
      <c r="A5267" s="3"/>
      <c r="C5267" s="114"/>
      <c r="D5267" s="759"/>
      <c r="E5267" s="85"/>
      <c r="F5267" s="59">
        <f t="shared" si="324"/>
        <v>0</v>
      </c>
    </row>
    <row r="5268" spans="1:6" ht="12.75" customHeight="1" x14ac:dyDescent="0.2">
      <c r="A5268" s="3"/>
      <c r="C5268" s="114"/>
      <c r="D5268" s="759"/>
      <c r="E5268" s="85"/>
      <c r="F5268" s="59">
        <f t="shared" si="324"/>
        <v>0</v>
      </c>
    </row>
    <row r="5269" spans="1:6" ht="12.75" customHeight="1" x14ac:dyDescent="0.2">
      <c r="A5269" s="3"/>
      <c r="C5269" s="114"/>
      <c r="D5269" s="759"/>
      <c r="E5269" s="85"/>
      <c r="F5269" s="59">
        <f t="shared" si="324"/>
        <v>0</v>
      </c>
    </row>
    <row r="5270" spans="1:6" ht="12.75" customHeight="1" x14ac:dyDescent="0.2">
      <c r="A5270" s="3"/>
      <c r="C5270" s="114"/>
      <c r="D5270" s="759"/>
      <c r="E5270" s="85"/>
      <c r="F5270" s="59">
        <f t="shared" si="324"/>
        <v>0</v>
      </c>
    </row>
    <row r="5271" spans="1:6" ht="12.75" customHeight="1" x14ac:dyDescent="0.2">
      <c r="A5271" s="3"/>
      <c r="C5271" s="114"/>
      <c r="D5271" s="759"/>
      <c r="E5271" s="85"/>
      <c r="F5271" s="59">
        <f t="shared" si="324"/>
        <v>0</v>
      </c>
    </row>
    <row r="5272" spans="1:6" ht="12.75" customHeight="1" x14ac:dyDescent="0.2">
      <c r="A5272" s="3"/>
      <c r="C5272" s="114"/>
      <c r="D5272" s="759"/>
      <c r="E5272" s="85"/>
      <c r="F5272" s="59">
        <f t="shared" si="324"/>
        <v>0</v>
      </c>
    </row>
    <row r="5273" spans="1:6" ht="12.75" customHeight="1" x14ac:dyDescent="0.2">
      <c r="A5273" s="3"/>
      <c r="C5273" s="114"/>
      <c r="D5273" s="759"/>
      <c r="E5273" s="85"/>
      <c r="F5273" s="59">
        <f t="shared" si="324"/>
        <v>0</v>
      </c>
    </row>
    <row r="5274" spans="1:6" ht="12.75" customHeight="1" x14ac:dyDescent="0.2">
      <c r="A5274" s="3"/>
      <c r="C5274" s="114"/>
      <c r="D5274" s="759"/>
      <c r="E5274" s="85"/>
      <c r="F5274" s="59">
        <f t="shared" si="324"/>
        <v>0</v>
      </c>
    </row>
    <row r="5275" spans="1:6" ht="12.75" customHeight="1" x14ac:dyDescent="0.2">
      <c r="A5275" s="3"/>
      <c r="B5275" s="86" t="s">
        <v>258</v>
      </c>
      <c r="C5275" s="87"/>
      <c r="D5275" s="88"/>
      <c r="E5275" s="89"/>
      <c r="F5275" s="90">
        <f>SUM(F5265:F5274)</f>
        <v>0</v>
      </c>
    </row>
    <row r="5276" spans="1:6" ht="12.75" customHeight="1" x14ac:dyDescent="0.2">
      <c r="A5276" s="3"/>
      <c r="B5276" s="91" t="s">
        <v>70</v>
      </c>
      <c r="C5276" s="15">
        <f>$D$8</f>
        <v>0</v>
      </c>
      <c r="D5276" s="92"/>
      <c r="E5276" s="93"/>
      <c r="F5276" s="94">
        <f>ROUND(C5276*F5275,2)</f>
        <v>0</v>
      </c>
    </row>
    <row r="5277" spans="1:6" ht="12.75" customHeight="1" x14ac:dyDescent="0.2">
      <c r="A5277" s="95"/>
      <c r="B5277" s="424" t="s">
        <v>260</v>
      </c>
      <c r="C5277" s="425"/>
      <c r="D5277" s="425"/>
      <c r="E5277" s="426"/>
      <c r="F5277" s="96">
        <f>F5275+F5276</f>
        <v>0</v>
      </c>
    </row>
    <row r="5278" spans="1:6" ht="12.75" customHeight="1" x14ac:dyDescent="0.2">
      <c r="A5278" s="97" t="s">
        <v>54</v>
      </c>
      <c r="B5278" s="427" t="s">
        <v>268</v>
      </c>
      <c r="C5278" s="428" t="s">
        <v>263</v>
      </c>
      <c r="D5278" s="429" t="s">
        <v>264</v>
      </c>
      <c r="E5278" s="430" t="s">
        <v>265</v>
      </c>
      <c r="F5278" s="57" t="s">
        <v>266</v>
      </c>
    </row>
    <row r="5279" spans="1:6" ht="12.75" customHeight="1" x14ac:dyDescent="0.2">
      <c r="A5279" s="3" t="str">
        <f>'A VII.'!$A$181</f>
        <v>3.1</v>
      </c>
      <c r="B5279" s="74" t="s">
        <v>174</v>
      </c>
      <c r="C5279" s="114">
        <v>0.14399999999999999</v>
      </c>
      <c r="D5279" s="759" t="str">
        <f>VLOOKUP(A5279,'A VII.'!$A$10:$D$199,3,FALSE)</f>
        <v>H</v>
      </c>
      <c r="E5279" s="85">
        <f>'A VII.'!D181</f>
        <v>0</v>
      </c>
      <c r="F5279" s="59">
        <f t="shared" ref="F5279:F5285" si="325">ROUND(C5279*E5279,2)</f>
        <v>0</v>
      </c>
    </row>
    <row r="5280" spans="1:6" ht="12.75" customHeight="1" x14ac:dyDescent="0.2">
      <c r="A5280" s="3" t="str">
        <f>'A VII.'!$A$189</f>
        <v>3.9</v>
      </c>
      <c r="B5280" s="74" t="s">
        <v>182</v>
      </c>
      <c r="C5280" s="114">
        <v>0.14399999999999999</v>
      </c>
      <c r="D5280" s="759" t="str">
        <f>VLOOKUP(A5280,'A VII.'!$A$10:$D$199,3,FALSE)</f>
        <v>H</v>
      </c>
      <c r="E5280" s="85">
        <f>'A VII.'!D189</f>
        <v>0</v>
      </c>
      <c r="F5280" s="59">
        <f t="shared" si="325"/>
        <v>0</v>
      </c>
    </row>
    <row r="5281" spans="1:6" ht="12.75" customHeight="1" x14ac:dyDescent="0.2">
      <c r="A5281" s="3"/>
      <c r="C5281" s="114"/>
      <c r="D5281" s="759"/>
      <c r="E5281" s="85"/>
      <c r="F5281" s="59">
        <f t="shared" si="325"/>
        <v>0</v>
      </c>
    </row>
    <row r="5282" spans="1:6" ht="12.75" customHeight="1" x14ac:dyDescent="0.2">
      <c r="A5282" s="3"/>
      <c r="C5282" s="114"/>
      <c r="D5282" s="759"/>
      <c r="E5282" s="85"/>
      <c r="F5282" s="59">
        <f t="shared" si="325"/>
        <v>0</v>
      </c>
    </row>
    <row r="5283" spans="1:6" ht="12.75" customHeight="1" x14ac:dyDescent="0.2">
      <c r="A5283" s="3"/>
      <c r="C5283" s="114"/>
      <c r="D5283" s="759"/>
      <c r="E5283" s="85"/>
      <c r="F5283" s="59">
        <f t="shared" si="325"/>
        <v>0</v>
      </c>
    </row>
    <row r="5284" spans="1:6" ht="12.75" customHeight="1" x14ac:dyDescent="0.2">
      <c r="A5284" s="3"/>
      <c r="C5284" s="114"/>
      <c r="D5284" s="759"/>
      <c r="E5284" s="85"/>
      <c r="F5284" s="59">
        <f t="shared" si="325"/>
        <v>0</v>
      </c>
    </row>
    <row r="5285" spans="1:6" ht="12.75" customHeight="1" x14ac:dyDescent="0.2">
      <c r="A5285" s="3"/>
      <c r="C5285" s="114"/>
      <c r="D5285" s="759"/>
      <c r="E5285" s="85"/>
      <c r="F5285" s="59">
        <f t="shared" si="325"/>
        <v>0</v>
      </c>
    </row>
    <row r="5286" spans="1:6" ht="12.75" customHeight="1" x14ac:dyDescent="0.2">
      <c r="A5286" s="3"/>
      <c r="B5286" s="86" t="s">
        <v>258</v>
      </c>
      <c r="C5286" s="87"/>
      <c r="D5286" s="88"/>
      <c r="E5286" s="89"/>
      <c r="F5286" s="90">
        <f>SUM(F5279:F5285)</f>
        <v>0</v>
      </c>
    </row>
    <row r="5287" spans="1:6" ht="12.75" customHeight="1" x14ac:dyDescent="0.2">
      <c r="A5287" s="3"/>
      <c r="B5287" s="91" t="s">
        <v>261</v>
      </c>
      <c r="C5287" s="15">
        <f>'A IX.'!$C$45</f>
        <v>0</v>
      </c>
      <c r="D5287" s="92"/>
      <c r="E5287" s="93"/>
      <c r="F5287" s="94">
        <f>ROUND(F5286*C5287,2)</f>
        <v>0</v>
      </c>
    </row>
    <row r="5288" spans="1:6" ht="12.75" customHeight="1" x14ac:dyDescent="0.2">
      <c r="A5288" s="3"/>
      <c r="B5288" s="91" t="s">
        <v>70</v>
      </c>
      <c r="C5288" s="15">
        <f>$D$8</f>
        <v>0</v>
      </c>
      <c r="D5288" s="92"/>
      <c r="E5288" s="93"/>
      <c r="F5288" s="94">
        <f>ROUND(SUM(F5286:F5287)*C5288,2)</f>
        <v>0</v>
      </c>
    </row>
    <row r="5289" spans="1:6" ht="12.75" customHeight="1" thickBot="1" x14ac:dyDescent="0.25">
      <c r="A5289" s="98"/>
      <c r="B5289" s="99" t="s">
        <v>262</v>
      </c>
      <c r="C5289" s="100"/>
      <c r="D5289" s="100"/>
      <c r="E5289" s="101"/>
      <c r="F5289" s="102">
        <f>SUM(F5286:F5288)</f>
        <v>0</v>
      </c>
    </row>
    <row r="5290" spans="1:6" ht="12.75" customHeight="1" thickBot="1" x14ac:dyDescent="0.25">
      <c r="A5290" s="81"/>
      <c r="B5290" s="82"/>
      <c r="C5290" s="83"/>
      <c r="D5290" s="83"/>
      <c r="E5290" s="84"/>
      <c r="F5290" s="103"/>
    </row>
    <row r="5291" spans="1:6" ht="30" customHeight="1" x14ac:dyDescent="0.2">
      <c r="A5291" s="5" t="str">
        <f>'A IV.A'!A159</f>
        <v>7.3</v>
      </c>
      <c r="B5291" s="416" t="str">
        <f>'A IV.A'!B159</f>
        <v>FORNECIMENTO E LANÇAMENTO DE ELETRODUTO FLEXÍVEL CORRUGADO REFORÇADO, PVC, DN 32 MM (1")</v>
      </c>
      <c r="C5291" s="526" t="s">
        <v>269</v>
      </c>
      <c r="D5291" s="527"/>
      <c r="E5291" s="417" t="str">
        <f>'A IV.A'!C159</f>
        <v>M</v>
      </c>
      <c r="F5291" s="58">
        <f>ROUND(F5311+F5325+F5337,2)</f>
        <v>0</v>
      </c>
    </row>
    <row r="5292" spans="1:6" ht="12.75" customHeight="1" x14ac:dyDescent="0.2">
      <c r="A5292" s="1" t="s">
        <v>17</v>
      </c>
      <c r="B5292" s="418" t="s">
        <v>162</v>
      </c>
      <c r="C5292" s="419" t="s">
        <v>263</v>
      </c>
      <c r="D5292" s="419" t="s">
        <v>264</v>
      </c>
      <c r="E5292" s="420" t="s">
        <v>265</v>
      </c>
      <c r="F5292" s="57" t="s">
        <v>266</v>
      </c>
    </row>
    <row r="5293" spans="1:6" ht="12.75" customHeight="1" x14ac:dyDescent="0.2">
      <c r="A5293" s="6" t="str">
        <f>'A VII.'!$A$48</f>
        <v>1.39</v>
      </c>
      <c r="B5293" s="421" t="str">
        <f>VLOOKUP(A5293,'A VII.'!$A$10:$D$199,2,FALSE)</f>
        <v>ELETRODUTO PVC FLEXIVEL CORRUGADO, REFORCADO, COR LARANJA, DE 32 MM, 1"</v>
      </c>
      <c r="C5293" s="114">
        <v>1.0169999999999999</v>
      </c>
      <c r="D5293" s="757" t="str">
        <f>VLOOKUP(A5293,'A VII.'!$A$10:$D$199,3,FALSE)</f>
        <v>M</v>
      </c>
      <c r="E5293" s="85">
        <f>'A VII.'!D48</f>
        <v>0</v>
      </c>
      <c r="F5293" s="59">
        <f>ROUND(C5293*E5293,2)</f>
        <v>0</v>
      </c>
    </row>
    <row r="5294" spans="1:6" ht="12.75" customHeight="1" x14ac:dyDescent="0.2">
      <c r="A5294" s="6"/>
      <c r="B5294" s="421"/>
      <c r="C5294" s="114"/>
      <c r="D5294" s="757"/>
      <c r="E5294" s="85"/>
      <c r="F5294" s="59">
        <f t="shared" ref="F5294:F5308" si="326">ROUND(C5294*E5294,2)</f>
        <v>0</v>
      </c>
    </row>
    <row r="5295" spans="1:6" ht="12.75" customHeight="1" x14ac:dyDescent="0.2">
      <c r="A5295" s="6"/>
      <c r="B5295" s="421"/>
      <c r="C5295" s="114"/>
      <c r="D5295" s="757"/>
      <c r="E5295" s="85"/>
      <c r="F5295" s="59">
        <f t="shared" si="326"/>
        <v>0</v>
      </c>
    </row>
    <row r="5296" spans="1:6" ht="12.75" customHeight="1" x14ac:dyDescent="0.2">
      <c r="A5296" s="6"/>
      <c r="B5296" s="421"/>
      <c r="C5296" s="114"/>
      <c r="D5296" s="757"/>
      <c r="E5296" s="85"/>
      <c r="F5296" s="59">
        <f t="shared" si="326"/>
        <v>0</v>
      </c>
    </row>
    <row r="5297" spans="1:6" ht="12.75" customHeight="1" x14ac:dyDescent="0.2">
      <c r="A5297" s="6"/>
      <c r="B5297" s="421"/>
      <c r="C5297" s="114"/>
      <c r="D5297" s="757"/>
      <c r="E5297" s="85"/>
      <c r="F5297" s="59">
        <f t="shared" si="326"/>
        <v>0</v>
      </c>
    </row>
    <row r="5298" spans="1:6" ht="12.75" customHeight="1" x14ac:dyDescent="0.2">
      <c r="A5298" s="6"/>
      <c r="B5298" s="421"/>
      <c r="C5298" s="114"/>
      <c r="D5298" s="757"/>
      <c r="E5298" s="85"/>
      <c r="F5298" s="59">
        <f t="shared" si="326"/>
        <v>0</v>
      </c>
    </row>
    <row r="5299" spans="1:6" ht="12.75" customHeight="1" x14ac:dyDescent="0.2">
      <c r="A5299" s="6"/>
      <c r="B5299" s="421"/>
      <c r="C5299" s="114"/>
      <c r="D5299" s="757"/>
      <c r="E5299" s="85"/>
      <c r="F5299" s="59">
        <f t="shared" si="326"/>
        <v>0</v>
      </c>
    </row>
    <row r="5300" spans="1:6" ht="12.75" customHeight="1" x14ac:dyDescent="0.2">
      <c r="A5300" s="6"/>
      <c r="B5300" s="421"/>
      <c r="C5300" s="114"/>
      <c r="D5300" s="757"/>
      <c r="E5300" s="85"/>
      <c r="F5300" s="59">
        <f t="shared" si="326"/>
        <v>0</v>
      </c>
    </row>
    <row r="5301" spans="1:6" ht="12.75" customHeight="1" x14ac:dyDescent="0.2">
      <c r="A5301" s="6"/>
      <c r="B5301" s="421"/>
      <c r="C5301" s="114"/>
      <c r="D5301" s="757"/>
      <c r="E5301" s="85"/>
      <c r="F5301" s="59">
        <f t="shared" si="326"/>
        <v>0</v>
      </c>
    </row>
    <row r="5302" spans="1:6" ht="12.75" customHeight="1" x14ac:dyDescent="0.2">
      <c r="A5302" s="6"/>
      <c r="B5302" s="421"/>
      <c r="C5302" s="114"/>
      <c r="D5302" s="757"/>
      <c r="E5302" s="85"/>
      <c r="F5302" s="59">
        <f t="shared" si="326"/>
        <v>0</v>
      </c>
    </row>
    <row r="5303" spans="1:6" ht="12.75" customHeight="1" x14ac:dyDescent="0.2">
      <c r="A5303" s="6"/>
      <c r="B5303" s="421"/>
      <c r="C5303" s="114"/>
      <c r="D5303" s="757"/>
      <c r="E5303" s="85"/>
      <c r="F5303" s="59">
        <f t="shared" si="326"/>
        <v>0</v>
      </c>
    </row>
    <row r="5304" spans="1:6" ht="12.75" customHeight="1" x14ac:dyDescent="0.2">
      <c r="A5304" s="6"/>
      <c r="B5304" s="421"/>
      <c r="C5304" s="114"/>
      <c r="D5304" s="758"/>
      <c r="E5304" s="85"/>
      <c r="F5304" s="59">
        <f t="shared" si="326"/>
        <v>0</v>
      </c>
    </row>
    <row r="5305" spans="1:6" ht="12.75" customHeight="1" x14ac:dyDescent="0.2">
      <c r="A5305" s="6"/>
      <c r="B5305" s="421"/>
      <c r="C5305" s="114"/>
      <c r="D5305" s="758"/>
      <c r="E5305" s="85"/>
      <c r="F5305" s="59">
        <f t="shared" si="326"/>
        <v>0</v>
      </c>
    </row>
    <row r="5306" spans="1:6" ht="12.75" customHeight="1" x14ac:dyDescent="0.2">
      <c r="A5306" s="6"/>
      <c r="B5306" s="421"/>
      <c r="C5306" s="114"/>
      <c r="D5306" s="758"/>
      <c r="E5306" s="85"/>
      <c r="F5306" s="59">
        <f t="shared" si="326"/>
        <v>0</v>
      </c>
    </row>
    <row r="5307" spans="1:6" ht="12.75" customHeight="1" x14ac:dyDescent="0.2">
      <c r="A5307" s="3"/>
      <c r="C5307" s="114"/>
      <c r="D5307" s="759"/>
      <c r="E5307" s="85"/>
      <c r="F5307" s="59">
        <f t="shared" si="326"/>
        <v>0</v>
      </c>
    </row>
    <row r="5308" spans="1:6" ht="12.75" customHeight="1" x14ac:dyDescent="0.2">
      <c r="A5308" s="3"/>
      <c r="C5308" s="114"/>
      <c r="D5308" s="759"/>
      <c r="E5308" s="85"/>
      <c r="F5308" s="59">
        <f t="shared" si="326"/>
        <v>0</v>
      </c>
    </row>
    <row r="5309" spans="1:6" ht="12.75" customHeight="1" x14ac:dyDescent="0.2">
      <c r="A5309" s="3"/>
      <c r="B5309" s="86" t="s">
        <v>258</v>
      </c>
      <c r="C5309" s="87"/>
      <c r="D5309" s="88"/>
      <c r="E5309" s="89"/>
      <c r="F5309" s="90">
        <f>SUM(F5293:F5308)</f>
        <v>0</v>
      </c>
    </row>
    <row r="5310" spans="1:6" ht="12.75" customHeight="1" x14ac:dyDescent="0.2">
      <c r="A5310" s="3"/>
      <c r="B5310" s="91" t="s">
        <v>70</v>
      </c>
      <c r="C5310" s="15">
        <f>$D$8</f>
        <v>0</v>
      </c>
      <c r="D5310" s="92"/>
      <c r="E5310" s="93"/>
      <c r="F5310" s="94">
        <f>ROUND(F5309*C5310,2)</f>
        <v>0</v>
      </c>
    </row>
    <row r="5311" spans="1:6" ht="12.75" customHeight="1" x14ac:dyDescent="0.2">
      <c r="A5311" s="95"/>
      <c r="B5311" s="424" t="s">
        <v>259</v>
      </c>
      <c r="C5311" s="425"/>
      <c r="D5311" s="425"/>
      <c r="E5311" s="426"/>
      <c r="F5311" s="96">
        <f>F5309+F5310</f>
        <v>0</v>
      </c>
    </row>
    <row r="5312" spans="1:6" ht="12.75" customHeight="1" x14ac:dyDescent="0.2">
      <c r="A5312" s="1" t="s">
        <v>5</v>
      </c>
      <c r="B5312" s="418" t="s">
        <v>267</v>
      </c>
      <c r="C5312" s="419" t="s">
        <v>263</v>
      </c>
      <c r="D5312" s="419" t="s">
        <v>264</v>
      </c>
      <c r="E5312" s="420" t="s">
        <v>265</v>
      </c>
      <c r="F5312" s="57" t="s">
        <v>266</v>
      </c>
    </row>
    <row r="5313" spans="1:6" ht="12.75" customHeight="1" x14ac:dyDescent="0.2">
      <c r="A5313" s="3"/>
      <c r="B5313" s="71"/>
      <c r="C5313" s="114"/>
      <c r="D5313" s="759"/>
      <c r="E5313" s="85"/>
      <c r="F5313" s="59">
        <f t="shared" ref="F5313:F5322" si="327">ROUND(C5313*E5313,2)</f>
        <v>0</v>
      </c>
    </row>
    <row r="5314" spans="1:6" ht="12.75" customHeight="1" x14ac:dyDescent="0.2">
      <c r="A5314" s="3"/>
      <c r="C5314" s="114"/>
      <c r="D5314" s="759"/>
      <c r="E5314" s="85"/>
      <c r="F5314" s="59">
        <f t="shared" si="327"/>
        <v>0</v>
      </c>
    </row>
    <row r="5315" spans="1:6" ht="12.75" customHeight="1" x14ac:dyDescent="0.2">
      <c r="A5315" s="3"/>
      <c r="C5315" s="114"/>
      <c r="D5315" s="759"/>
      <c r="E5315" s="85"/>
      <c r="F5315" s="59">
        <f t="shared" si="327"/>
        <v>0</v>
      </c>
    </row>
    <row r="5316" spans="1:6" ht="12.75" customHeight="1" x14ac:dyDescent="0.2">
      <c r="A5316" s="3"/>
      <c r="C5316" s="114"/>
      <c r="D5316" s="759"/>
      <c r="E5316" s="85"/>
      <c r="F5316" s="59">
        <f t="shared" si="327"/>
        <v>0</v>
      </c>
    </row>
    <row r="5317" spans="1:6" ht="12.75" customHeight="1" x14ac:dyDescent="0.2">
      <c r="A5317" s="3"/>
      <c r="C5317" s="114"/>
      <c r="D5317" s="759"/>
      <c r="E5317" s="85"/>
      <c r="F5317" s="59">
        <f t="shared" si="327"/>
        <v>0</v>
      </c>
    </row>
    <row r="5318" spans="1:6" ht="12.75" customHeight="1" x14ac:dyDescent="0.2">
      <c r="A5318" s="3"/>
      <c r="C5318" s="114"/>
      <c r="D5318" s="759"/>
      <c r="E5318" s="85"/>
      <c r="F5318" s="59">
        <f t="shared" si="327"/>
        <v>0</v>
      </c>
    </row>
    <row r="5319" spans="1:6" ht="12.75" customHeight="1" x14ac:dyDescent="0.2">
      <c r="A5319" s="3"/>
      <c r="C5319" s="114"/>
      <c r="D5319" s="759"/>
      <c r="E5319" s="85"/>
      <c r="F5319" s="59">
        <f t="shared" si="327"/>
        <v>0</v>
      </c>
    </row>
    <row r="5320" spans="1:6" ht="12.75" customHeight="1" x14ac:dyDescent="0.2">
      <c r="A5320" s="3"/>
      <c r="C5320" s="114"/>
      <c r="D5320" s="759"/>
      <c r="E5320" s="85"/>
      <c r="F5320" s="59">
        <f t="shared" si="327"/>
        <v>0</v>
      </c>
    </row>
    <row r="5321" spans="1:6" ht="12.75" customHeight="1" x14ac:dyDescent="0.2">
      <c r="A5321" s="3"/>
      <c r="C5321" s="114"/>
      <c r="D5321" s="759"/>
      <c r="E5321" s="85"/>
      <c r="F5321" s="59">
        <f t="shared" si="327"/>
        <v>0</v>
      </c>
    </row>
    <row r="5322" spans="1:6" ht="12.75" customHeight="1" x14ac:dyDescent="0.2">
      <c r="A5322" s="3"/>
      <c r="C5322" s="114"/>
      <c r="D5322" s="759"/>
      <c r="E5322" s="85"/>
      <c r="F5322" s="59">
        <f t="shared" si="327"/>
        <v>0</v>
      </c>
    </row>
    <row r="5323" spans="1:6" ht="12.75" customHeight="1" x14ac:dyDescent="0.2">
      <c r="A5323" s="3"/>
      <c r="B5323" s="86" t="s">
        <v>258</v>
      </c>
      <c r="C5323" s="87"/>
      <c r="D5323" s="88"/>
      <c r="E5323" s="89"/>
      <c r="F5323" s="90">
        <f>SUM(F5313:F5322)</f>
        <v>0</v>
      </c>
    </row>
    <row r="5324" spans="1:6" ht="12.75" customHeight="1" x14ac:dyDescent="0.2">
      <c r="A5324" s="3"/>
      <c r="B5324" s="91" t="s">
        <v>70</v>
      </c>
      <c r="C5324" s="15">
        <f>$D$8</f>
        <v>0</v>
      </c>
      <c r="D5324" s="92"/>
      <c r="E5324" s="93"/>
      <c r="F5324" s="94">
        <f>ROUND(C5324*F5323,2)</f>
        <v>0</v>
      </c>
    </row>
    <row r="5325" spans="1:6" ht="12.75" customHeight="1" x14ac:dyDescent="0.2">
      <c r="A5325" s="95"/>
      <c r="B5325" s="424" t="s">
        <v>260</v>
      </c>
      <c r="C5325" s="425"/>
      <c r="D5325" s="425"/>
      <c r="E5325" s="426"/>
      <c r="F5325" s="96">
        <f>F5323+F5324</f>
        <v>0</v>
      </c>
    </row>
    <row r="5326" spans="1:6" ht="12.75" customHeight="1" x14ac:dyDescent="0.2">
      <c r="A5326" s="97" t="s">
        <v>54</v>
      </c>
      <c r="B5326" s="427" t="s">
        <v>268</v>
      </c>
      <c r="C5326" s="428" t="s">
        <v>263</v>
      </c>
      <c r="D5326" s="429" t="s">
        <v>264</v>
      </c>
      <c r="E5326" s="430" t="s">
        <v>265</v>
      </c>
      <c r="F5326" s="57" t="s">
        <v>266</v>
      </c>
    </row>
    <row r="5327" spans="1:6" ht="12.75" customHeight="1" x14ac:dyDescent="0.2">
      <c r="A5327" s="3" t="str">
        <f>'A VII.'!$A$181</f>
        <v>3.1</v>
      </c>
      <c r="B5327" s="74" t="s">
        <v>174</v>
      </c>
      <c r="C5327" s="114">
        <v>0.16400000000000001</v>
      </c>
      <c r="D5327" s="759" t="str">
        <f>VLOOKUP(A5327,'A VII.'!$A$10:$D$199,3,FALSE)</f>
        <v>H</v>
      </c>
      <c r="E5327" s="85">
        <f>'A VII.'!D181</f>
        <v>0</v>
      </c>
      <c r="F5327" s="59">
        <f t="shared" ref="F5327:F5333" si="328">ROUND(C5327*E5327,2)</f>
        <v>0</v>
      </c>
    </row>
    <row r="5328" spans="1:6" ht="12.75" customHeight="1" x14ac:dyDescent="0.2">
      <c r="A5328" s="3" t="str">
        <f>'A VII.'!$A$189</f>
        <v>3.9</v>
      </c>
      <c r="B5328" s="74" t="s">
        <v>182</v>
      </c>
      <c r="C5328" s="114">
        <v>0.16400000000000001</v>
      </c>
      <c r="D5328" s="759" t="str">
        <f>VLOOKUP(A5328,'A VII.'!$A$10:$D$199,3,FALSE)</f>
        <v>H</v>
      </c>
      <c r="E5328" s="85">
        <f>'A VII.'!D189</f>
        <v>0</v>
      </c>
      <c r="F5328" s="59">
        <f t="shared" si="328"/>
        <v>0</v>
      </c>
    </row>
    <row r="5329" spans="1:6" ht="12.75" customHeight="1" x14ac:dyDescent="0.2">
      <c r="A5329" s="3"/>
      <c r="C5329" s="114"/>
      <c r="D5329" s="759"/>
      <c r="E5329" s="85"/>
      <c r="F5329" s="59">
        <f t="shared" si="328"/>
        <v>0</v>
      </c>
    </row>
    <row r="5330" spans="1:6" ht="12.75" customHeight="1" x14ac:dyDescent="0.2">
      <c r="A5330" s="3"/>
      <c r="C5330" s="114"/>
      <c r="D5330" s="759"/>
      <c r="E5330" s="85"/>
      <c r="F5330" s="59">
        <f t="shared" si="328"/>
        <v>0</v>
      </c>
    </row>
    <row r="5331" spans="1:6" ht="12.75" customHeight="1" x14ac:dyDescent="0.2">
      <c r="A5331" s="3"/>
      <c r="C5331" s="114"/>
      <c r="D5331" s="759"/>
      <c r="E5331" s="85"/>
      <c r="F5331" s="59">
        <f t="shared" si="328"/>
        <v>0</v>
      </c>
    </row>
    <row r="5332" spans="1:6" ht="12.75" customHeight="1" x14ac:dyDescent="0.2">
      <c r="A5332" s="3"/>
      <c r="C5332" s="114"/>
      <c r="D5332" s="759"/>
      <c r="E5332" s="85"/>
      <c r="F5332" s="59">
        <f t="shared" si="328"/>
        <v>0</v>
      </c>
    </row>
    <row r="5333" spans="1:6" ht="12.75" customHeight="1" x14ac:dyDescent="0.2">
      <c r="A5333" s="3"/>
      <c r="C5333" s="114"/>
      <c r="D5333" s="759"/>
      <c r="E5333" s="85"/>
      <c r="F5333" s="59">
        <f t="shared" si="328"/>
        <v>0</v>
      </c>
    </row>
    <row r="5334" spans="1:6" ht="12.75" customHeight="1" x14ac:dyDescent="0.2">
      <c r="A5334" s="3"/>
      <c r="B5334" s="86" t="s">
        <v>258</v>
      </c>
      <c r="C5334" s="87"/>
      <c r="D5334" s="88"/>
      <c r="E5334" s="89"/>
      <c r="F5334" s="90">
        <f>SUM(F5327:F5333)</f>
        <v>0</v>
      </c>
    </row>
    <row r="5335" spans="1:6" ht="12.75" customHeight="1" x14ac:dyDescent="0.2">
      <c r="A5335" s="3"/>
      <c r="B5335" s="91" t="s">
        <v>261</v>
      </c>
      <c r="C5335" s="15">
        <f>'A IX.'!$C$45</f>
        <v>0</v>
      </c>
      <c r="D5335" s="92"/>
      <c r="E5335" s="93"/>
      <c r="F5335" s="94">
        <f>ROUND(F5334*C5335,2)</f>
        <v>0</v>
      </c>
    </row>
    <row r="5336" spans="1:6" ht="12.75" customHeight="1" x14ac:dyDescent="0.2">
      <c r="A5336" s="3"/>
      <c r="B5336" s="91" t="s">
        <v>70</v>
      </c>
      <c r="C5336" s="15">
        <f>$D$8</f>
        <v>0</v>
      </c>
      <c r="D5336" s="92"/>
      <c r="E5336" s="93"/>
      <c r="F5336" s="94">
        <f>ROUND(SUM(F5334:F5335)*C5336,2)</f>
        <v>0</v>
      </c>
    </row>
    <row r="5337" spans="1:6" ht="12.75" customHeight="1" thickBot="1" x14ac:dyDescent="0.25">
      <c r="A5337" s="98"/>
      <c r="B5337" s="99" t="s">
        <v>262</v>
      </c>
      <c r="C5337" s="100"/>
      <c r="D5337" s="100"/>
      <c r="E5337" s="101"/>
      <c r="F5337" s="102">
        <f>SUM(F5334:F5336)</f>
        <v>0</v>
      </c>
    </row>
    <row r="5338" spans="1:6" ht="12.75" customHeight="1" thickBot="1" x14ac:dyDescent="0.25">
      <c r="A5338" s="81"/>
      <c r="B5338" s="82"/>
      <c r="C5338" s="83"/>
      <c r="D5338" s="83"/>
      <c r="E5338" s="84"/>
      <c r="F5338" s="103"/>
    </row>
    <row r="5339" spans="1:6" ht="30" customHeight="1" x14ac:dyDescent="0.2">
      <c r="A5339" s="5" t="str">
        <f>'A IV.A'!A160</f>
        <v>7.4</v>
      </c>
      <c r="B5339" s="416" t="str">
        <f>'A IV.A'!B160</f>
        <v>FORNECIMENTO E LANÇAMENTO DE ELETRODUTO FLEXÍVEL CORRUGADO, PEAD, DN 50 (1 1/2")</v>
      </c>
      <c r="C5339" s="526" t="s">
        <v>269</v>
      </c>
      <c r="D5339" s="527"/>
      <c r="E5339" s="417" t="str">
        <f>'A IV.A'!C160</f>
        <v>M</v>
      </c>
      <c r="F5339" s="58">
        <f>ROUND(F5359+F5373+F5385,2)</f>
        <v>0</v>
      </c>
    </row>
    <row r="5340" spans="1:6" ht="12.75" customHeight="1" x14ac:dyDescent="0.2">
      <c r="A5340" s="1" t="s">
        <v>17</v>
      </c>
      <c r="B5340" s="418" t="s">
        <v>162</v>
      </c>
      <c r="C5340" s="419" t="s">
        <v>263</v>
      </c>
      <c r="D5340" s="419" t="s">
        <v>264</v>
      </c>
      <c r="E5340" s="420" t="s">
        <v>265</v>
      </c>
      <c r="F5340" s="57" t="s">
        <v>266</v>
      </c>
    </row>
    <row r="5341" spans="1:6" ht="12.75" customHeight="1" x14ac:dyDescent="0.2">
      <c r="A5341" s="6" t="str">
        <f>'A VII.'!$A$49</f>
        <v>1.40</v>
      </c>
      <c r="B5341" s="421" t="str">
        <f>VLOOKUP(A5341,'A VII.'!$A$10:$D$199,2,FALSE)</f>
        <v>ELETRODUTO/DUTO PEAD FLEXIVEL PAREDE SIMPLES, CORRUGACAO HELICOIDAL, COR PRETA, DE 1 1/2"</v>
      </c>
      <c r="C5341" s="114">
        <v>1.1000000000000001</v>
      </c>
      <c r="D5341" s="757" t="str">
        <f>VLOOKUP(A5341,'A VII.'!$A$10:$D$199,3,FALSE)</f>
        <v>M</v>
      </c>
      <c r="E5341" s="85">
        <f>'A VII.'!D49</f>
        <v>0</v>
      </c>
      <c r="F5341" s="59">
        <f>ROUND(C5341*E5341,2)</f>
        <v>0</v>
      </c>
    </row>
    <row r="5342" spans="1:6" ht="12.75" customHeight="1" x14ac:dyDescent="0.2">
      <c r="A5342" s="6"/>
      <c r="B5342" s="421"/>
      <c r="C5342" s="114"/>
      <c r="D5342" s="757"/>
      <c r="E5342" s="85"/>
      <c r="F5342" s="59">
        <f t="shared" ref="F5342:F5356" si="329">ROUND(C5342*E5342,2)</f>
        <v>0</v>
      </c>
    </row>
    <row r="5343" spans="1:6" ht="12.75" customHeight="1" x14ac:dyDescent="0.2">
      <c r="A5343" s="6"/>
      <c r="B5343" s="421"/>
      <c r="C5343" s="114"/>
      <c r="D5343" s="757"/>
      <c r="E5343" s="85"/>
      <c r="F5343" s="59">
        <f t="shared" si="329"/>
        <v>0</v>
      </c>
    </row>
    <row r="5344" spans="1:6" ht="12.75" customHeight="1" x14ac:dyDescent="0.2">
      <c r="A5344" s="6"/>
      <c r="B5344" s="421"/>
      <c r="C5344" s="114"/>
      <c r="D5344" s="757"/>
      <c r="E5344" s="85"/>
      <c r="F5344" s="59">
        <f t="shared" si="329"/>
        <v>0</v>
      </c>
    </row>
    <row r="5345" spans="1:6" ht="12.75" customHeight="1" x14ac:dyDescent="0.2">
      <c r="A5345" s="6"/>
      <c r="B5345" s="421"/>
      <c r="C5345" s="114"/>
      <c r="D5345" s="757"/>
      <c r="E5345" s="85"/>
      <c r="F5345" s="59">
        <f t="shared" si="329"/>
        <v>0</v>
      </c>
    </row>
    <row r="5346" spans="1:6" ht="12.75" customHeight="1" x14ac:dyDescent="0.2">
      <c r="A5346" s="6"/>
      <c r="B5346" s="421"/>
      <c r="C5346" s="114"/>
      <c r="D5346" s="757"/>
      <c r="E5346" s="85"/>
      <c r="F5346" s="59">
        <f t="shared" si="329"/>
        <v>0</v>
      </c>
    </row>
    <row r="5347" spans="1:6" ht="12.75" customHeight="1" x14ac:dyDescent="0.2">
      <c r="A5347" s="6"/>
      <c r="B5347" s="421"/>
      <c r="C5347" s="114"/>
      <c r="D5347" s="757"/>
      <c r="E5347" s="85"/>
      <c r="F5347" s="59">
        <f t="shared" si="329"/>
        <v>0</v>
      </c>
    </row>
    <row r="5348" spans="1:6" ht="12.75" customHeight="1" x14ac:dyDescent="0.2">
      <c r="A5348" s="6"/>
      <c r="B5348" s="421"/>
      <c r="C5348" s="114"/>
      <c r="D5348" s="757"/>
      <c r="E5348" s="85"/>
      <c r="F5348" s="59">
        <f t="shared" si="329"/>
        <v>0</v>
      </c>
    </row>
    <row r="5349" spans="1:6" ht="12.75" customHeight="1" x14ac:dyDescent="0.2">
      <c r="A5349" s="6"/>
      <c r="B5349" s="421" t="str">
        <f>LOWER(B5344)</f>
        <v/>
      </c>
      <c r="C5349" s="114"/>
      <c r="D5349" s="757"/>
      <c r="E5349" s="85"/>
      <c r="F5349" s="59">
        <f t="shared" si="329"/>
        <v>0</v>
      </c>
    </row>
    <row r="5350" spans="1:6" ht="12.75" customHeight="1" x14ac:dyDescent="0.2">
      <c r="A5350" s="6"/>
      <c r="B5350" s="421"/>
      <c r="C5350" s="114"/>
      <c r="D5350" s="757"/>
      <c r="E5350" s="85"/>
      <c r="F5350" s="59">
        <f t="shared" si="329"/>
        <v>0</v>
      </c>
    </row>
    <row r="5351" spans="1:6" ht="12.75" customHeight="1" x14ac:dyDescent="0.2">
      <c r="A5351" s="6"/>
      <c r="B5351" s="421"/>
      <c r="C5351" s="114"/>
      <c r="D5351" s="757"/>
      <c r="E5351" s="85"/>
      <c r="F5351" s="59">
        <f t="shared" si="329"/>
        <v>0</v>
      </c>
    </row>
    <row r="5352" spans="1:6" ht="12.75" customHeight="1" x14ac:dyDescent="0.2">
      <c r="A5352" s="6"/>
      <c r="B5352" s="421"/>
      <c r="C5352" s="114"/>
      <c r="D5352" s="758"/>
      <c r="E5352" s="85"/>
      <c r="F5352" s="59">
        <f t="shared" si="329"/>
        <v>0</v>
      </c>
    </row>
    <row r="5353" spans="1:6" ht="12.75" customHeight="1" x14ac:dyDescent="0.2">
      <c r="A5353" s="6"/>
      <c r="B5353" s="421"/>
      <c r="C5353" s="114"/>
      <c r="D5353" s="758"/>
      <c r="E5353" s="85"/>
      <c r="F5353" s="59">
        <f t="shared" si="329"/>
        <v>0</v>
      </c>
    </row>
    <row r="5354" spans="1:6" ht="12.75" customHeight="1" x14ac:dyDescent="0.2">
      <c r="A5354" s="6"/>
      <c r="B5354" s="421"/>
      <c r="C5354" s="114"/>
      <c r="D5354" s="758"/>
      <c r="E5354" s="85"/>
      <c r="F5354" s="59">
        <f t="shared" si="329"/>
        <v>0</v>
      </c>
    </row>
    <row r="5355" spans="1:6" ht="12.75" customHeight="1" x14ac:dyDescent="0.2">
      <c r="A5355" s="3"/>
      <c r="C5355" s="114"/>
      <c r="D5355" s="759"/>
      <c r="E5355" s="85"/>
      <c r="F5355" s="59">
        <f t="shared" si="329"/>
        <v>0</v>
      </c>
    </row>
    <row r="5356" spans="1:6" ht="12.75" customHeight="1" x14ac:dyDescent="0.2">
      <c r="A5356" s="3"/>
      <c r="C5356" s="114"/>
      <c r="D5356" s="759"/>
      <c r="E5356" s="85"/>
      <c r="F5356" s="59">
        <f t="shared" si="329"/>
        <v>0</v>
      </c>
    </row>
    <row r="5357" spans="1:6" ht="12.75" customHeight="1" x14ac:dyDescent="0.2">
      <c r="A5357" s="3"/>
      <c r="B5357" s="86" t="s">
        <v>258</v>
      </c>
      <c r="C5357" s="87"/>
      <c r="D5357" s="88"/>
      <c r="E5357" s="89"/>
      <c r="F5357" s="90">
        <f>SUM(F5341:F5356)</f>
        <v>0</v>
      </c>
    </row>
    <row r="5358" spans="1:6" ht="12.75" customHeight="1" x14ac:dyDescent="0.2">
      <c r="A5358" s="3"/>
      <c r="B5358" s="91" t="s">
        <v>70</v>
      </c>
      <c r="C5358" s="15">
        <f>$D$8</f>
        <v>0</v>
      </c>
      <c r="D5358" s="92"/>
      <c r="E5358" s="93"/>
      <c r="F5358" s="94">
        <f>ROUND(F5357*C5358,2)</f>
        <v>0</v>
      </c>
    </row>
    <row r="5359" spans="1:6" ht="12.75" customHeight="1" x14ac:dyDescent="0.2">
      <c r="A5359" s="95"/>
      <c r="B5359" s="424" t="s">
        <v>259</v>
      </c>
      <c r="C5359" s="425"/>
      <c r="D5359" s="425"/>
      <c r="E5359" s="426"/>
      <c r="F5359" s="96">
        <f>F5357+F5358</f>
        <v>0</v>
      </c>
    </row>
    <row r="5360" spans="1:6" ht="12.75" customHeight="1" x14ac:dyDescent="0.2">
      <c r="A5360" s="1" t="s">
        <v>5</v>
      </c>
      <c r="B5360" s="418" t="s">
        <v>267</v>
      </c>
      <c r="C5360" s="419" t="s">
        <v>263</v>
      </c>
      <c r="D5360" s="419" t="s">
        <v>264</v>
      </c>
      <c r="E5360" s="420" t="s">
        <v>265</v>
      </c>
      <c r="F5360" s="57" t="s">
        <v>266</v>
      </c>
    </row>
    <row r="5361" spans="1:6" ht="12.75" customHeight="1" x14ac:dyDescent="0.2">
      <c r="A5361" s="3"/>
      <c r="B5361" s="71"/>
      <c r="C5361" s="114"/>
      <c r="D5361" s="759"/>
      <c r="E5361" s="85"/>
      <c r="F5361" s="59">
        <f t="shared" ref="F5361:F5370" si="330">ROUND(C5361*E5361,2)</f>
        <v>0</v>
      </c>
    </row>
    <row r="5362" spans="1:6" ht="12.75" customHeight="1" x14ac:dyDescent="0.2">
      <c r="A5362" s="3"/>
      <c r="C5362" s="114"/>
      <c r="D5362" s="759"/>
      <c r="E5362" s="85"/>
      <c r="F5362" s="59">
        <f t="shared" si="330"/>
        <v>0</v>
      </c>
    </row>
    <row r="5363" spans="1:6" ht="12.75" customHeight="1" x14ac:dyDescent="0.2">
      <c r="A5363" s="3"/>
      <c r="C5363" s="114"/>
      <c r="D5363" s="759"/>
      <c r="E5363" s="85"/>
      <c r="F5363" s="59">
        <f t="shared" si="330"/>
        <v>0</v>
      </c>
    </row>
    <row r="5364" spans="1:6" ht="12.75" customHeight="1" x14ac:dyDescent="0.2">
      <c r="A5364" s="3"/>
      <c r="C5364" s="114"/>
      <c r="D5364" s="759"/>
      <c r="E5364" s="85"/>
      <c r="F5364" s="59">
        <f t="shared" si="330"/>
        <v>0</v>
      </c>
    </row>
    <row r="5365" spans="1:6" ht="12.75" customHeight="1" x14ac:dyDescent="0.2">
      <c r="A5365" s="3"/>
      <c r="C5365" s="114"/>
      <c r="D5365" s="759"/>
      <c r="E5365" s="85"/>
      <c r="F5365" s="59">
        <f t="shared" si="330"/>
        <v>0</v>
      </c>
    </row>
    <row r="5366" spans="1:6" ht="12.75" customHeight="1" x14ac:dyDescent="0.2">
      <c r="A5366" s="3"/>
      <c r="C5366" s="114"/>
      <c r="D5366" s="759"/>
      <c r="E5366" s="85"/>
      <c r="F5366" s="59">
        <f t="shared" si="330"/>
        <v>0</v>
      </c>
    </row>
    <row r="5367" spans="1:6" ht="12.75" customHeight="1" x14ac:dyDescent="0.2">
      <c r="A5367" s="3"/>
      <c r="C5367" s="114"/>
      <c r="D5367" s="759"/>
      <c r="E5367" s="85"/>
      <c r="F5367" s="59">
        <f t="shared" si="330"/>
        <v>0</v>
      </c>
    </row>
    <row r="5368" spans="1:6" ht="12.75" customHeight="1" x14ac:dyDescent="0.2">
      <c r="A5368" s="3"/>
      <c r="C5368" s="114"/>
      <c r="D5368" s="759"/>
      <c r="E5368" s="85"/>
      <c r="F5368" s="59">
        <f t="shared" si="330"/>
        <v>0</v>
      </c>
    </row>
    <row r="5369" spans="1:6" ht="12.75" customHeight="1" x14ac:dyDescent="0.2">
      <c r="A5369" s="3"/>
      <c r="C5369" s="114"/>
      <c r="D5369" s="759"/>
      <c r="E5369" s="85"/>
      <c r="F5369" s="59">
        <f t="shared" si="330"/>
        <v>0</v>
      </c>
    </row>
    <row r="5370" spans="1:6" ht="12.75" customHeight="1" x14ac:dyDescent="0.2">
      <c r="A5370" s="3"/>
      <c r="C5370" s="114"/>
      <c r="D5370" s="759"/>
      <c r="E5370" s="85"/>
      <c r="F5370" s="59">
        <f t="shared" si="330"/>
        <v>0</v>
      </c>
    </row>
    <row r="5371" spans="1:6" ht="12.75" customHeight="1" x14ac:dyDescent="0.2">
      <c r="A5371" s="3"/>
      <c r="B5371" s="86" t="s">
        <v>258</v>
      </c>
      <c r="C5371" s="87"/>
      <c r="D5371" s="88"/>
      <c r="E5371" s="89"/>
      <c r="F5371" s="90">
        <f>SUM(F5361:F5370)</f>
        <v>0</v>
      </c>
    </row>
    <row r="5372" spans="1:6" ht="12.75" customHeight="1" x14ac:dyDescent="0.2">
      <c r="A5372" s="3"/>
      <c r="B5372" s="91" t="s">
        <v>70</v>
      </c>
      <c r="C5372" s="15">
        <f>$D$8</f>
        <v>0</v>
      </c>
      <c r="D5372" s="92"/>
      <c r="E5372" s="93"/>
      <c r="F5372" s="94">
        <f>ROUND(C5372*F5371,2)</f>
        <v>0</v>
      </c>
    </row>
    <row r="5373" spans="1:6" ht="12.75" customHeight="1" x14ac:dyDescent="0.2">
      <c r="A5373" s="95"/>
      <c r="B5373" s="424" t="s">
        <v>260</v>
      </c>
      <c r="C5373" s="425"/>
      <c r="D5373" s="425"/>
      <c r="E5373" s="426"/>
      <c r="F5373" s="96">
        <f>F5371+F5372</f>
        <v>0</v>
      </c>
    </row>
    <row r="5374" spans="1:6" ht="12.75" customHeight="1" x14ac:dyDescent="0.2">
      <c r="A5374" s="97" t="s">
        <v>54</v>
      </c>
      <c r="B5374" s="427" t="s">
        <v>268</v>
      </c>
      <c r="C5374" s="428" t="s">
        <v>263</v>
      </c>
      <c r="D5374" s="429" t="s">
        <v>264</v>
      </c>
      <c r="E5374" s="430" t="s">
        <v>265</v>
      </c>
      <c r="F5374" s="57" t="s">
        <v>266</v>
      </c>
    </row>
    <row r="5375" spans="1:6" ht="12.75" customHeight="1" x14ac:dyDescent="0.2">
      <c r="A5375" s="3" t="str">
        <f>'A VII.'!$A$181</f>
        <v>3.1</v>
      </c>
      <c r="B5375" s="74" t="s">
        <v>174</v>
      </c>
      <c r="C5375" s="114">
        <v>6.7199999999999996E-2</v>
      </c>
      <c r="D5375" s="759" t="str">
        <f>VLOOKUP(A5375,'A VII.'!$A$10:$D$199,3,FALSE)</f>
        <v>H</v>
      </c>
      <c r="E5375" s="85">
        <f>'A VII.'!D181</f>
        <v>0</v>
      </c>
      <c r="F5375" s="59">
        <f t="shared" ref="F5375:F5381" si="331">ROUND(C5375*E5375,2)</f>
        <v>0</v>
      </c>
    </row>
    <row r="5376" spans="1:6" ht="12.75" customHeight="1" x14ac:dyDescent="0.2">
      <c r="A5376" s="3" t="str">
        <f>'A VII.'!$A$189</f>
        <v>3.9</v>
      </c>
      <c r="B5376" s="74" t="s">
        <v>182</v>
      </c>
      <c r="C5376" s="114">
        <v>6.7199999999999996E-2</v>
      </c>
      <c r="D5376" s="759" t="str">
        <f>VLOOKUP(A5376,'A VII.'!$A$10:$D$199,3,FALSE)</f>
        <v>H</v>
      </c>
      <c r="E5376" s="85">
        <f>'A VII.'!D189</f>
        <v>0</v>
      </c>
      <c r="F5376" s="59">
        <f t="shared" si="331"/>
        <v>0</v>
      </c>
    </row>
    <row r="5377" spans="1:6" ht="12.75" customHeight="1" x14ac:dyDescent="0.2">
      <c r="A5377" s="3"/>
      <c r="C5377" s="114"/>
      <c r="D5377" s="759"/>
      <c r="E5377" s="85"/>
      <c r="F5377" s="59">
        <f t="shared" si="331"/>
        <v>0</v>
      </c>
    </row>
    <row r="5378" spans="1:6" ht="12.75" customHeight="1" x14ac:dyDescent="0.2">
      <c r="A5378" s="3"/>
      <c r="C5378" s="114"/>
      <c r="D5378" s="759"/>
      <c r="E5378" s="85"/>
      <c r="F5378" s="59">
        <f t="shared" si="331"/>
        <v>0</v>
      </c>
    </row>
    <row r="5379" spans="1:6" ht="12.75" customHeight="1" x14ac:dyDescent="0.2">
      <c r="A5379" s="3"/>
      <c r="C5379" s="114"/>
      <c r="D5379" s="759"/>
      <c r="E5379" s="85"/>
      <c r="F5379" s="59">
        <f t="shared" si="331"/>
        <v>0</v>
      </c>
    </row>
    <row r="5380" spans="1:6" ht="12.75" customHeight="1" x14ac:dyDescent="0.2">
      <c r="A5380" s="3"/>
      <c r="C5380" s="114"/>
      <c r="D5380" s="759"/>
      <c r="E5380" s="85"/>
      <c r="F5380" s="59">
        <f t="shared" si="331"/>
        <v>0</v>
      </c>
    </row>
    <row r="5381" spans="1:6" ht="12.75" customHeight="1" x14ac:dyDescent="0.2">
      <c r="A5381" s="3"/>
      <c r="C5381" s="114"/>
      <c r="D5381" s="759"/>
      <c r="E5381" s="85"/>
      <c r="F5381" s="59">
        <f t="shared" si="331"/>
        <v>0</v>
      </c>
    </row>
    <row r="5382" spans="1:6" ht="12.75" customHeight="1" x14ac:dyDescent="0.2">
      <c r="A5382" s="3"/>
      <c r="B5382" s="86" t="s">
        <v>258</v>
      </c>
      <c r="C5382" s="87"/>
      <c r="D5382" s="88"/>
      <c r="E5382" s="89"/>
      <c r="F5382" s="90">
        <f>SUM(F5375:F5381)</f>
        <v>0</v>
      </c>
    </row>
    <row r="5383" spans="1:6" ht="12.75" customHeight="1" x14ac:dyDescent="0.2">
      <c r="A5383" s="3"/>
      <c r="B5383" s="91" t="s">
        <v>261</v>
      </c>
      <c r="C5383" s="15">
        <f>'A IX.'!$C$45</f>
        <v>0</v>
      </c>
      <c r="D5383" s="92"/>
      <c r="E5383" s="93"/>
      <c r="F5383" s="94">
        <f>ROUND(F5382*C5383,2)</f>
        <v>0</v>
      </c>
    </row>
    <row r="5384" spans="1:6" ht="12.75" customHeight="1" x14ac:dyDescent="0.2">
      <c r="A5384" s="3"/>
      <c r="B5384" s="91" t="s">
        <v>70</v>
      </c>
      <c r="C5384" s="15">
        <f>$D$8</f>
        <v>0</v>
      </c>
      <c r="D5384" s="92"/>
      <c r="E5384" s="93"/>
      <c r="F5384" s="94">
        <f>ROUND(SUM(F5382:F5383)*C5384,2)</f>
        <v>0</v>
      </c>
    </row>
    <row r="5385" spans="1:6" ht="12.75" customHeight="1" thickBot="1" x14ac:dyDescent="0.25">
      <c r="A5385" s="98"/>
      <c r="B5385" s="99" t="s">
        <v>262</v>
      </c>
      <c r="C5385" s="100"/>
      <c r="D5385" s="100"/>
      <c r="E5385" s="101"/>
      <c r="F5385" s="102">
        <f>SUM(F5382:F5384)</f>
        <v>0</v>
      </c>
    </row>
    <row r="5386" spans="1:6" ht="12.75" customHeight="1" thickBot="1" x14ac:dyDescent="0.25">
      <c r="A5386" s="81"/>
      <c r="B5386" s="82"/>
      <c r="C5386" s="83"/>
      <c r="D5386" s="83"/>
      <c r="E5386" s="84"/>
      <c r="F5386" s="103"/>
    </row>
    <row r="5387" spans="1:6" ht="30" customHeight="1" x14ac:dyDescent="0.2">
      <c r="A5387" s="5" t="str">
        <f>'A IV.A'!A161</f>
        <v>7.5</v>
      </c>
      <c r="B5387" s="416" t="str">
        <f>'A IV.A'!B161</f>
        <v>FORNECIMENTO E LANÇAMENTO DE ELETRODUTO FLEXÍVEL CORRUGADO, PEAD, DN 63 (2")</v>
      </c>
      <c r="C5387" s="526" t="s">
        <v>269</v>
      </c>
      <c r="D5387" s="527"/>
      <c r="E5387" s="417" t="str">
        <f>'A IV.A'!C161</f>
        <v>M</v>
      </c>
      <c r="F5387" s="58">
        <f>ROUND(F5407+F5421+F5433,2)</f>
        <v>0</v>
      </c>
    </row>
    <row r="5388" spans="1:6" ht="12.75" customHeight="1" x14ac:dyDescent="0.2">
      <c r="A5388" s="1" t="s">
        <v>17</v>
      </c>
      <c r="B5388" s="418" t="s">
        <v>162</v>
      </c>
      <c r="C5388" s="419" t="s">
        <v>263</v>
      </c>
      <c r="D5388" s="419" t="s">
        <v>264</v>
      </c>
      <c r="E5388" s="420" t="s">
        <v>265</v>
      </c>
      <c r="F5388" s="57" t="s">
        <v>266</v>
      </c>
    </row>
    <row r="5389" spans="1:6" ht="12.75" customHeight="1" x14ac:dyDescent="0.2">
      <c r="A5389" s="6" t="str">
        <f>'A VII.'!$A$50</f>
        <v>1.41</v>
      </c>
      <c r="B5389" s="421" t="str">
        <f>'A VII.'!B50</f>
        <v>ELETRODUTO/DUTO PEAD FLEXIVEL PAREDE SIMPLES, CORRUGACAO HELICOIDAL, COR PRETA, DE 2"</v>
      </c>
      <c r="C5389" s="114">
        <v>1.1000000000000001</v>
      </c>
      <c r="D5389" s="757" t="str">
        <f>'A VII.'!C50</f>
        <v>M</v>
      </c>
      <c r="E5389" s="85">
        <f>'A VII.'!D50</f>
        <v>0</v>
      </c>
      <c r="F5389" s="59">
        <f>ROUND(C5389*E5389,2)</f>
        <v>0</v>
      </c>
    </row>
    <row r="5390" spans="1:6" ht="12.75" customHeight="1" x14ac:dyDescent="0.2">
      <c r="A5390" s="6"/>
      <c r="B5390" s="421"/>
      <c r="C5390" s="114"/>
      <c r="D5390" s="757"/>
      <c r="E5390" s="85"/>
      <c r="F5390" s="59">
        <f t="shared" ref="F5390:F5404" si="332">ROUND(C5390*E5390,2)</f>
        <v>0</v>
      </c>
    </row>
    <row r="5391" spans="1:6" ht="12.75" customHeight="1" x14ac:dyDescent="0.2">
      <c r="A5391" s="6"/>
      <c r="B5391" s="421"/>
      <c r="C5391" s="114"/>
      <c r="D5391" s="757"/>
      <c r="E5391" s="85"/>
      <c r="F5391" s="59">
        <f t="shared" si="332"/>
        <v>0</v>
      </c>
    </row>
    <row r="5392" spans="1:6" ht="12.75" customHeight="1" x14ac:dyDescent="0.2">
      <c r="A5392" s="6"/>
      <c r="B5392" s="421"/>
      <c r="C5392" s="114"/>
      <c r="D5392" s="757"/>
      <c r="E5392" s="85"/>
      <c r="F5392" s="59">
        <f t="shared" si="332"/>
        <v>0</v>
      </c>
    </row>
    <row r="5393" spans="1:6" ht="12.75" customHeight="1" x14ac:dyDescent="0.2">
      <c r="A5393" s="6"/>
      <c r="B5393" s="421"/>
      <c r="C5393" s="114"/>
      <c r="D5393" s="757"/>
      <c r="E5393" s="85"/>
      <c r="F5393" s="59">
        <f t="shared" si="332"/>
        <v>0</v>
      </c>
    </row>
    <row r="5394" spans="1:6" ht="12.75" customHeight="1" x14ac:dyDescent="0.2">
      <c r="A5394" s="6"/>
      <c r="B5394" s="421"/>
      <c r="C5394" s="114"/>
      <c r="D5394" s="757"/>
      <c r="E5394" s="85"/>
      <c r="F5394" s="59">
        <f t="shared" si="332"/>
        <v>0</v>
      </c>
    </row>
    <row r="5395" spans="1:6" ht="12.75" customHeight="1" x14ac:dyDescent="0.2">
      <c r="A5395" s="6"/>
      <c r="B5395" s="421"/>
      <c r="C5395" s="114"/>
      <c r="D5395" s="757"/>
      <c r="E5395" s="85"/>
      <c r="F5395" s="59">
        <f t="shared" si="332"/>
        <v>0</v>
      </c>
    </row>
    <row r="5396" spans="1:6" ht="12.75" customHeight="1" x14ac:dyDescent="0.2">
      <c r="A5396" s="6"/>
      <c r="B5396" s="421"/>
      <c r="C5396" s="114"/>
      <c r="D5396" s="757"/>
      <c r="E5396" s="85"/>
      <c r="F5396" s="59">
        <f t="shared" si="332"/>
        <v>0</v>
      </c>
    </row>
    <row r="5397" spans="1:6" ht="12.75" customHeight="1" x14ac:dyDescent="0.2">
      <c r="A5397" s="6"/>
      <c r="B5397" s="421" t="str">
        <f>LOWER(B5392)</f>
        <v/>
      </c>
      <c r="C5397" s="114"/>
      <c r="D5397" s="757"/>
      <c r="E5397" s="85"/>
      <c r="F5397" s="59">
        <f t="shared" si="332"/>
        <v>0</v>
      </c>
    </row>
    <row r="5398" spans="1:6" ht="12.75" customHeight="1" x14ac:dyDescent="0.2">
      <c r="A5398" s="6"/>
      <c r="B5398" s="421"/>
      <c r="C5398" s="114"/>
      <c r="D5398" s="757"/>
      <c r="E5398" s="85"/>
      <c r="F5398" s="59">
        <f t="shared" si="332"/>
        <v>0</v>
      </c>
    </row>
    <row r="5399" spans="1:6" ht="12.75" customHeight="1" x14ac:dyDescent="0.2">
      <c r="A5399" s="6"/>
      <c r="B5399" s="421"/>
      <c r="C5399" s="114"/>
      <c r="D5399" s="757"/>
      <c r="E5399" s="85"/>
      <c r="F5399" s="59">
        <f t="shared" si="332"/>
        <v>0</v>
      </c>
    </row>
    <row r="5400" spans="1:6" ht="12.75" customHeight="1" x14ac:dyDescent="0.2">
      <c r="A5400" s="6"/>
      <c r="B5400" s="421"/>
      <c r="C5400" s="114"/>
      <c r="D5400" s="758"/>
      <c r="E5400" s="85"/>
      <c r="F5400" s="59">
        <f t="shared" si="332"/>
        <v>0</v>
      </c>
    </row>
    <row r="5401" spans="1:6" ht="12.75" customHeight="1" x14ac:dyDescent="0.2">
      <c r="A5401" s="6"/>
      <c r="B5401" s="421"/>
      <c r="C5401" s="114"/>
      <c r="D5401" s="758"/>
      <c r="E5401" s="85"/>
      <c r="F5401" s="59">
        <f t="shared" si="332"/>
        <v>0</v>
      </c>
    </row>
    <row r="5402" spans="1:6" ht="12.75" customHeight="1" x14ac:dyDescent="0.2">
      <c r="A5402" s="6"/>
      <c r="B5402" s="421"/>
      <c r="C5402" s="114"/>
      <c r="D5402" s="758"/>
      <c r="E5402" s="85"/>
      <c r="F5402" s="59">
        <f t="shared" si="332"/>
        <v>0</v>
      </c>
    </row>
    <row r="5403" spans="1:6" ht="12.75" customHeight="1" x14ac:dyDescent="0.2">
      <c r="A5403" s="3"/>
      <c r="C5403" s="114"/>
      <c r="D5403" s="759"/>
      <c r="E5403" s="85"/>
      <c r="F5403" s="59">
        <f t="shared" si="332"/>
        <v>0</v>
      </c>
    </row>
    <row r="5404" spans="1:6" ht="12.75" customHeight="1" x14ac:dyDescent="0.2">
      <c r="A5404" s="3"/>
      <c r="C5404" s="114"/>
      <c r="D5404" s="759"/>
      <c r="E5404" s="85"/>
      <c r="F5404" s="59">
        <f t="shared" si="332"/>
        <v>0</v>
      </c>
    </row>
    <row r="5405" spans="1:6" ht="12.75" customHeight="1" x14ac:dyDescent="0.2">
      <c r="A5405" s="3"/>
      <c r="B5405" s="86" t="s">
        <v>258</v>
      </c>
      <c r="C5405" s="87"/>
      <c r="D5405" s="88"/>
      <c r="E5405" s="89"/>
      <c r="F5405" s="90">
        <f>SUM(F5389:F5404)</f>
        <v>0</v>
      </c>
    </row>
    <row r="5406" spans="1:6" ht="12.75" customHeight="1" x14ac:dyDescent="0.2">
      <c r="A5406" s="3"/>
      <c r="B5406" s="91" t="s">
        <v>70</v>
      </c>
      <c r="C5406" s="15">
        <f>$D$8</f>
        <v>0</v>
      </c>
      <c r="D5406" s="92"/>
      <c r="E5406" s="93"/>
      <c r="F5406" s="94">
        <f>ROUND(F5405*C5406,2)</f>
        <v>0</v>
      </c>
    </row>
    <row r="5407" spans="1:6" ht="12.75" customHeight="1" x14ac:dyDescent="0.2">
      <c r="A5407" s="95"/>
      <c r="B5407" s="424" t="s">
        <v>259</v>
      </c>
      <c r="C5407" s="425"/>
      <c r="D5407" s="425"/>
      <c r="E5407" s="426"/>
      <c r="F5407" s="96">
        <f>F5405+F5406</f>
        <v>0</v>
      </c>
    </row>
    <row r="5408" spans="1:6" ht="12.75" customHeight="1" x14ac:dyDescent="0.2">
      <c r="A5408" s="1" t="s">
        <v>5</v>
      </c>
      <c r="B5408" s="418" t="s">
        <v>267</v>
      </c>
      <c r="C5408" s="419" t="s">
        <v>263</v>
      </c>
      <c r="D5408" s="419" t="s">
        <v>264</v>
      </c>
      <c r="E5408" s="420" t="s">
        <v>265</v>
      </c>
      <c r="F5408" s="57" t="s">
        <v>266</v>
      </c>
    </row>
    <row r="5409" spans="1:6" ht="12.75" customHeight="1" x14ac:dyDescent="0.2">
      <c r="A5409" s="3"/>
      <c r="B5409" s="71"/>
      <c r="C5409" s="114"/>
      <c r="D5409" s="759"/>
      <c r="E5409" s="85"/>
      <c r="F5409" s="59">
        <f t="shared" ref="F5409:F5418" si="333">ROUND(C5409*E5409,2)</f>
        <v>0</v>
      </c>
    </row>
    <row r="5410" spans="1:6" ht="12.75" customHeight="1" x14ac:dyDescent="0.2">
      <c r="A5410" s="3"/>
      <c r="C5410" s="114"/>
      <c r="D5410" s="759"/>
      <c r="E5410" s="85"/>
      <c r="F5410" s="59">
        <f t="shared" si="333"/>
        <v>0</v>
      </c>
    </row>
    <row r="5411" spans="1:6" ht="12.75" customHeight="1" x14ac:dyDescent="0.2">
      <c r="A5411" s="3"/>
      <c r="C5411" s="114"/>
      <c r="D5411" s="759"/>
      <c r="E5411" s="85"/>
      <c r="F5411" s="59">
        <f t="shared" si="333"/>
        <v>0</v>
      </c>
    </row>
    <row r="5412" spans="1:6" ht="12.75" customHeight="1" x14ac:dyDescent="0.2">
      <c r="A5412" s="3"/>
      <c r="C5412" s="114"/>
      <c r="D5412" s="759"/>
      <c r="E5412" s="85"/>
      <c r="F5412" s="59">
        <f t="shared" si="333"/>
        <v>0</v>
      </c>
    </row>
    <row r="5413" spans="1:6" ht="12.75" customHeight="1" x14ac:dyDescent="0.2">
      <c r="A5413" s="3"/>
      <c r="C5413" s="114"/>
      <c r="D5413" s="759"/>
      <c r="E5413" s="85"/>
      <c r="F5413" s="59">
        <f t="shared" si="333"/>
        <v>0</v>
      </c>
    </row>
    <row r="5414" spans="1:6" ht="12.75" customHeight="1" x14ac:dyDescent="0.2">
      <c r="A5414" s="3"/>
      <c r="C5414" s="114"/>
      <c r="D5414" s="759"/>
      <c r="E5414" s="85"/>
      <c r="F5414" s="59">
        <f t="shared" si="333"/>
        <v>0</v>
      </c>
    </row>
    <row r="5415" spans="1:6" ht="12.75" customHeight="1" x14ac:dyDescent="0.2">
      <c r="A5415" s="3"/>
      <c r="C5415" s="114"/>
      <c r="D5415" s="759"/>
      <c r="E5415" s="85"/>
      <c r="F5415" s="59">
        <f t="shared" si="333"/>
        <v>0</v>
      </c>
    </row>
    <row r="5416" spans="1:6" ht="12.75" customHeight="1" x14ac:dyDescent="0.2">
      <c r="A5416" s="3"/>
      <c r="C5416" s="114"/>
      <c r="D5416" s="759"/>
      <c r="E5416" s="85"/>
      <c r="F5416" s="59">
        <f t="shared" si="333"/>
        <v>0</v>
      </c>
    </row>
    <row r="5417" spans="1:6" ht="12.75" customHeight="1" x14ac:dyDescent="0.2">
      <c r="A5417" s="3"/>
      <c r="C5417" s="114"/>
      <c r="D5417" s="759"/>
      <c r="E5417" s="85"/>
      <c r="F5417" s="59">
        <f t="shared" si="333"/>
        <v>0</v>
      </c>
    </row>
    <row r="5418" spans="1:6" ht="12.75" customHeight="1" x14ac:dyDescent="0.2">
      <c r="A5418" s="3"/>
      <c r="C5418" s="114"/>
      <c r="D5418" s="759"/>
      <c r="E5418" s="85"/>
      <c r="F5418" s="59">
        <f t="shared" si="333"/>
        <v>0</v>
      </c>
    </row>
    <row r="5419" spans="1:6" ht="12.75" customHeight="1" x14ac:dyDescent="0.2">
      <c r="A5419" s="3"/>
      <c r="B5419" s="86" t="s">
        <v>258</v>
      </c>
      <c r="C5419" s="87"/>
      <c r="D5419" s="88"/>
      <c r="E5419" s="89"/>
      <c r="F5419" s="90">
        <f>SUM(F5409:F5418)</f>
        <v>0</v>
      </c>
    </row>
    <row r="5420" spans="1:6" ht="12.75" customHeight="1" x14ac:dyDescent="0.2">
      <c r="A5420" s="3"/>
      <c r="B5420" s="91" t="s">
        <v>70</v>
      </c>
      <c r="C5420" s="15">
        <f>$D$8</f>
        <v>0</v>
      </c>
      <c r="D5420" s="92"/>
      <c r="E5420" s="93"/>
      <c r="F5420" s="94">
        <f>ROUND(C5420*F5419,2)</f>
        <v>0</v>
      </c>
    </row>
    <row r="5421" spans="1:6" ht="12.75" customHeight="1" x14ac:dyDescent="0.2">
      <c r="A5421" s="95"/>
      <c r="B5421" s="424" t="s">
        <v>260</v>
      </c>
      <c r="C5421" s="425"/>
      <c r="D5421" s="425"/>
      <c r="E5421" s="426"/>
      <c r="F5421" s="96">
        <f>F5419+F5420</f>
        <v>0</v>
      </c>
    </row>
    <row r="5422" spans="1:6" ht="12.75" customHeight="1" x14ac:dyDescent="0.2">
      <c r="A5422" s="97" t="s">
        <v>54</v>
      </c>
      <c r="B5422" s="427" t="s">
        <v>268</v>
      </c>
      <c r="C5422" s="428" t="s">
        <v>263</v>
      </c>
      <c r="D5422" s="429" t="s">
        <v>264</v>
      </c>
      <c r="E5422" s="430" t="s">
        <v>265</v>
      </c>
      <c r="F5422" s="57" t="s">
        <v>266</v>
      </c>
    </row>
    <row r="5423" spans="1:6" ht="12.75" customHeight="1" x14ac:dyDescent="0.2">
      <c r="A5423" s="3" t="str">
        <f>'A VII.'!$A$181</f>
        <v>3.1</v>
      </c>
      <c r="B5423" s="74" t="str">
        <f>'A VII.'!B181</f>
        <v>AJUDANTE COM ENCARGOS COMPLEMENTARES</v>
      </c>
      <c r="C5423" s="114">
        <v>9.4500000000000001E-2</v>
      </c>
      <c r="D5423" s="759" t="str">
        <f>'A VII.'!C181</f>
        <v>H</v>
      </c>
      <c r="E5423" s="85">
        <f>'A VII.'!D181</f>
        <v>0</v>
      </c>
      <c r="F5423" s="59">
        <f t="shared" ref="F5423:F5429" si="334">ROUND(C5423*E5423,2)</f>
        <v>0</v>
      </c>
    </row>
    <row r="5424" spans="1:6" ht="12.75" customHeight="1" x14ac:dyDescent="0.2">
      <c r="A5424" s="3" t="str">
        <f>'A VII.'!$A$189</f>
        <v>3.9</v>
      </c>
      <c r="B5424" s="74" t="str">
        <f>'A VII.'!B189</f>
        <v>ELETRICISTA COM ENCARGOS COMPLEMENTARES</v>
      </c>
      <c r="C5424" s="114">
        <v>9.4500000000000001E-2</v>
      </c>
      <c r="D5424" s="759" t="str">
        <f>'A VII.'!C189</f>
        <v>H</v>
      </c>
      <c r="E5424" s="85">
        <f>'A VII.'!D189</f>
        <v>0</v>
      </c>
      <c r="F5424" s="59">
        <f t="shared" si="334"/>
        <v>0</v>
      </c>
    </row>
    <row r="5425" spans="1:6" ht="12.75" customHeight="1" x14ac:dyDescent="0.2">
      <c r="A5425" s="3"/>
      <c r="C5425" s="114"/>
      <c r="D5425" s="759"/>
      <c r="E5425" s="85"/>
      <c r="F5425" s="59">
        <f t="shared" si="334"/>
        <v>0</v>
      </c>
    </row>
    <row r="5426" spans="1:6" ht="12.75" customHeight="1" x14ac:dyDescent="0.2">
      <c r="A5426" s="3"/>
      <c r="C5426" s="114"/>
      <c r="D5426" s="759"/>
      <c r="E5426" s="85"/>
      <c r="F5426" s="59">
        <f t="shared" si="334"/>
        <v>0</v>
      </c>
    </row>
    <row r="5427" spans="1:6" ht="12.75" customHeight="1" x14ac:dyDescent="0.2">
      <c r="A5427" s="3"/>
      <c r="C5427" s="114"/>
      <c r="D5427" s="759"/>
      <c r="E5427" s="85"/>
      <c r="F5427" s="59">
        <f t="shared" si="334"/>
        <v>0</v>
      </c>
    </row>
    <row r="5428" spans="1:6" ht="12.75" customHeight="1" x14ac:dyDescent="0.2">
      <c r="A5428" s="3"/>
      <c r="C5428" s="114"/>
      <c r="D5428" s="759"/>
      <c r="E5428" s="85"/>
      <c r="F5428" s="59">
        <f t="shared" si="334"/>
        <v>0</v>
      </c>
    </row>
    <row r="5429" spans="1:6" ht="12.75" customHeight="1" x14ac:dyDescent="0.2">
      <c r="A5429" s="3"/>
      <c r="C5429" s="114"/>
      <c r="D5429" s="759"/>
      <c r="E5429" s="85"/>
      <c r="F5429" s="59">
        <f t="shared" si="334"/>
        <v>0</v>
      </c>
    </row>
    <row r="5430" spans="1:6" ht="12.75" customHeight="1" x14ac:dyDescent="0.2">
      <c r="A5430" s="3"/>
      <c r="B5430" s="86" t="s">
        <v>258</v>
      </c>
      <c r="C5430" s="87"/>
      <c r="D5430" s="88"/>
      <c r="E5430" s="89"/>
      <c r="F5430" s="90">
        <f>SUM(F5423:F5429)</f>
        <v>0</v>
      </c>
    </row>
    <row r="5431" spans="1:6" ht="12.75" customHeight="1" x14ac:dyDescent="0.2">
      <c r="A5431" s="3"/>
      <c r="B5431" s="91" t="s">
        <v>261</v>
      </c>
      <c r="C5431" s="15">
        <f>'A IX.'!$C$45</f>
        <v>0</v>
      </c>
      <c r="D5431" s="92"/>
      <c r="E5431" s="93"/>
      <c r="F5431" s="94">
        <f>ROUND(F5430*C5431,2)</f>
        <v>0</v>
      </c>
    </row>
    <row r="5432" spans="1:6" ht="12.75" customHeight="1" x14ac:dyDescent="0.2">
      <c r="A5432" s="3"/>
      <c r="B5432" s="91" t="s">
        <v>70</v>
      </c>
      <c r="C5432" s="15">
        <f>$D$8</f>
        <v>0</v>
      </c>
      <c r="D5432" s="92"/>
      <c r="E5432" s="93"/>
      <c r="F5432" s="94">
        <f>ROUND(SUM(F5430:F5431)*C5432,2)</f>
        <v>0</v>
      </c>
    </row>
    <row r="5433" spans="1:6" ht="12.75" customHeight="1" thickBot="1" x14ac:dyDescent="0.25">
      <c r="A5433" s="98"/>
      <c r="B5433" s="99" t="s">
        <v>262</v>
      </c>
      <c r="C5433" s="100"/>
      <c r="D5433" s="100"/>
      <c r="E5433" s="101"/>
      <c r="F5433" s="102">
        <f>SUM(F5430:F5432)</f>
        <v>0</v>
      </c>
    </row>
    <row r="5434" spans="1:6" ht="12.75" customHeight="1" thickBot="1" x14ac:dyDescent="0.25">
      <c r="A5434" s="252"/>
      <c r="B5434" s="253"/>
      <c r="C5434" s="254"/>
      <c r="D5434" s="254"/>
      <c r="E5434" s="255"/>
      <c r="F5434" s="256"/>
    </row>
    <row r="5435" spans="1:6" ht="30" customHeight="1" x14ac:dyDescent="0.2">
      <c r="A5435" s="5" t="str">
        <f>'A IV.A'!A162</f>
        <v>7.6</v>
      </c>
      <c r="B5435" s="416" t="str">
        <f>'A IV.A'!B162</f>
        <v>FORNECIMENTO E INSTALAÇÃO DE CAIXA RETANGULAR 4"X2", DE EMBUTIR</v>
      </c>
      <c r="C5435" s="526" t="s">
        <v>269</v>
      </c>
      <c r="D5435" s="527"/>
      <c r="E5435" s="417" t="str">
        <f>'A IV.A'!C162</f>
        <v>UN</v>
      </c>
      <c r="F5435" s="58">
        <f>ROUND(F5455+F5469+F5481,2)</f>
        <v>0</v>
      </c>
    </row>
    <row r="5436" spans="1:6" ht="12.75" customHeight="1" x14ac:dyDescent="0.2">
      <c r="A5436" s="1" t="s">
        <v>17</v>
      </c>
      <c r="B5436" s="418" t="s">
        <v>162</v>
      </c>
      <c r="C5436" s="419" t="s">
        <v>263</v>
      </c>
      <c r="D5436" s="419" t="s">
        <v>264</v>
      </c>
      <c r="E5436" s="420" t="s">
        <v>265</v>
      </c>
      <c r="F5436" s="57" t="s">
        <v>266</v>
      </c>
    </row>
    <row r="5437" spans="1:6" ht="12.75" customHeight="1" x14ac:dyDescent="0.2">
      <c r="A5437" s="6" t="str">
        <f>'A VII.'!$A$27</f>
        <v>1.18</v>
      </c>
      <c r="B5437" s="421" t="str">
        <f>'A VII.'!B27</f>
        <v>CAIXA DE LUZ "4 X 2" EM ACO ESMALTADA</v>
      </c>
      <c r="C5437" s="114">
        <v>1</v>
      </c>
      <c r="D5437" s="757" t="str">
        <f>'A VII.'!C27</f>
        <v>UN</v>
      </c>
      <c r="E5437" s="85">
        <f>'A VII.'!D27</f>
        <v>0</v>
      </c>
      <c r="F5437" s="59">
        <f>ROUND(C5437*E5437,2)</f>
        <v>0</v>
      </c>
    </row>
    <row r="5438" spans="1:6" ht="12.75" customHeight="1" x14ac:dyDescent="0.2">
      <c r="A5438" s="6"/>
      <c r="B5438" s="421"/>
      <c r="C5438" s="114"/>
      <c r="D5438" s="757"/>
      <c r="E5438" s="85"/>
      <c r="F5438" s="59">
        <f t="shared" ref="F5438:F5452" si="335">ROUND(C5438*E5438,2)</f>
        <v>0</v>
      </c>
    </row>
    <row r="5439" spans="1:6" ht="12.75" customHeight="1" x14ac:dyDescent="0.2">
      <c r="A5439" s="6"/>
      <c r="B5439" s="421"/>
      <c r="C5439" s="114"/>
      <c r="D5439" s="757"/>
      <c r="E5439" s="85"/>
      <c r="F5439" s="59">
        <f t="shared" si="335"/>
        <v>0</v>
      </c>
    </row>
    <row r="5440" spans="1:6" ht="12.75" customHeight="1" x14ac:dyDescent="0.2">
      <c r="A5440" s="6"/>
      <c r="B5440" s="421"/>
      <c r="C5440" s="114"/>
      <c r="D5440" s="757"/>
      <c r="E5440" s="85"/>
      <c r="F5440" s="59">
        <f t="shared" si="335"/>
        <v>0</v>
      </c>
    </row>
    <row r="5441" spans="1:6" ht="12.75" customHeight="1" x14ac:dyDescent="0.2">
      <c r="A5441" s="6"/>
      <c r="B5441" s="421"/>
      <c r="C5441" s="114"/>
      <c r="D5441" s="757"/>
      <c r="E5441" s="85"/>
      <c r="F5441" s="59">
        <f t="shared" si="335"/>
        <v>0</v>
      </c>
    </row>
    <row r="5442" spans="1:6" ht="12.75" customHeight="1" x14ac:dyDescent="0.2">
      <c r="A5442" s="6"/>
      <c r="B5442" s="421"/>
      <c r="C5442" s="114"/>
      <c r="D5442" s="757"/>
      <c r="E5442" s="85"/>
      <c r="F5442" s="59">
        <f t="shared" si="335"/>
        <v>0</v>
      </c>
    </row>
    <row r="5443" spans="1:6" ht="12.75" customHeight="1" x14ac:dyDescent="0.2">
      <c r="A5443" s="6"/>
      <c r="B5443" s="421"/>
      <c r="C5443" s="114"/>
      <c r="D5443" s="757"/>
      <c r="E5443" s="85"/>
      <c r="F5443" s="59">
        <f t="shared" si="335"/>
        <v>0</v>
      </c>
    </row>
    <row r="5444" spans="1:6" ht="12.75" customHeight="1" x14ac:dyDescent="0.2">
      <c r="A5444" s="6"/>
      <c r="B5444" s="421"/>
      <c r="C5444" s="114"/>
      <c r="D5444" s="757"/>
      <c r="E5444" s="85"/>
      <c r="F5444" s="59">
        <f t="shared" si="335"/>
        <v>0</v>
      </c>
    </row>
    <row r="5445" spans="1:6" ht="12.75" customHeight="1" x14ac:dyDescent="0.2">
      <c r="A5445" s="6"/>
      <c r="B5445" s="421" t="str">
        <f>LOWER(B5440)</f>
        <v/>
      </c>
      <c r="C5445" s="114"/>
      <c r="D5445" s="757"/>
      <c r="E5445" s="85"/>
      <c r="F5445" s="59">
        <f t="shared" si="335"/>
        <v>0</v>
      </c>
    </row>
    <row r="5446" spans="1:6" ht="12.75" customHeight="1" x14ac:dyDescent="0.2">
      <c r="A5446" s="6"/>
      <c r="B5446" s="421"/>
      <c r="C5446" s="114"/>
      <c r="D5446" s="757"/>
      <c r="E5446" s="85"/>
      <c r="F5446" s="59">
        <f t="shared" si="335"/>
        <v>0</v>
      </c>
    </row>
    <row r="5447" spans="1:6" ht="12.75" customHeight="1" x14ac:dyDescent="0.2">
      <c r="A5447" s="6"/>
      <c r="B5447" s="421"/>
      <c r="C5447" s="114"/>
      <c r="D5447" s="757"/>
      <c r="E5447" s="85"/>
      <c r="F5447" s="59">
        <f t="shared" si="335"/>
        <v>0</v>
      </c>
    </row>
    <row r="5448" spans="1:6" ht="12.75" customHeight="1" x14ac:dyDescent="0.2">
      <c r="A5448" s="6"/>
      <c r="B5448" s="421"/>
      <c r="C5448" s="114"/>
      <c r="D5448" s="758"/>
      <c r="E5448" s="85"/>
      <c r="F5448" s="59">
        <f t="shared" si="335"/>
        <v>0</v>
      </c>
    </row>
    <row r="5449" spans="1:6" ht="12.75" customHeight="1" x14ac:dyDescent="0.2">
      <c r="A5449" s="6"/>
      <c r="B5449" s="421"/>
      <c r="C5449" s="114"/>
      <c r="D5449" s="758"/>
      <c r="E5449" s="85"/>
      <c r="F5449" s="59">
        <f t="shared" si="335"/>
        <v>0</v>
      </c>
    </row>
    <row r="5450" spans="1:6" ht="12.75" customHeight="1" x14ac:dyDescent="0.2">
      <c r="A5450" s="6"/>
      <c r="B5450" s="421"/>
      <c r="C5450" s="114"/>
      <c r="D5450" s="758"/>
      <c r="E5450" s="85"/>
      <c r="F5450" s="59">
        <f t="shared" si="335"/>
        <v>0</v>
      </c>
    </row>
    <row r="5451" spans="1:6" ht="12.75" customHeight="1" x14ac:dyDescent="0.2">
      <c r="A5451" s="3"/>
      <c r="C5451" s="114"/>
      <c r="D5451" s="759"/>
      <c r="E5451" s="85"/>
      <c r="F5451" s="59">
        <f t="shared" si="335"/>
        <v>0</v>
      </c>
    </row>
    <row r="5452" spans="1:6" ht="12.75" customHeight="1" x14ac:dyDescent="0.2">
      <c r="A5452" s="3"/>
      <c r="C5452" s="114"/>
      <c r="D5452" s="759"/>
      <c r="E5452" s="85"/>
      <c r="F5452" s="59">
        <f t="shared" si="335"/>
        <v>0</v>
      </c>
    </row>
    <row r="5453" spans="1:6" ht="12.75" customHeight="1" x14ac:dyDescent="0.2">
      <c r="A5453" s="3"/>
      <c r="B5453" s="86" t="s">
        <v>258</v>
      </c>
      <c r="C5453" s="87"/>
      <c r="D5453" s="88"/>
      <c r="E5453" s="89"/>
      <c r="F5453" s="90">
        <f>SUM(F5437:F5452)</f>
        <v>0</v>
      </c>
    </row>
    <row r="5454" spans="1:6" ht="12.75" customHeight="1" x14ac:dyDescent="0.2">
      <c r="A5454" s="3"/>
      <c r="B5454" s="91" t="s">
        <v>70</v>
      </c>
      <c r="C5454" s="15">
        <f>$D$8</f>
        <v>0</v>
      </c>
      <c r="D5454" s="92"/>
      <c r="E5454" s="93"/>
      <c r="F5454" s="94">
        <f>ROUND(F5453*C5454,2)</f>
        <v>0</v>
      </c>
    </row>
    <row r="5455" spans="1:6" ht="12.75" customHeight="1" x14ac:dyDescent="0.2">
      <c r="A5455" s="95"/>
      <c r="B5455" s="424" t="s">
        <v>259</v>
      </c>
      <c r="C5455" s="425"/>
      <c r="D5455" s="425"/>
      <c r="E5455" s="426"/>
      <c r="F5455" s="96">
        <f>F5453+F5454</f>
        <v>0</v>
      </c>
    </row>
    <row r="5456" spans="1:6" ht="12.75" customHeight="1" x14ac:dyDescent="0.2">
      <c r="A5456" s="1" t="s">
        <v>5</v>
      </c>
      <c r="B5456" s="418" t="s">
        <v>267</v>
      </c>
      <c r="C5456" s="419" t="s">
        <v>263</v>
      </c>
      <c r="D5456" s="419" t="s">
        <v>264</v>
      </c>
      <c r="E5456" s="420" t="s">
        <v>265</v>
      </c>
      <c r="F5456" s="57" t="s">
        <v>266</v>
      </c>
    </row>
    <row r="5457" spans="1:6" ht="12.75" customHeight="1" x14ac:dyDescent="0.2">
      <c r="A5457" s="3"/>
      <c r="B5457" s="71"/>
      <c r="C5457" s="114"/>
      <c r="D5457" s="759"/>
      <c r="E5457" s="85"/>
      <c r="F5457" s="59">
        <f t="shared" ref="F5457:F5466" si="336">ROUND(C5457*E5457,2)</f>
        <v>0</v>
      </c>
    </row>
    <row r="5458" spans="1:6" ht="12.75" customHeight="1" x14ac:dyDescent="0.2">
      <c r="A5458" s="3"/>
      <c r="C5458" s="114"/>
      <c r="D5458" s="759"/>
      <c r="E5458" s="85"/>
      <c r="F5458" s="59">
        <f t="shared" si="336"/>
        <v>0</v>
      </c>
    </row>
    <row r="5459" spans="1:6" ht="12.75" customHeight="1" x14ac:dyDescent="0.2">
      <c r="A5459" s="3"/>
      <c r="C5459" s="114"/>
      <c r="D5459" s="759"/>
      <c r="E5459" s="85"/>
      <c r="F5459" s="59">
        <f t="shared" si="336"/>
        <v>0</v>
      </c>
    </row>
    <row r="5460" spans="1:6" ht="12.75" customHeight="1" x14ac:dyDescent="0.2">
      <c r="A5460" s="3"/>
      <c r="C5460" s="114"/>
      <c r="D5460" s="759"/>
      <c r="E5460" s="85"/>
      <c r="F5460" s="59">
        <f t="shared" si="336"/>
        <v>0</v>
      </c>
    </row>
    <row r="5461" spans="1:6" ht="12.75" customHeight="1" x14ac:dyDescent="0.2">
      <c r="A5461" s="3"/>
      <c r="C5461" s="114"/>
      <c r="D5461" s="759"/>
      <c r="E5461" s="85"/>
      <c r="F5461" s="59">
        <f t="shared" si="336"/>
        <v>0</v>
      </c>
    </row>
    <row r="5462" spans="1:6" ht="12.75" customHeight="1" x14ac:dyDescent="0.2">
      <c r="A5462" s="3"/>
      <c r="C5462" s="114"/>
      <c r="D5462" s="759"/>
      <c r="E5462" s="85"/>
      <c r="F5462" s="59">
        <f t="shared" si="336"/>
        <v>0</v>
      </c>
    </row>
    <row r="5463" spans="1:6" ht="12.75" customHeight="1" x14ac:dyDescent="0.2">
      <c r="A5463" s="3"/>
      <c r="C5463" s="114"/>
      <c r="D5463" s="759"/>
      <c r="E5463" s="85"/>
      <c r="F5463" s="59">
        <f t="shared" si="336"/>
        <v>0</v>
      </c>
    </row>
    <row r="5464" spans="1:6" ht="12.75" customHeight="1" x14ac:dyDescent="0.2">
      <c r="A5464" s="3"/>
      <c r="C5464" s="114"/>
      <c r="D5464" s="759"/>
      <c r="E5464" s="85"/>
      <c r="F5464" s="59">
        <f t="shared" si="336"/>
        <v>0</v>
      </c>
    </row>
    <row r="5465" spans="1:6" ht="12.75" customHeight="1" x14ac:dyDescent="0.2">
      <c r="A5465" s="3"/>
      <c r="C5465" s="114"/>
      <c r="D5465" s="759"/>
      <c r="E5465" s="85"/>
      <c r="F5465" s="59">
        <f t="shared" si="336"/>
        <v>0</v>
      </c>
    </row>
    <row r="5466" spans="1:6" ht="12.75" customHeight="1" x14ac:dyDescent="0.2">
      <c r="A5466" s="3"/>
      <c r="C5466" s="114"/>
      <c r="D5466" s="759"/>
      <c r="E5466" s="85"/>
      <c r="F5466" s="59">
        <f t="shared" si="336"/>
        <v>0</v>
      </c>
    </row>
    <row r="5467" spans="1:6" ht="12.75" customHeight="1" x14ac:dyDescent="0.2">
      <c r="A5467" s="3"/>
      <c r="B5467" s="86" t="s">
        <v>258</v>
      </c>
      <c r="C5467" s="87"/>
      <c r="D5467" s="88"/>
      <c r="E5467" s="89"/>
      <c r="F5467" s="90">
        <f>SUM(F5457:F5466)</f>
        <v>0</v>
      </c>
    </row>
    <row r="5468" spans="1:6" ht="12.75" customHeight="1" x14ac:dyDescent="0.2">
      <c r="A5468" s="3"/>
      <c r="B5468" s="91" t="s">
        <v>70</v>
      </c>
      <c r="C5468" s="15">
        <f>$D$8</f>
        <v>0</v>
      </c>
      <c r="D5468" s="92"/>
      <c r="E5468" s="93"/>
      <c r="F5468" s="94">
        <f>ROUND(C5468*F5467,2)</f>
        <v>0</v>
      </c>
    </row>
    <row r="5469" spans="1:6" ht="12.75" customHeight="1" x14ac:dyDescent="0.2">
      <c r="A5469" s="95"/>
      <c r="B5469" s="424" t="s">
        <v>260</v>
      </c>
      <c r="C5469" s="425"/>
      <c r="D5469" s="425"/>
      <c r="E5469" s="426"/>
      <c r="F5469" s="96">
        <f>F5467+F5468</f>
        <v>0</v>
      </c>
    </row>
    <row r="5470" spans="1:6" ht="12.75" customHeight="1" x14ac:dyDescent="0.2">
      <c r="A5470" s="97" t="s">
        <v>54</v>
      </c>
      <c r="B5470" s="427" t="s">
        <v>268</v>
      </c>
      <c r="C5470" s="428" t="s">
        <v>263</v>
      </c>
      <c r="D5470" s="429" t="s">
        <v>264</v>
      </c>
      <c r="E5470" s="430" t="s">
        <v>265</v>
      </c>
      <c r="F5470" s="57" t="s">
        <v>266</v>
      </c>
    </row>
    <row r="5471" spans="1:6" ht="12.75" customHeight="1" x14ac:dyDescent="0.2">
      <c r="A5471" s="3" t="str">
        <f>'A VII.'!$A$181</f>
        <v>3.1</v>
      </c>
      <c r="B5471" s="74" t="str">
        <f>'A VII.'!B181</f>
        <v>AJUDANTE COM ENCARGOS COMPLEMENTARES</v>
      </c>
      <c r="C5471" s="114">
        <v>0.25</v>
      </c>
      <c r="D5471" s="759" t="str">
        <f>'A VII.'!C181</f>
        <v>H</v>
      </c>
      <c r="E5471" s="85">
        <f>'A VII.'!D181</f>
        <v>0</v>
      </c>
      <c r="F5471" s="59">
        <f t="shared" ref="F5471:F5477" si="337">ROUND(C5471*E5471,2)</f>
        <v>0</v>
      </c>
    </row>
    <row r="5472" spans="1:6" ht="12.75" customHeight="1" x14ac:dyDescent="0.2">
      <c r="A5472" s="3" t="str">
        <f>'A VII.'!$A$189</f>
        <v>3.9</v>
      </c>
      <c r="B5472" s="74" t="str">
        <f>'A VII.'!B189</f>
        <v>ELETRICISTA COM ENCARGOS COMPLEMENTARES</v>
      </c>
      <c r="C5472" s="114">
        <v>0.25</v>
      </c>
      <c r="D5472" s="759" t="str">
        <f>'A VII.'!C189</f>
        <v>H</v>
      </c>
      <c r="E5472" s="85">
        <f>'A VII.'!D189</f>
        <v>0</v>
      </c>
      <c r="F5472" s="59">
        <f t="shared" si="337"/>
        <v>0</v>
      </c>
    </row>
    <row r="5473" spans="1:6" ht="12.75" customHeight="1" x14ac:dyDescent="0.2">
      <c r="A5473" s="3"/>
      <c r="C5473" s="114"/>
      <c r="D5473" s="759"/>
      <c r="E5473" s="85"/>
      <c r="F5473" s="59">
        <f t="shared" si="337"/>
        <v>0</v>
      </c>
    </row>
    <row r="5474" spans="1:6" ht="12.75" customHeight="1" x14ac:dyDescent="0.2">
      <c r="A5474" s="3"/>
      <c r="C5474" s="114"/>
      <c r="D5474" s="759"/>
      <c r="E5474" s="85"/>
      <c r="F5474" s="59">
        <f t="shared" si="337"/>
        <v>0</v>
      </c>
    </row>
    <row r="5475" spans="1:6" ht="12.75" customHeight="1" x14ac:dyDescent="0.2">
      <c r="A5475" s="3"/>
      <c r="C5475" s="114"/>
      <c r="D5475" s="759"/>
      <c r="E5475" s="85"/>
      <c r="F5475" s="59">
        <f t="shared" si="337"/>
        <v>0</v>
      </c>
    </row>
    <row r="5476" spans="1:6" ht="12.75" customHeight="1" x14ac:dyDescent="0.2">
      <c r="A5476" s="3"/>
      <c r="C5476" s="114"/>
      <c r="D5476" s="759"/>
      <c r="E5476" s="85"/>
      <c r="F5476" s="59">
        <f t="shared" si="337"/>
        <v>0</v>
      </c>
    </row>
    <row r="5477" spans="1:6" ht="12.75" customHeight="1" x14ac:dyDescent="0.2">
      <c r="A5477" s="3"/>
      <c r="C5477" s="114"/>
      <c r="D5477" s="759"/>
      <c r="E5477" s="85"/>
      <c r="F5477" s="59">
        <f t="shared" si="337"/>
        <v>0</v>
      </c>
    </row>
    <row r="5478" spans="1:6" ht="12.75" customHeight="1" x14ac:dyDescent="0.2">
      <c r="A5478" s="3"/>
      <c r="B5478" s="86" t="s">
        <v>258</v>
      </c>
      <c r="C5478" s="87"/>
      <c r="D5478" s="88"/>
      <c r="E5478" s="89"/>
      <c r="F5478" s="90">
        <f>SUM(F5471:F5477)</f>
        <v>0</v>
      </c>
    </row>
    <row r="5479" spans="1:6" ht="12.75" customHeight="1" x14ac:dyDescent="0.2">
      <c r="A5479" s="3"/>
      <c r="B5479" s="91" t="s">
        <v>261</v>
      </c>
      <c r="C5479" s="15">
        <f>'A IX.'!$C$45</f>
        <v>0</v>
      </c>
      <c r="D5479" s="92"/>
      <c r="E5479" s="93"/>
      <c r="F5479" s="94">
        <f>ROUND(F5478*C5479,2)</f>
        <v>0</v>
      </c>
    </row>
    <row r="5480" spans="1:6" ht="12.75" customHeight="1" x14ac:dyDescent="0.2">
      <c r="A5480" s="3"/>
      <c r="B5480" s="91" t="s">
        <v>70</v>
      </c>
      <c r="C5480" s="15">
        <f>$D$8</f>
        <v>0</v>
      </c>
      <c r="D5480" s="92"/>
      <c r="E5480" s="93"/>
      <c r="F5480" s="94">
        <f>ROUND(SUM(F5478:F5479)*C5480,2)</f>
        <v>0</v>
      </c>
    </row>
    <row r="5481" spans="1:6" ht="12.75" customHeight="1" thickBot="1" x14ac:dyDescent="0.25">
      <c r="A5481" s="98"/>
      <c r="B5481" s="99" t="s">
        <v>262</v>
      </c>
      <c r="C5481" s="100"/>
      <c r="D5481" s="100"/>
      <c r="E5481" s="101"/>
      <c r="F5481" s="102">
        <f>SUM(F5478:F5480)</f>
        <v>0</v>
      </c>
    </row>
    <row r="5482" spans="1:6" ht="12.75" customHeight="1" thickBot="1" x14ac:dyDescent="0.25">
      <c r="A5482" s="252"/>
      <c r="B5482" s="253"/>
      <c r="C5482" s="254"/>
      <c r="D5482" s="254"/>
      <c r="E5482" s="255"/>
      <c r="F5482" s="256"/>
    </row>
    <row r="5483" spans="1:6" ht="30" customHeight="1" x14ac:dyDescent="0.2">
      <c r="A5483" s="5" t="str">
        <f>'A IV.A'!$A$163</f>
        <v>7.7</v>
      </c>
      <c r="B5483" s="416" t="str">
        <f>'A IV.A'!$B$163</f>
        <v>LOCAÇÃO DE ANDAIMES METÁLICOS TIPO TORRE</v>
      </c>
      <c r="C5483" s="526" t="s">
        <v>269</v>
      </c>
      <c r="D5483" s="527"/>
      <c r="E5483" s="417" t="str">
        <f>'A IV.A'!$C$163</f>
        <v>M.MÊS</v>
      </c>
      <c r="F5483" s="58">
        <f>ROUND(F5503+F5517+F5529,2)</f>
        <v>0</v>
      </c>
    </row>
    <row r="5484" spans="1:6" ht="12.75" customHeight="1" x14ac:dyDescent="0.2">
      <c r="A5484" s="1" t="s">
        <v>17</v>
      </c>
      <c r="B5484" s="418" t="s">
        <v>162</v>
      </c>
      <c r="C5484" s="419" t="s">
        <v>263</v>
      </c>
      <c r="D5484" s="419" t="s">
        <v>264</v>
      </c>
      <c r="E5484" s="420" t="s">
        <v>265</v>
      </c>
      <c r="F5484" s="57" t="s">
        <v>266</v>
      </c>
    </row>
    <row r="5485" spans="1:6" ht="12.75" customHeight="1" x14ac:dyDescent="0.2">
      <c r="A5485" s="6"/>
      <c r="B5485" s="421"/>
      <c r="C5485" s="114"/>
      <c r="D5485" s="757"/>
      <c r="E5485" s="85"/>
      <c r="F5485" s="59">
        <f>ROUND(C5485*E5485,2)</f>
        <v>0</v>
      </c>
    </row>
    <row r="5486" spans="1:6" ht="12.75" customHeight="1" x14ac:dyDescent="0.2">
      <c r="A5486" s="6"/>
      <c r="B5486" s="421"/>
      <c r="C5486" s="114"/>
      <c r="D5486" s="757"/>
      <c r="E5486" s="85"/>
      <c r="F5486" s="59">
        <f t="shared" ref="F5486:F5500" si="338">ROUND(C5486*E5486,2)</f>
        <v>0</v>
      </c>
    </row>
    <row r="5487" spans="1:6" ht="12.75" customHeight="1" x14ac:dyDescent="0.2">
      <c r="A5487" s="6"/>
      <c r="B5487" s="421"/>
      <c r="C5487" s="114"/>
      <c r="D5487" s="757"/>
      <c r="E5487" s="85"/>
      <c r="F5487" s="59">
        <f t="shared" si="338"/>
        <v>0</v>
      </c>
    </row>
    <row r="5488" spans="1:6" ht="12.75" customHeight="1" x14ac:dyDescent="0.2">
      <c r="A5488" s="6"/>
      <c r="B5488" s="421"/>
      <c r="C5488" s="114"/>
      <c r="D5488" s="757"/>
      <c r="E5488" s="85"/>
      <c r="F5488" s="59">
        <f t="shared" si="338"/>
        <v>0</v>
      </c>
    </row>
    <row r="5489" spans="1:6" ht="12.75" customHeight="1" x14ac:dyDescent="0.2">
      <c r="A5489" s="6"/>
      <c r="B5489" s="421"/>
      <c r="C5489" s="114"/>
      <c r="D5489" s="757"/>
      <c r="E5489" s="85"/>
      <c r="F5489" s="59">
        <f t="shared" si="338"/>
        <v>0</v>
      </c>
    </row>
    <row r="5490" spans="1:6" ht="12.75" customHeight="1" x14ac:dyDescent="0.2">
      <c r="A5490" s="6"/>
      <c r="B5490" s="421"/>
      <c r="C5490" s="114"/>
      <c r="D5490" s="757"/>
      <c r="E5490" s="85"/>
      <c r="F5490" s="59">
        <f t="shared" si="338"/>
        <v>0</v>
      </c>
    </row>
    <row r="5491" spans="1:6" ht="12.75" customHeight="1" x14ac:dyDescent="0.2">
      <c r="A5491" s="6"/>
      <c r="B5491" s="421"/>
      <c r="C5491" s="114"/>
      <c r="D5491" s="757"/>
      <c r="E5491" s="85"/>
      <c r="F5491" s="59">
        <f t="shared" si="338"/>
        <v>0</v>
      </c>
    </row>
    <row r="5492" spans="1:6" ht="12.75" customHeight="1" x14ac:dyDescent="0.2">
      <c r="A5492" s="6"/>
      <c r="B5492" s="421"/>
      <c r="C5492" s="114"/>
      <c r="D5492" s="757"/>
      <c r="E5492" s="85"/>
      <c r="F5492" s="59">
        <f t="shared" si="338"/>
        <v>0</v>
      </c>
    </row>
    <row r="5493" spans="1:6" ht="12.75" customHeight="1" x14ac:dyDescent="0.2">
      <c r="A5493" s="6"/>
      <c r="B5493" s="421"/>
      <c r="C5493" s="114"/>
      <c r="D5493" s="757"/>
      <c r="E5493" s="85"/>
      <c r="F5493" s="59">
        <f t="shared" si="338"/>
        <v>0</v>
      </c>
    </row>
    <row r="5494" spans="1:6" ht="12.75" customHeight="1" x14ac:dyDescent="0.2">
      <c r="A5494" s="6"/>
      <c r="B5494" s="421"/>
      <c r="C5494" s="114"/>
      <c r="D5494" s="757"/>
      <c r="E5494" s="85"/>
      <c r="F5494" s="59">
        <f t="shared" si="338"/>
        <v>0</v>
      </c>
    </row>
    <row r="5495" spans="1:6" ht="12.75" customHeight="1" x14ac:dyDescent="0.2">
      <c r="A5495" s="6"/>
      <c r="B5495" s="421"/>
      <c r="C5495" s="114"/>
      <c r="D5495" s="757"/>
      <c r="E5495" s="85"/>
      <c r="F5495" s="59">
        <f t="shared" si="338"/>
        <v>0</v>
      </c>
    </row>
    <row r="5496" spans="1:6" ht="12.75" customHeight="1" x14ac:dyDescent="0.2">
      <c r="A5496" s="6"/>
      <c r="B5496" s="421"/>
      <c r="C5496" s="114"/>
      <c r="D5496" s="758"/>
      <c r="E5496" s="85"/>
      <c r="F5496" s="59">
        <f t="shared" si="338"/>
        <v>0</v>
      </c>
    </row>
    <row r="5497" spans="1:6" ht="12.75" customHeight="1" x14ac:dyDescent="0.2">
      <c r="A5497" s="6"/>
      <c r="B5497" s="421"/>
      <c r="C5497" s="114"/>
      <c r="D5497" s="758"/>
      <c r="E5497" s="85"/>
      <c r="F5497" s="59">
        <f t="shared" si="338"/>
        <v>0</v>
      </c>
    </row>
    <row r="5498" spans="1:6" ht="12.75" customHeight="1" x14ac:dyDescent="0.2">
      <c r="A5498" s="6"/>
      <c r="B5498" s="421"/>
      <c r="C5498" s="114"/>
      <c r="D5498" s="758"/>
      <c r="E5498" s="85"/>
      <c r="F5498" s="59">
        <f t="shared" si="338"/>
        <v>0</v>
      </c>
    </row>
    <row r="5499" spans="1:6" ht="12.75" customHeight="1" x14ac:dyDescent="0.2">
      <c r="A5499" s="3"/>
      <c r="C5499" s="114"/>
      <c r="D5499" s="759"/>
      <c r="E5499" s="85"/>
      <c r="F5499" s="59">
        <f t="shared" si="338"/>
        <v>0</v>
      </c>
    </row>
    <row r="5500" spans="1:6" ht="12.75" customHeight="1" x14ac:dyDescent="0.2">
      <c r="A5500" s="3"/>
      <c r="C5500" s="114"/>
      <c r="D5500" s="759"/>
      <c r="E5500" s="85"/>
      <c r="F5500" s="59">
        <f t="shared" si="338"/>
        <v>0</v>
      </c>
    </row>
    <row r="5501" spans="1:6" ht="12.75" customHeight="1" x14ac:dyDescent="0.2">
      <c r="A5501" s="3"/>
      <c r="B5501" s="86" t="s">
        <v>258</v>
      </c>
      <c r="C5501" s="87"/>
      <c r="D5501" s="88"/>
      <c r="E5501" s="89"/>
      <c r="F5501" s="90">
        <f>SUM(F5485:F5500)</f>
        <v>0</v>
      </c>
    </row>
    <row r="5502" spans="1:6" ht="12.75" customHeight="1" x14ac:dyDescent="0.2">
      <c r="A5502" s="3"/>
      <c r="B5502" s="91" t="s">
        <v>70</v>
      </c>
      <c r="C5502" s="15">
        <f>$D$8</f>
        <v>0</v>
      </c>
      <c r="D5502" s="92"/>
      <c r="E5502" s="93"/>
      <c r="F5502" s="94">
        <f>ROUND(F5501*C5502,2)</f>
        <v>0</v>
      </c>
    </row>
    <row r="5503" spans="1:6" ht="12.75" customHeight="1" x14ac:dyDescent="0.2">
      <c r="A5503" s="95"/>
      <c r="B5503" s="424" t="s">
        <v>259</v>
      </c>
      <c r="C5503" s="425"/>
      <c r="D5503" s="425"/>
      <c r="E5503" s="426"/>
      <c r="F5503" s="96">
        <f>F5501+F5502</f>
        <v>0</v>
      </c>
    </row>
    <row r="5504" spans="1:6" ht="12.75" customHeight="1" x14ac:dyDescent="0.2">
      <c r="A5504" s="1" t="s">
        <v>5</v>
      </c>
      <c r="B5504" s="418" t="s">
        <v>267</v>
      </c>
      <c r="C5504" s="419" t="s">
        <v>263</v>
      </c>
      <c r="D5504" s="419" t="s">
        <v>264</v>
      </c>
      <c r="E5504" s="420" t="s">
        <v>265</v>
      </c>
      <c r="F5504" s="57" t="s">
        <v>266</v>
      </c>
    </row>
    <row r="5505" spans="1:6" ht="12.75" customHeight="1" x14ac:dyDescent="0.2">
      <c r="A5505" s="3" t="str">
        <f>'A VII.'!$A$143</f>
        <v>2.1</v>
      </c>
      <c r="B5505" s="71" t="str">
        <f>VLOOKUP(A5505,'A VII.'!$A$10:$D$199,2,FALSE)</f>
        <v>ANDAIME METÁLICO TUBULAR DE ENCAIXE TIPO TORRE - LARGURA ATÉ 1,5M X ALTURA = 1,0M, INCLUINDO SAPATAS FIXAS OU RODÍZIOS</v>
      </c>
      <c r="C5505" s="114">
        <v>1</v>
      </c>
      <c r="D5505" s="759" t="str">
        <f>VLOOKUP(A5505,'A VII.'!$A$10:$D$199,3,FALSE)</f>
        <v>MxMÊS</v>
      </c>
      <c r="E5505" s="85">
        <f>'A VII.'!$D$143</f>
        <v>0</v>
      </c>
      <c r="F5505" s="59">
        <f t="shared" ref="F5505:F5514" si="339">ROUND(C5505*E5505,2)</f>
        <v>0</v>
      </c>
    </row>
    <row r="5506" spans="1:6" ht="12.75" customHeight="1" x14ac:dyDescent="0.2">
      <c r="A5506" s="3"/>
      <c r="C5506" s="114"/>
      <c r="D5506" s="759"/>
      <c r="E5506" s="85"/>
      <c r="F5506" s="59">
        <f t="shared" si="339"/>
        <v>0</v>
      </c>
    </row>
    <row r="5507" spans="1:6" ht="12.75" customHeight="1" x14ac:dyDescent="0.2">
      <c r="A5507" s="3"/>
      <c r="C5507" s="114"/>
      <c r="D5507" s="759"/>
      <c r="E5507" s="85"/>
      <c r="F5507" s="59">
        <f t="shared" si="339"/>
        <v>0</v>
      </c>
    </row>
    <row r="5508" spans="1:6" ht="12.75" customHeight="1" x14ac:dyDescent="0.2">
      <c r="A5508" s="3"/>
      <c r="C5508" s="114"/>
      <c r="D5508" s="759"/>
      <c r="E5508" s="85"/>
      <c r="F5508" s="59">
        <f t="shared" si="339"/>
        <v>0</v>
      </c>
    </row>
    <row r="5509" spans="1:6" ht="12.75" customHeight="1" x14ac:dyDescent="0.2">
      <c r="A5509" s="3"/>
      <c r="C5509" s="114"/>
      <c r="D5509" s="759"/>
      <c r="E5509" s="85"/>
      <c r="F5509" s="59">
        <f t="shared" si="339"/>
        <v>0</v>
      </c>
    </row>
    <row r="5510" spans="1:6" ht="12.75" customHeight="1" x14ac:dyDescent="0.2">
      <c r="A5510" s="3"/>
      <c r="C5510" s="114"/>
      <c r="D5510" s="759"/>
      <c r="E5510" s="85"/>
      <c r="F5510" s="59">
        <f t="shared" si="339"/>
        <v>0</v>
      </c>
    </row>
    <row r="5511" spans="1:6" ht="12.75" customHeight="1" x14ac:dyDescent="0.2">
      <c r="A5511" s="3"/>
      <c r="C5511" s="114"/>
      <c r="D5511" s="759"/>
      <c r="E5511" s="85"/>
      <c r="F5511" s="59">
        <f t="shared" si="339"/>
        <v>0</v>
      </c>
    </row>
    <row r="5512" spans="1:6" ht="12.75" customHeight="1" x14ac:dyDescent="0.2">
      <c r="A5512" s="3"/>
      <c r="C5512" s="114"/>
      <c r="D5512" s="759"/>
      <c r="E5512" s="85"/>
      <c r="F5512" s="59">
        <f t="shared" si="339"/>
        <v>0</v>
      </c>
    </row>
    <row r="5513" spans="1:6" ht="12.75" customHeight="1" x14ac:dyDescent="0.2">
      <c r="A5513" s="3"/>
      <c r="C5513" s="114"/>
      <c r="D5513" s="759"/>
      <c r="E5513" s="85"/>
      <c r="F5513" s="59">
        <f t="shared" si="339"/>
        <v>0</v>
      </c>
    </row>
    <row r="5514" spans="1:6" ht="12.75" customHeight="1" x14ac:dyDescent="0.2">
      <c r="A5514" s="3"/>
      <c r="C5514" s="114"/>
      <c r="D5514" s="759"/>
      <c r="E5514" s="85"/>
      <c r="F5514" s="59">
        <f t="shared" si="339"/>
        <v>0</v>
      </c>
    </row>
    <row r="5515" spans="1:6" ht="12.75" customHeight="1" x14ac:dyDescent="0.2">
      <c r="A5515" s="3"/>
      <c r="B5515" s="86" t="s">
        <v>258</v>
      </c>
      <c r="C5515" s="87"/>
      <c r="D5515" s="88"/>
      <c r="E5515" s="89"/>
      <c r="F5515" s="90">
        <f>SUM(F5505:F5514)</f>
        <v>0</v>
      </c>
    </row>
    <row r="5516" spans="1:6" ht="12.75" customHeight="1" x14ac:dyDescent="0.2">
      <c r="A5516" s="3"/>
      <c r="B5516" s="91" t="s">
        <v>70</v>
      </c>
      <c r="C5516" s="15">
        <f>$D$8</f>
        <v>0</v>
      </c>
      <c r="D5516" s="92"/>
      <c r="E5516" s="93"/>
      <c r="F5516" s="94">
        <f>ROUND(C5516*F5515,2)</f>
        <v>0</v>
      </c>
    </row>
    <row r="5517" spans="1:6" ht="12.75" customHeight="1" x14ac:dyDescent="0.2">
      <c r="A5517" s="95"/>
      <c r="B5517" s="424" t="s">
        <v>260</v>
      </c>
      <c r="C5517" s="425"/>
      <c r="D5517" s="425"/>
      <c r="E5517" s="426"/>
      <c r="F5517" s="96">
        <f>F5515+F5516</f>
        <v>0</v>
      </c>
    </row>
    <row r="5518" spans="1:6" ht="12.75" customHeight="1" x14ac:dyDescent="0.2">
      <c r="A5518" s="97" t="s">
        <v>54</v>
      </c>
      <c r="B5518" s="427" t="s">
        <v>268</v>
      </c>
      <c r="C5518" s="428" t="s">
        <v>263</v>
      </c>
      <c r="D5518" s="429" t="s">
        <v>264</v>
      </c>
      <c r="E5518" s="430" t="s">
        <v>265</v>
      </c>
      <c r="F5518" s="57" t="s">
        <v>266</v>
      </c>
    </row>
    <row r="5519" spans="1:6" ht="12.75" customHeight="1" x14ac:dyDescent="0.2">
      <c r="A5519" s="3"/>
      <c r="C5519" s="114"/>
      <c r="D5519" s="759"/>
      <c r="E5519" s="85"/>
      <c r="F5519" s="59">
        <f t="shared" ref="F5519:F5525" si="340">ROUND(C5519*E5519,2)</f>
        <v>0</v>
      </c>
    </row>
    <row r="5520" spans="1:6" ht="12.75" customHeight="1" x14ac:dyDescent="0.2">
      <c r="A5520" s="3"/>
      <c r="C5520" s="114"/>
      <c r="D5520" s="759"/>
      <c r="E5520" s="85"/>
      <c r="F5520" s="59">
        <f t="shared" si="340"/>
        <v>0</v>
      </c>
    </row>
    <row r="5521" spans="1:6" ht="12.75" customHeight="1" x14ac:dyDescent="0.2">
      <c r="A5521" s="3"/>
      <c r="C5521" s="114"/>
      <c r="D5521" s="759"/>
      <c r="E5521" s="85"/>
      <c r="F5521" s="59">
        <f t="shared" si="340"/>
        <v>0</v>
      </c>
    </row>
    <row r="5522" spans="1:6" ht="12.75" customHeight="1" x14ac:dyDescent="0.2">
      <c r="A5522" s="3"/>
      <c r="C5522" s="114"/>
      <c r="D5522" s="759"/>
      <c r="E5522" s="85"/>
      <c r="F5522" s="59">
        <f t="shared" si="340"/>
        <v>0</v>
      </c>
    </row>
    <row r="5523" spans="1:6" ht="12.75" customHeight="1" x14ac:dyDescent="0.2">
      <c r="A5523" s="3"/>
      <c r="C5523" s="114"/>
      <c r="D5523" s="759"/>
      <c r="E5523" s="85"/>
      <c r="F5523" s="59">
        <f t="shared" si="340"/>
        <v>0</v>
      </c>
    </row>
    <row r="5524" spans="1:6" ht="12.75" customHeight="1" x14ac:dyDescent="0.2">
      <c r="A5524" s="3"/>
      <c r="C5524" s="114"/>
      <c r="D5524" s="759"/>
      <c r="E5524" s="85"/>
      <c r="F5524" s="59">
        <f t="shared" si="340"/>
        <v>0</v>
      </c>
    </row>
    <row r="5525" spans="1:6" ht="12.75" customHeight="1" x14ac:dyDescent="0.2">
      <c r="A5525" s="3"/>
      <c r="C5525" s="114"/>
      <c r="D5525" s="759"/>
      <c r="E5525" s="85"/>
      <c r="F5525" s="59">
        <f t="shared" si="340"/>
        <v>0</v>
      </c>
    </row>
    <row r="5526" spans="1:6" ht="12.75" customHeight="1" x14ac:dyDescent="0.2">
      <c r="A5526" s="3"/>
      <c r="B5526" s="86" t="s">
        <v>258</v>
      </c>
      <c r="C5526" s="87"/>
      <c r="D5526" s="88"/>
      <c r="E5526" s="89"/>
      <c r="F5526" s="90">
        <f>SUM(F5519:F5525)</f>
        <v>0</v>
      </c>
    </row>
    <row r="5527" spans="1:6" ht="12.75" customHeight="1" x14ac:dyDescent="0.2">
      <c r="A5527" s="3"/>
      <c r="B5527" s="91" t="s">
        <v>261</v>
      </c>
      <c r="C5527" s="15">
        <f>'A IX.'!$C$45</f>
        <v>0</v>
      </c>
      <c r="D5527" s="92"/>
      <c r="E5527" s="93"/>
      <c r="F5527" s="94">
        <f>ROUND(F5526*C5527,2)</f>
        <v>0</v>
      </c>
    </row>
    <row r="5528" spans="1:6" ht="12.75" customHeight="1" x14ac:dyDescent="0.2">
      <c r="A5528" s="3"/>
      <c r="B5528" s="91" t="s">
        <v>70</v>
      </c>
      <c r="C5528" s="15">
        <f>$D$8</f>
        <v>0</v>
      </c>
      <c r="D5528" s="92"/>
      <c r="E5528" s="93"/>
      <c r="F5528" s="94">
        <f>ROUND(SUM(F5526:F5527)*C5528,2)</f>
        <v>0</v>
      </c>
    </row>
    <row r="5529" spans="1:6" ht="12.75" customHeight="1" thickBot="1" x14ac:dyDescent="0.25">
      <c r="A5529" s="98"/>
      <c r="B5529" s="99" t="s">
        <v>262</v>
      </c>
      <c r="C5529" s="100"/>
      <c r="D5529" s="100"/>
      <c r="E5529" s="101"/>
      <c r="F5529" s="102">
        <f>SUM(F5526:F5528)</f>
        <v>0</v>
      </c>
    </row>
    <row r="5530" spans="1:6" ht="12.75" customHeight="1" thickBot="1" x14ac:dyDescent="0.25">
      <c r="A5530" s="81"/>
      <c r="B5530" s="82"/>
      <c r="C5530" s="83"/>
      <c r="D5530" s="83"/>
      <c r="E5530" s="84"/>
      <c r="F5530" s="103"/>
    </row>
    <row r="5531" spans="1:6" ht="30" customHeight="1" x14ac:dyDescent="0.2">
      <c r="A5531" s="5" t="str">
        <f>'A IV.A'!A164</f>
        <v>7.8</v>
      </c>
      <c r="B5531" s="416" t="str">
        <f>'A IV.A'!B164</f>
        <v>ANDAIMES METÁLICOS TIPO TORRE - MONTAGEM E DESMONTAGEM</v>
      </c>
      <c r="C5531" s="526" t="s">
        <v>269</v>
      </c>
      <c r="D5531" s="527"/>
      <c r="E5531" s="417" t="str">
        <f>'A IV.A'!$C$164</f>
        <v>M</v>
      </c>
      <c r="F5531" s="58">
        <f>ROUND(F5551+F5565+F5577,2)</f>
        <v>0</v>
      </c>
    </row>
    <row r="5532" spans="1:6" ht="12.75" customHeight="1" x14ac:dyDescent="0.2">
      <c r="A5532" s="1" t="s">
        <v>17</v>
      </c>
      <c r="B5532" s="418" t="s">
        <v>162</v>
      </c>
      <c r="C5532" s="419" t="s">
        <v>263</v>
      </c>
      <c r="D5532" s="419" t="s">
        <v>264</v>
      </c>
      <c r="E5532" s="420" t="s">
        <v>265</v>
      </c>
      <c r="F5532" s="57" t="s">
        <v>266</v>
      </c>
    </row>
    <row r="5533" spans="1:6" ht="12.75" customHeight="1" x14ac:dyDescent="0.2">
      <c r="A5533" s="6"/>
      <c r="B5533" s="421"/>
      <c r="C5533" s="114"/>
      <c r="D5533" s="757"/>
      <c r="E5533" s="85"/>
      <c r="F5533" s="59">
        <f>ROUND(C5533*E5533,2)</f>
        <v>0</v>
      </c>
    </row>
    <row r="5534" spans="1:6" ht="12.75" customHeight="1" x14ac:dyDescent="0.2">
      <c r="A5534" s="6"/>
      <c r="B5534" s="421"/>
      <c r="C5534" s="114"/>
      <c r="D5534" s="757"/>
      <c r="E5534" s="85"/>
      <c r="F5534" s="59">
        <f t="shared" ref="F5534:F5548" si="341">ROUND(C5534*E5534,2)</f>
        <v>0</v>
      </c>
    </row>
    <row r="5535" spans="1:6" ht="12.75" customHeight="1" x14ac:dyDescent="0.2">
      <c r="A5535" s="6"/>
      <c r="B5535" s="421"/>
      <c r="C5535" s="114"/>
      <c r="D5535" s="757"/>
      <c r="E5535" s="85"/>
      <c r="F5535" s="59">
        <f t="shared" si="341"/>
        <v>0</v>
      </c>
    </row>
    <row r="5536" spans="1:6" ht="12.75" customHeight="1" x14ac:dyDescent="0.2">
      <c r="A5536" s="6"/>
      <c r="B5536" s="421"/>
      <c r="C5536" s="114"/>
      <c r="D5536" s="757"/>
      <c r="E5536" s="85"/>
      <c r="F5536" s="59">
        <f t="shared" si="341"/>
        <v>0</v>
      </c>
    </row>
    <row r="5537" spans="1:6" ht="12.75" customHeight="1" x14ac:dyDescent="0.2">
      <c r="A5537" s="6"/>
      <c r="B5537" s="421"/>
      <c r="C5537" s="114"/>
      <c r="D5537" s="757"/>
      <c r="E5537" s="85"/>
      <c r="F5537" s="59">
        <f t="shared" si="341"/>
        <v>0</v>
      </c>
    </row>
    <row r="5538" spans="1:6" ht="12.75" customHeight="1" x14ac:dyDescent="0.2">
      <c r="A5538" s="6"/>
      <c r="B5538" s="421"/>
      <c r="C5538" s="114"/>
      <c r="D5538" s="757"/>
      <c r="E5538" s="85"/>
      <c r="F5538" s="59">
        <f t="shared" si="341"/>
        <v>0</v>
      </c>
    </row>
    <row r="5539" spans="1:6" ht="12.75" customHeight="1" x14ac:dyDescent="0.2">
      <c r="A5539" s="6"/>
      <c r="B5539" s="421"/>
      <c r="C5539" s="114"/>
      <c r="D5539" s="757"/>
      <c r="E5539" s="85"/>
      <c r="F5539" s="59">
        <f t="shared" si="341"/>
        <v>0</v>
      </c>
    </row>
    <row r="5540" spans="1:6" ht="12.75" customHeight="1" x14ac:dyDescent="0.2">
      <c r="A5540" s="6"/>
      <c r="B5540" s="421"/>
      <c r="C5540" s="114"/>
      <c r="D5540" s="757"/>
      <c r="E5540" s="85"/>
      <c r="F5540" s="59">
        <f t="shared" si="341"/>
        <v>0</v>
      </c>
    </row>
    <row r="5541" spans="1:6" ht="12.75" customHeight="1" x14ac:dyDescent="0.2">
      <c r="A5541" s="6"/>
      <c r="B5541" s="421"/>
      <c r="C5541" s="114"/>
      <c r="D5541" s="757"/>
      <c r="E5541" s="85"/>
      <c r="F5541" s="59">
        <f t="shared" si="341"/>
        <v>0</v>
      </c>
    </row>
    <row r="5542" spans="1:6" ht="12.75" customHeight="1" x14ac:dyDescent="0.2">
      <c r="A5542" s="6"/>
      <c r="B5542" s="421"/>
      <c r="C5542" s="114"/>
      <c r="D5542" s="757"/>
      <c r="E5542" s="85"/>
      <c r="F5542" s="59">
        <f t="shared" si="341"/>
        <v>0</v>
      </c>
    </row>
    <row r="5543" spans="1:6" ht="12.75" customHeight="1" x14ac:dyDescent="0.2">
      <c r="A5543" s="6"/>
      <c r="B5543" s="421"/>
      <c r="C5543" s="114"/>
      <c r="D5543" s="757"/>
      <c r="E5543" s="85"/>
      <c r="F5543" s="59">
        <f t="shared" si="341"/>
        <v>0</v>
      </c>
    </row>
    <row r="5544" spans="1:6" ht="12.75" customHeight="1" x14ac:dyDescent="0.2">
      <c r="A5544" s="6"/>
      <c r="B5544" s="421"/>
      <c r="C5544" s="114"/>
      <c r="D5544" s="758"/>
      <c r="E5544" s="85"/>
      <c r="F5544" s="59">
        <f t="shared" si="341"/>
        <v>0</v>
      </c>
    </row>
    <row r="5545" spans="1:6" ht="12.75" customHeight="1" x14ac:dyDescent="0.2">
      <c r="A5545" s="6"/>
      <c r="B5545" s="421"/>
      <c r="C5545" s="114"/>
      <c r="D5545" s="758"/>
      <c r="E5545" s="85"/>
      <c r="F5545" s="59">
        <f t="shared" si="341"/>
        <v>0</v>
      </c>
    </row>
    <row r="5546" spans="1:6" ht="12.75" customHeight="1" x14ac:dyDescent="0.2">
      <c r="A5546" s="6"/>
      <c r="B5546" s="421"/>
      <c r="C5546" s="114"/>
      <c r="D5546" s="758"/>
      <c r="E5546" s="85"/>
      <c r="F5546" s="59">
        <f t="shared" si="341"/>
        <v>0</v>
      </c>
    </row>
    <row r="5547" spans="1:6" ht="12.75" customHeight="1" x14ac:dyDescent="0.2">
      <c r="A5547" s="3"/>
      <c r="C5547" s="114"/>
      <c r="D5547" s="759"/>
      <c r="E5547" s="85"/>
      <c r="F5547" s="59">
        <f t="shared" si="341"/>
        <v>0</v>
      </c>
    </row>
    <row r="5548" spans="1:6" ht="12.75" customHeight="1" x14ac:dyDescent="0.2">
      <c r="A5548" s="3"/>
      <c r="C5548" s="114"/>
      <c r="D5548" s="759"/>
      <c r="E5548" s="85"/>
      <c r="F5548" s="59">
        <f t="shared" si="341"/>
        <v>0</v>
      </c>
    </row>
    <row r="5549" spans="1:6" ht="12.75" customHeight="1" x14ac:dyDescent="0.2">
      <c r="A5549" s="3"/>
      <c r="B5549" s="86" t="s">
        <v>258</v>
      </c>
      <c r="C5549" s="87"/>
      <c r="D5549" s="88"/>
      <c r="E5549" s="89"/>
      <c r="F5549" s="90">
        <f>SUM(F5533:F5548)</f>
        <v>0</v>
      </c>
    </row>
    <row r="5550" spans="1:6" ht="12.75" customHeight="1" x14ac:dyDescent="0.2">
      <c r="A5550" s="3"/>
      <c r="B5550" s="91" t="s">
        <v>70</v>
      </c>
      <c r="C5550" s="15">
        <f>$D$8</f>
        <v>0</v>
      </c>
      <c r="D5550" s="92"/>
      <c r="E5550" s="93"/>
      <c r="F5550" s="94">
        <f>ROUND(F5549*C5550,2)</f>
        <v>0</v>
      </c>
    </row>
    <row r="5551" spans="1:6" ht="12.75" customHeight="1" x14ac:dyDescent="0.2">
      <c r="A5551" s="95"/>
      <c r="B5551" s="424" t="s">
        <v>259</v>
      </c>
      <c r="C5551" s="425"/>
      <c r="D5551" s="425"/>
      <c r="E5551" s="426"/>
      <c r="F5551" s="96">
        <f>F5549+F5550</f>
        <v>0</v>
      </c>
    </row>
    <row r="5552" spans="1:6" ht="12.75" customHeight="1" x14ac:dyDescent="0.2">
      <c r="A5552" s="1" t="s">
        <v>5</v>
      </c>
      <c r="B5552" s="418" t="s">
        <v>267</v>
      </c>
      <c r="C5552" s="419" t="s">
        <v>263</v>
      </c>
      <c r="D5552" s="419" t="s">
        <v>264</v>
      </c>
      <c r="E5552" s="420" t="s">
        <v>265</v>
      </c>
      <c r="F5552" s="57" t="s">
        <v>266</v>
      </c>
    </row>
    <row r="5553" spans="1:6" ht="12.75" customHeight="1" x14ac:dyDescent="0.2">
      <c r="A5553" s="3"/>
      <c r="B5553" s="71"/>
      <c r="C5553" s="114"/>
      <c r="D5553" s="759"/>
      <c r="E5553" s="85"/>
      <c r="F5553" s="59">
        <f t="shared" ref="F5553:F5562" si="342">ROUND(C5553*E5553,2)</f>
        <v>0</v>
      </c>
    </row>
    <row r="5554" spans="1:6" ht="12.75" customHeight="1" x14ac:dyDescent="0.2">
      <c r="A5554" s="3"/>
      <c r="C5554" s="114"/>
      <c r="D5554" s="759"/>
      <c r="E5554" s="85"/>
      <c r="F5554" s="59">
        <f t="shared" si="342"/>
        <v>0</v>
      </c>
    </row>
    <row r="5555" spans="1:6" ht="12.75" customHeight="1" x14ac:dyDescent="0.2">
      <c r="A5555" s="3"/>
      <c r="C5555" s="114"/>
      <c r="D5555" s="759"/>
      <c r="E5555" s="85"/>
      <c r="F5555" s="59">
        <f t="shared" si="342"/>
        <v>0</v>
      </c>
    </row>
    <row r="5556" spans="1:6" ht="12.75" customHeight="1" x14ac:dyDescent="0.2">
      <c r="A5556" s="3"/>
      <c r="C5556" s="114"/>
      <c r="D5556" s="759"/>
      <c r="E5556" s="85"/>
      <c r="F5556" s="59">
        <f t="shared" si="342"/>
        <v>0</v>
      </c>
    </row>
    <row r="5557" spans="1:6" ht="12.75" customHeight="1" x14ac:dyDescent="0.2">
      <c r="A5557" s="3"/>
      <c r="C5557" s="114"/>
      <c r="D5557" s="759"/>
      <c r="E5557" s="85"/>
      <c r="F5557" s="59">
        <f t="shared" si="342"/>
        <v>0</v>
      </c>
    </row>
    <row r="5558" spans="1:6" ht="12.75" customHeight="1" x14ac:dyDescent="0.2">
      <c r="A5558" s="3"/>
      <c r="C5558" s="114"/>
      <c r="D5558" s="759"/>
      <c r="E5558" s="85"/>
      <c r="F5558" s="59">
        <f t="shared" si="342"/>
        <v>0</v>
      </c>
    </row>
    <row r="5559" spans="1:6" ht="12.75" customHeight="1" x14ac:dyDescent="0.2">
      <c r="A5559" s="3"/>
      <c r="C5559" s="114"/>
      <c r="D5559" s="759"/>
      <c r="E5559" s="85"/>
      <c r="F5559" s="59">
        <f t="shared" si="342"/>
        <v>0</v>
      </c>
    </row>
    <row r="5560" spans="1:6" ht="12.75" customHeight="1" x14ac:dyDescent="0.2">
      <c r="A5560" s="3"/>
      <c r="C5560" s="114"/>
      <c r="D5560" s="759"/>
      <c r="E5560" s="85"/>
      <c r="F5560" s="59">
        <f t="shared" si="342"/>
        <v>0</v>
      </c>
    </row>
    <row r="5561" spans="1:6" ht="12.75" customHeight="1" x14ac:dyDescent="0.2">
      <c r="A5561" s="3"/>
      <c r="C5561" s="114"/>
      <c r="D5561" s="759"/>
      <c r="E5561" s="85"/>
      <c r="F5561" s="59">
        <f t="shared" si="342"/>
        <v>0</v>
      </c>
    </row>
    <row r="5562" spans="1:6" ht="12.75" customHeight="1" x14ac:dyDescent="0.2">
      <c r="A5562" s="3"/>
      <c r="C5562" s="114"/>
      <c r="D5562" s="759"/>
      <c r="E5562" s="85"/>
      <c r="F5562" s="59">
        <f t="shared" si="342"/>
        <v>0</v>
      </c>
    </row>
    <row r="5563" spans="1:6" ht="12.75" customHeight="1" x14ac:dyDescent="0.2">
      <c r="A5563" s="3"/>
      <c r="B5563" s="86" t="s">
        <v>258</v>
      </c>
      <c r="C5563" s="87"/>
      <c r="D5563" s="88"/>
      <c r="E5563" s="89"/>
      <c r="F5563" s="90">
        <f>SUM(F5553:F5562)</f>
        <v>0</v>
      </c>
    </row>
    <row r="5564" spans="1:6" ht="12.75" customHeight="1" x14ac:dyDescent="0.2">
      <c r="A5564" s="3"/>
      <c r="B5564" s="91" t="s">
        <v>70</v>
      </c>
      <c r="C5564" s="15">
        <f>$D$8</f>
        <v>0</v>
      </c>
      <c r="D5564" s="92"/>
      <c r="E5564" s="93"/>
      <c r="F5564" s="94">
        <f>ROUND(C5564*F5563,2)</f>
        <v>0</v>
      </c>
    </row>
    <row r="5565" spans="1:6" ht="12.75" customHeight="1" x14ac:dyDescent="0.2">
      <c r="A5565" s="95"/>
      <c r="B5565" s="424" t="s">
        <v>260</v>
      </c>
      <c r="C5565" s="425"/>
      <c r="D5565" s="425"/>
      <c r="E5565" s="426"/>
      <c r="F5565" s="96">
        <f>F5563+F5564</f>
        <v>0</v>
      </c>
    </row>
    <row r="5566" spans="1:6" ht="12.75" customHeight="1" x14ac:dyDescent="0.2">
      <c r="A5566" s="97" t="s">
        <v>54</v>
      </c>
      <c r="B5566" s="427" t="s">
        <v>268</v>
      </c>
      <c r="C5566" s="428" t="s">
        <v>263</v>
      </c>
      <c r="D5566" s="429" t="s">
        <v>264</v>
      </c>
      <c r="E5566" s="430" t="s">
        <v>265</v>
      </c>
      <c r="F5566" s="57" t="s">
        <v>266</v>
      </c>
    </row>
    <row r="5567" spans="1:6" ht="12.75" customHeight="1" x14ac:dyDescent="0.2">
      <c r="A5567" s="3" t="str">
        <f>'A VII.'!$A$196</f>
        <v>3.16</v>
      </c>
      <c r="B5567" s="74" t="s">
        <v>189</v>
      </c>
      <c r="C5567" s="114">
        <v>0.5</v>
      </c>
      <c r="D5567" s="759" t="str">
        <f>VLOOKUP(A5567,'A VII.'!$A$10:$D$199,3,FALSE)</f>
        <v>H</v>
      </c>
      <c r="E5567" s="85">
        <f>'A VII.'!$D$196</f>
        <v>0</v>
      </c>
      <c r="F5567" s="59">
        <f t="shared" ref="F5567:F5573" si="343">ROUND(C5567*E5567,2)</f>
        <v>0</v>
      </c>
    </row>
    <row r="5568" spans="1:6" ht="12.75" customHeight="1" x14ac:dyDescent="0.2">
      <c r="A5568" s="3"/>
      <c r="C5568" s="114"/>
      <c r="D5568" s="759"/>
      <c r="E5568" s="85"/>
      <c r="F5568" s="59">
        <f t="shared" si="343"/>
        <v>0</v>
      </c>
    </row>
    <row r="5569" spans="1:6" ht="12.75" customHeight="1" x14ac:dyDescent="0.2">
      <c r="A5569" s="3"/>
      <c r="C5569" s="114"/>
      <c r="D5569" s="759"/>
      <c r="E5569" s="85"/>
      <c r="F5569" s="59">
        <f t="shared" si="343"/>
        <v>0</v>
      </c>
    </row>
    <row r="5570" spans="1:6" ht="12.75" customHeight="1" x14ac:dyDescent="0.2">
      <c r="A5570" s="3"/>
      <c r="C5570" s="114"/>
      <c r="D5570" s="759"/>
      <c r="E5570" s="85"/>
      <c r="F5570" s="59">
        <f t="shared" si="343"/>
        <v>0</v>
      </c>
    </row>
    <row r="5571" spans="1:6" ht="12.75" customHeight="1" x14ac:dyDescent="0.2">
      <c r="A5571" s="3"/>
      <c r="C5571" s="114"/>
      <c r="D5571" s="759"/>
      <c r="E5571" s="85"/>
      <c r="F5571" s="59">
        <f t="shared" si="343"/>
        <v>0</v>
      </c>
    </row>
    <row r="5572" spans="1:6" ht="12.75" customHeight="1" x14ac:dyDescent="0.2">
      <c r="A5572" s="3"/>
      <c r="C5572" s="114"/>
      <c r="D5572" s="759"/>
      <c r="E5572" s="85"/>
      <c r="F5572" s="59">
        <f t="shared" si="343"/>
        <v>0</v>
      </c>
    </row>
    <row r="5573" spans="1:6" ht="12.75" customHeight="1" x14ac:dyDescent="0.2">
      <c r="A5573" s="3"/>
      <c r="C5573" s="114"/>
      <c r="D5573" s="759"/>
      <c r="E5573" s="85"/>
      <c r="F5573" s="59">
        <f t="shared" si="343"/>
        <v>0</v>
      </c>
    </row>
    <row r="5574" spans="1:6" ht="12.75" customHeight="1" x14ac:dyDescent="0.2">
      <c r="A5574" s="3"/>
      <c r="B5574" s="86" t="s">
        <v>258</v>
      </c>
      <c r="C5574" s="87"/>
      <c r="D5574" s="88"/>
      <c r="E5574" s="89"/>
      <c r="F5574" s="90">
        <f>SUM(F5567:F5573)</f>
        <v>0</v>
      </c>
    </row>
    <row r="5575" spans="1:6" ht="12.75" customHeight="1" x14ac:dyDescent="0.2">
      <c r="A5575" s="3"/>
      <c r="B5575" s="91" t="s">
        <v>261</v>
      </c>
      <c r="C5575" s="15">
        <f>'A IX.'!$C$45</f>
        <v>0</v>
      </c>
      <c r="D5575" s="92"/>
      <c r="E5575" s="93"/>
      <c r="F5575" s="94">
        <f>ROUND(F5574*C5575,2)</f>
        <v>0</v>
      </c>
    </row>
    <row r="5576" spans="1:6" ht="12.75" customHeight="1" x14ac:dyDescent="0.2">
      <c r="A5576" s="3"/>
      <c r="B5576" s="91" t="s">
        <v>70</v>
      </c>
      <c r="C5576" s="15">
        <f>$D$8</f>
        <v>0</v>
      </c>
      <c r="D5576" s="92"/>
      <c r="E5576" s="93"/>
      <c r="F5576" s="94">
        <f>ROUND(SUM(F5574:F5575)*C5576,2)</f>
        <v>0</v>
      </c>
    </row>
    <row r="5577" spans="1:6" ht="12.75" customHeight="1" thickBot="1" x14ac:dyDescent="0.25">
      <c r="A5577" s="98"/>
      <c r="B5577" s="99" t="s">
        <v>262</v>
      </c>
      <c r="C5577" s="100"/>
      <c r="D5577" s="100"/>
      <c r="E5577" s="101"/>
      <c r="F5577" s="102">
        <f>SUM(F5574:F5576)</f>
        <v>0</v>
      </c>
    </row>
    <row r="5578" spans="1:6" ht="12.75" customHeight="1" thickBot="1" x14ac:dyDescent="0.25">
      <c r="A5578" s="252"/>
      <c r="B5578" s="253"/>
      <c r="C5578" s="254"/>
      <c r="D5578" s="254"/>
      <c r="E5578" s="255"/>
      <c r="F5578" s="256"/>
    </row>
    <row r="5579" spans="1:6" ht="30" customHeight="1" x14ac:dyDescent="0.2">
      <c r="A5579" s="5" t="str">
        <f>'A IV.A'!A165</f>
        <v>7.9</v>
      </c>
      <c r="B5579" s="438" t="str">
        <f>'A IV.A'!B165</f>
        <v>CORTE COM SERRA CLIPPER EM PISO CIMENTADO OU PAVIMENTAÇÃO ASFÁLTICA</v>
      </c>
      <c r="C5579" s="526" t="s">
        <v>269</v>
      </c>
      <c r="D5579" s="527"/>
      <c r="E5579" s="417" t="str">
        <f>'A IV.A'!$C$165</f>
        <v>M</v>
      </c>
      <c r="F5579" s="58">
        <f>ROUND(F5599+F5613+F5625,2)</f>
        <v>0</v>
      </c>
    </row>
    <row r="5580" spans="1:6" ht="12.75" customHeight="1" x14ac:dyDescent="0.2">
      <c r="A5580" s="1" t="s">
        <v>17</v>
      </c>
      <c r="B5580" s="418" t="s">
        <v>162</v>
      </c>
      <c r="C5580" s="419" t="s">
        <v>263</v>
      </c>
      <c r="D5580" s="419" t="s">
        <v>264</v>
      </c>
      <c r="E5580" s="420" t="s">
        <v>265</v>
      </c>
      <c r="F5580" s="57" t="s">
        <v>266</v>
      </c>
    </row>
    <row r="5581" spans="1:6" ht="12.75" customHeight="1" x14ac:dyDescent="0.2">
      <c r="A5581" s="6"/>
      <c r="B5581" s="421"/>
      <c r="C5581" s="114"/>
      <c r="D5581" s="757"/>
      <c r="E5581" s="85"/>
      <c r="F5581" s="59">
        <f>ROUND(C5581*E5581,2)</f>
        <v>0</v>
      </c>
    </row>
    <row r="5582" spans="1:6" ht="12.75" customHeight="1" x14ac:dyDescent="0.2">
      <c r="A5582" s="6"/>
      <c r="B5582" s="421"/>
      <c r="C5582" s="114"/>
      <c r="D5582" s="757"/>
      <c r="E5582" s="85"/>
      <c r="F5582" s="59">
        <f t="shared" ref="F5582:F5596" si="344">ROUND(C5582*E5582,2)</f>
        <v>0</v>
      </c>
    </row>
    <row r="5583" spans="1:6" ht="12.75" customHeight="1" x14ac:dyDescent="0.2">
      <c r="A5583" s="6"/>
      <c r="B5583" s="421"/>
      <c r="C5583" s="114"/>
      <c r="D5583" s="757"/>
      <c r="E5583" s="85"/>
      <c r="F5583" s="59">
        <f t="shared" si="344"/>
        <v>0</v>
      </c>
    </row>
    <row r="5584" spans="1:6" ht="12.75" customHeight="1" x14ac:dyDescent="0.2">
      <c r="A5584" s="6"/>
      <c r="B5584" s="421"/>
      <c r="C5584" s="114"/>
      <c r="D5584" s="757"/>
      <c r="E5584" s="85"/>
      <c r="F5584" s="59">
        <f t="shared" si="344"/>
        <v>0</v>
      </c>
    </row>
    <row r="5585" spans="1:6" ht="12.75" customHeight="1" x14ac:dyDescent="0.2">
      <c r="A5585" s="6"/>
      <c r="B5585" s="421"/>
      <c r="C5585" s="114"/>
      <c r="D5585" s="757"/>
      <c r="E5585" s="85"/>
      <c r="F5585" s="59">
        <f t="shared" si="344"/>
        <v>0</v>
      </c>
    </row>
    <row r="5586" spans="1:6" ht="12.75" customHeight="1" x14ac:dyDescent="0.2">
      <c r="A5586" s="6"/>
      <c r="B5586" s="421"/>
      <c r="C5586" s="114"/>
      <c r="D5586" s="757"/>
      <c r="E5586" s="85"/>
      <c r="F5586" s="59">
        <f t="shared" si="344"/>
        <v>0</v>
      </c>
    </row>
    <row r="5587" spans="1:6" ht="12.75" customHeight="1" x14ac:dyDescent="0.2">
      <c r="A5587" s="6"/>
      <c r="B5587" s="421"/>
      <c r="C5587" s="114"/>
      <c r="D5587" s="757"/>
      <c r="E5587" s="85"/>
      <c r="F5587" s="59">
        <f t="shared" si="344"/>
        <v>0</v>
      </c>
    </row>
    <row r="5588" spans="1:6" ht="12.75" customHeight="1" x14ac:dyDescent="0.2">
      <c r="A5588" s="6"/>
      <c r="B5588" s="421"/>
      <c r="C5588" s="114"/>
      <c r="D5588" s="757"/>
      <c r="E5588" s="85"/>
      <c r="F5588" s="59">
        <f t="shared" si="344"/>
        <v>0</v>
      </c>
    </row>
    <row r="5589" spans="1:6" ht="12.75" customHeight="1" x14ac:dyDescent="0.2">
      <c r="A5589" s="6"/>
      <c r="B5589" s="421"/>
      <c r="C5589" s="114"/>
      <c r="D5589" s="757"/>
      <c r="E5589" s="85"/>
      <c r="F5589" s="59">
        <f t="shared" si="344"/>
        <v>0</v>
      </c>
    </row>
    <row r="5590" spans="1:6" ht="12.75" customHeight="1" x14ac:dyDescent="0.2">
      <c r="A5590" s="6"/>
      <c r="B5590" s="421"/>
      <c r="C5590" s="114"/>
      <c r="D5590" s="757"/>
      <c r="E5590" s="85"/>
      <c r="F5590" s="59">
        <f t="shared" si="344"/>
        <v>0</v>
      </c>
    </row>
    <row r="5591" spans="1:6" ht="12.75" customHeight="1" x14ac:dyDescent="0.2">
      <c r="A5591" s="6"/>
      <c r="B5591" s="421"/>
      <c r="C5591" s="114"/>
      <c r="D5591" s="757"/>
      <c r="E5591" s="85"/>
      <c r="F5591" s="59">
        <f t="shared" si="344"/>
        <v>0</v>
      </c>
    </row>
    <row r="5592" spans="1:6" ht="12.75" customHeight="1" x14ac:dyDescent="0.2">
      <c r="A5592" s="6"/>
      <c r="B5592" s="421"/>
      <c r="C5592" s="114"/>
      <c r="D5592" s="758"/>
      <c r="E5592" s="85"/>
      <c r="F5592" s="59">
        <f t="shared" si="344"/>
        <v>0</v>
      </c>
    </row>
    <row r="5593" spans="1:6" ht="12.75" customHeight="1" x14ac:dyDescent="0.2">
      <c r="A5593" s="6"/>
      <c r="B5593" s="421"/>
      <c r="C5593" s="114"/>
      <c r="D5593" s="758"/>
      <c r="E5593" s="85"/>
      <c r="F5593" s="59">
        <f t="shared" si="344"/>
        <v>0</v>
      </c>
    </row>
    <row r="5594" spans="1:6" ht="12.75" customHeight="1" x14ac:dyDescent="0.2">
      <c r="A5594" s="6"/>
      <c r="B5594" s="421"/>
      <c r="C5594" s="114"/>
      <c r="D5594" s="758"/>
      <c r="E5594" s="85"/>
      <c r="F5594" s="59">
        <f t="shared" si="344"/>
        <v>0</v>
      </c>
    </row>
    <row r="5595" spans="1:6" ht="12.75" customHeight="1" x14ac:dyDescent="0.2">
      <c r="A5595" s="3"/>
      <c r="C5595" s="114"/>
      <c r="D5595" s="759"/>
      <c r="E5595" s="85"/>
      <c r="F5595" s="59">
        <f t="shared" si="344"/>
        <v>0</v>
      </c>
    </row>
    <row r="5596" spans="1:6" ht="12.75" customHeight="1" x14ac:dyDescent="0.2">
      <c r="A5596" s="3"/>
      <c r="C5596" s="114"/>
      <c r="D5596" s="759"/>
      <c r="E5596" s="85"/>
      <c r="F5596" s="59">
        <f t="shared" si="344"/>
        <v>0</v>
      </c>
    </row>
    <row r="5597" spans="1:6" ht="12.75" customHeight="1" x14ac:dyDescent="0.2">
      <c r="A5597" s="3"/>
      <c r="B5597" s="86" t="s">
        <v>258</v>
      </c>
      <c r="C5597" s="87"/>
      <c r="D5597" s="88"/>
      <c r="E5597" s="89"/>
      <c r="F5597" s="90">
        <f>SUM(F5581:F5596)</f>
        <v>0</v>
      </c>
    </row>
    <row r="5598" spans="1:6" ht="12.75" customHeight="1" x14ac:dyDescent="0.2">
      <c r="A5598" s="3"/>
      <c r="B5598" s="91" t="s">
        <v>70</v>
      </c>
      <c r="C5598" s="15">
        <f>$D$8</f>
        <v>0</v>
      </c>
      <c r="D5598" s="92"/>
      <c r="E5598" s="93"/>
      <c r="F5598" s="94">
        <f>ROUND(F5597*C5598,2)</f>
        <v>0</v>
      </c>
    </row>
    <row r="5599" spans="1:6" ht="12.75" customHeight="1" x14ac:dyDescent="0.2">
      <c r="A5599" s="95"/>
      <c r="B5599" s="424" t="s">
        <v>259</v>
      </c>
      <c r="C5599" s="425"/>
      <c r="D5599" s="425"/>
      <c r="E5599" s="426"/>
      <c r="F5599" s="96">
        <f>F5597+F5598</f>
        <v>0</v>
      </c>
    </row>
    <row r="5600" spans="1:6" ht="12.75" customHeight="1" x14ac:dyDescent="0.2">
      <c r="A5600" s="1" t="s">
        <v>5</v>
      </c>
      <c r="B5600" s="418" t="s">
        <v>267</v>
      </c>
      <c r="C5600" s="419" t="s">
        <v>263</v>
      </c>
      <c r="D5600" s="419" t="s">
        <v>264</v>
      </c>
      <c r="E5600" s="420" t="s">
        <v>265</v>
      </c>
      <c r="F5600" s="57" t="s">
        <v>266</v>
      </c>
    </row>
    <row r="5601" spans="1:6" ht="12.75" customHeight="1" x14ac:dyDescent="0.2">
      <c r="A5601" s="3" t="str">
        <f>'A VII.'!$A$156</f>
        <v>2.14</v>
      </c>
      <c r="B5601" s="71" t="str">
        <f>VLOOKUP(A5601,'A VII.'!$A$10:$D$199,2,FALSE)</f>
        <v>CORTADORA DE PISO A GASOLINA, 13 HP, COM DISCO DE CORTE DIAMANTADO PARA CONCRETO Ø 350MM - CHP</v>
      </c>
      <c r="C5601" s="114">
        <v>0.1</v>
      </c>
      <c r="D5601" s="759" t="str">
        <f>VLOOKUP(A5601,'A VII.'!$A$10:$D$199,3,FALSE)</f>
        <v>CHP</v>
      </c>
      <c r="E5601" s="85">
        <f>VLOOKUP(A5601,'A VII.'!$A$10:$D$199,4,FALSE)</f>
        <v>0</v>
      </c>
      <c r="F5601" s="59">
        <f t="shared" ref="F5601:F5610" si="345">ROUND(C5601*E5601,2)</f>
        <v>0</v>
      </c>
    </row>
    <row r="5602" spans="1:6" ht="12.75" customHeight="1" x14ac:dyDescent="0.2">
      <c r="A5602" s="3"/>
      <c r="C5602" s="114"/>
      <c r="D5602" s="759"/>
      <c r="E5602" s="85"/>
      <c r="F5602" s="59">
        <f t="shared" si="345"/>
        <v>0</v>
      </c>
    </row>
    <row r="5603" spans="1:6" ht="12.75" customHeight="1" x14ac:dyDescent="0.2">
      <c r="A5603" s="3"/>
      <c r="C5603" s="114"/>
      <c r="D5603" s="759"/>
      <c r="E5603" s="85"/>
      <c r="F5603" s="59">
        <f t="shared" si="345"/>
        <v>0</v>
      </c>
    </row>
    <row r="5604" spans="1:6" ht="12.75" customHeight="1" x14ac:dyDescent="0.2">
      <c r="A5604" s="3"/>
      <c r="C5604" s="114"/>
      <c r="D5604" s="759"/>
      <c r="E5604" s="85"/>
      <c r="F5604" s="59">
        <f t="shared" si="345"/>
        <v>0</v>
      </c>
    </row>
    <row r="5605" spans="1:6" ht="12.75" customHeight="1" x14ac:dyDescent="0.2">
      <c r="A5605" s="3"/>
      <c r="C5605" s="114"/>
      <c r="D5605" s="759"/>
      <c r="E5605" s="85"/>
      <c r="F5605" s="59">
        <f t="shared" si="345"/>
        <v>0</v>
      </c>
    </row>
    <row r="5606" spans="1:6" ht="12.75" customHeight="1" x14ac:dyDescent="0.2">
      <c r="A5606" s="3"/>
      <c r="C5606" s="114"/>
      <c r="D5606" s="759"/>
      <c r="E5606" s="85"/>
      <c r="F5606" s="59">
        <f t="shared" si="345"/>
        <v>0</v>
      </c>
    </row>
    <row r="5607" spans="1:6" ht="12.75" customHeight="1" x14ac:dyDescent="0.2">
      <c r="A5607" s="3"/>
      <c r="C5607" s="114"/>
      <c r="D5607" s="759"/>
      <c r="E5607" s="85"/>
      <c r="F5607" s="59">
        <f t="shared" si="345"/>
        <v>0</v>
      </c>
    </row>
    <row r="5608" spans="1:6" ht="12.75" customHeight="1" x14ac:dyDescent="0.2">
      <c r="A5608" s="3"/>
      <c r="C5608" s="114"/>
      <c r="D5608" s="759"/>
      <c r="E5608" s="85"/>
      <c r="F5608" s="59">
        <f t="shared" si="345"/>
        <v>0</v>
      </c>
    </row>
    <row r="5609" spans="1:6" ht="12.75" customHeight="1" x14ac:dyDescent="0.2">
      <c r="A5609" s="3"/>
      <c r="C5609" s="114"/>
      <c r="D5609" s="759"/>
      <c r="E5609" s="85"/>
      <c r="F5609" s="59">
        <f t="shared" si="345"/>
        <v>0</v>
      </c>
    </row>
    <row r="5610" spans="1:6" ht="12.75" customHeight="1" x14ac:dyDescent="0.2">
      <c r="A5610" s="3"/>
      <c r="C5610" s="114"/>
      <c r="D5610" s="759"/>
      <c r="E5610" s="85"/>
      <c r="F5610" s="59">
        <f t="shared" si="345"/>
        <v>0</v>
      </c>
    </row>
    <row r="5611" spans="1:6" ht="12.75" customHeight="1" x14ac:dyDescent="0.2">
      <c r="A5611" s="3"/>
      <c r="B5611" s="86" t="s">
        <v>258</v>
      </c>
      <c r="C5611" s="87"/>
      <c r="D5611" s="88"/>
      <c r="E5611" s="89"/>
      <c r="F5611" s="90">
        <f>SUM(F5601:F5610)</f>
        <v>0</v>
      </c>
    </row>
    <row r="5612" spans="1:6" ht="12.75" customHeight="1" x14ac:dyDescent="0.2">
      <c r="A5612" s="3"/>
      <c r="B5612" s="91" t="s">
        <v>70</v>
      </c>
      <c r="C5612" s="15">
        <f>$D$8</f>
        <v>0</v>
      </c>
      <c r="D5612" s="92"/>
      <c r="E5612" s="93"/>
      <c r="F5612" s="94">
        <f>ROUND(C5612*F5611,2)</f>
        <v>0</v>
      </c>
    </row>
    <row r="5613" spans="1:6" ht="12.75" customHeight="1" x14ac:dyDescent="0.2">
      <c r="A5613" s="95"/>
      <c r="B5613" s="424" t="s">
        <v>260</v>
      </c>
      <c r="C5613" s="425"/>
      <c r="D5613" s="425"/>
      <c r="E5613" s="426"/>
      <c r="F5613" s="96">
        <f>F5611+F5612</f>
        <v>0</v>
      </c>
    </row>
    <row r="5614" spans="1:6" ht="12.75" customHeight="1" x14ac:dyDescent="0.2">
      <c r="A5614" s="97" t="s">
        <v>54</v>
      </c>
      <c r="B5614" s="427" t="s">
        <v>268</v>
      </c>
      <c r="C5614" s="428" t="s">
        <v>263</v>
      </c>
      <c r="D5614" s="429" t="s">
        <v>264</v>
      </c>
      <c r="E5614" s="430" t="s">
        <v>265</v>
      </c>
      <c r="F5614" s="57" t="s">
        <v>266</v>
      </c>
    </row>
    <row r="5615" spans="1:6" ht="12.75" customHeight="1" x14ac:dyDescent="0.2">
      <c r="A5615" s="3" t="str">
        <f>'A VII.'!$A$196</f>
        <v>3.16</v>
      </c>
      <c r="B5615" s="71" t="str">
        <f>VLOOKUP(A5615,'A VII.'!$A$10:$D$199,2,FALSE)</f>
        <v>SERVENTE COM ENCARGOS COMPLEMENTARES</v>
      </c>
      <c r="C5615" s="114">
        <v>0.1</v>
      </c>
      <c r="D5615" s="759" t="str">
        <f>VLOOKUP(A5615,'A VII.'!$A$10:$D$199,3,FALSE)</f>
        <v>H</v>
      </c>
      <c r="E5615" s="85">
        <f>VLOOKUP(A5615,'A VII.'!$A$10:$D$199,4,FALSE)</f>
        <v>0</v>
      </c>
      <c r="F5615" s="59">
        <f t="shared" ref="F5615:F5621" si="346">ROUND(C5615*E5615,2)</f>
        <v>0</v>
      </c>
    </row>
    <row r="5616" spans="1:6" ht="12.75" customHeight="1" x14ac:dyDescent="0.2">
      <c r="A5616" s="3"/>
      <c r="C5616" s="114"/>
      <c r="D5616" s="759"/>
      <c r="E5616" s="85"/>
      <c r="F5616" s="59">
        <f t="shared" si="346"/>
        <v>0</v>
      </c>
    </row>
    <row r="5617" spans="1:6" ht="12.75" customHeight="1" x14ac:dyDescent="0.2">
      <c r="A5617" s="3"/>
      <c r="C5617" s="114"/>
      <c r="D5617" s="759"/>
      <c r="E5617" s="85"/>
      <c r="F5617" s="59">
        <f t="shared" si="346"/>
        <v>0</v>
      </c>
    </row>
    <row r="5618" spans="1:6" ht="12.75" customHeight="1" x14ac:dyDescent="0.2">
      <c r="A5618" s="3"/>
      <c r="C5618" s="114"/>
      <c r="D5618" s="759"/>
      <c r="E5618" s="85"/>
      <c r="F5618" s="59">
        <f t="shared" si="346"/>
        <v>0</v>
      </c>
    </row>
    <row r="5619" spans="1:6" ht="12.75" customHeight="1" x14ac:dyDescent="0.2">
      <c r="A5619" s="3"/>
      <c r="C5619" s="114"/>
      <c r="D5619" s="759"/>
      <c r="E5619" s="85"/>
      <c r="F5619" s="59">
        <f t="shared" si="346"/>
        <v>0</v>
      </c>
    </row>
    <row r="5620" spans="1:6" ht="12.75" customHeight="1" x14ac:dyDescent="0.2">
      <c r="A5620" s="3"/>
      <c r="C5620" s="114"/>
      <c r="D5620" s="759"/>
      <c r="E5620" s="85"/>
      <c r="F5620" s="59">
        <f t="shared" si="346"/>
        <v>0</v>
      </c>
    </row>
    <row r="5621" spans="1:6" ht="12.75" customHeight="1" x14ac:dyDescent="0.2">
      <c r="A5621" s="3"/>
      <c r="C5621" s="114"/>
      <c r="D5621" s="759"/>
      <c r="E5621" s="85"/>
      <c r="F5621" s="59">
        <f t="shared" si="346"/>
        <v>0</v>
      </c>
    </row>
    <row r="5622" spans="1:6" ht="12.75" customHeight="1" x14ac:dyDescent="0.2">
      <c r="A5622" s="3"/>
      <c r="B5622" s="86" t="s">
        <v>258</v>
      </c>
      <c r="C5622" s="87"/>
      <c r="D5622" s="88"/>
      <c r="E5622" s="89"/>
      <c r="F5622" s="90">
        <f>SUM(F5615:F5621)</f>
        <v>0</v>
      </c>
    </row>
    <row r="5623" spans="1:6" ht="12.75" customHeight="1" x14ac:dyDescent="0.2">
      <c r="A5623" s="3"/>
      <c r="B5623" s="91" t="s">
        <v>261</v>
      </c>
      <c r="C5623" s="15">
        <f>'A IX.'!$C$45</f>
        <v>0</v>
      </c>
      <c r="D5623" s="92"/>
      <c r="E5623" s="93"/>
      <c r="F5623" s="94">
        <f>ROUND(F5622*C5623,2)</f>
        <v>0</v>
      </c>
    </row>
    <row r="5624" spans="1:6" ht="12.75" customHeight="1" x14ac:dyDescent="0.2">
      <c r="A5624" s="3"/>
      <c r="B5624" s="91" t="s">
        <v>70</v>
      </c>
      <c r="C5624" s="15">
        <f>$D$8</f>
        <v>0</v>
      </c>
      <c r="D5624" s="92"/>
      <c r="E5624" s="93"/>
      <c r="F5624" s="94">
        <f>ROUND(SUM(F5622:F5623)*C5624,2)</f>
        <v>0</v>
      </c>
    </row>
    <row r="5625" spans="1:6" ht="12.75" customHeight="1" thickBot="1" x14ac:dyDescent="0.25">
      <c r="A5625" s="98"/>
      <c r="B5625" s="99" t="s">
        <v>262</v>
      </c>
      <c r="C5625" s="100"/>
      <c r="D5625" s="100"/>
      <c r="E5625" s="101"/>
      <c r="F5625" s="102">
        <f>SUM(F5622:F5624)</f>
        <v>0</v>
      </c>
    </row>
    <row r="5626" spans="1:6" ht="12.75" customHeight="1" thickBot="1" x14ac:dyDescent="0.25">
      <c r="A5626" s="252"/>
      <c r="B5626" s="253"/>
      <c r="C5626" s="254"/>
      <c r="D5626" s="254"/>
      <c r="E5626" s="255"/>
      <c r="F5626" s="256"/>
    </row>
    <row r="5627" spans="1:6" ht="30" customHeight="1" x14ac:dyDescent="0.2">
      <c r="A5627" s="5" t="str">
        <f>'A IV.A'!A166</f>
        <v>7.10</v>
      </c>
      <c r="B5627" s="416" t="str">
        <f>'A IV.A'!B166</f>
        <v>ALUGUEL DE GERADOR 15 KVA, BIVOLT</v>
      </c>
      <c r="C5627" s="526" t="s">
        <v>269</v>
      </c>
      <c r="D5627" s="527"/>
      <c r="E5627" s="417" t="str">
        <f>'A IV.A'!C166</f>
        <v>UND.MÊS</v>
      </c>
      <c r="F5627" s="58">
        <f>ROUND(F5647+F5661+F5673,2)</f>
        <v>0</v>
      </c>
    </row>
    <row r="5628" spans="1:6" ht="12.75" customHeight="1" x14ac:dyDescent="0.2">
      <c r="A5628" s="1" t="s">
        <v>17</v>
      </c>
      <c r="B5628" s="418" t="s">
        <v>162</v>
      </c>
      <c r="C5628" s="419" t="s">
        <v>263</v>
      </c>
      <c r="D5628" s="419" t="s">
        <v>264</v>
      </c>
      <c r="E5628" s="420" t="s">
        <v>265</v>
      </c>
      <c r="F5628" s="57" t="s">
        <v>266</v>
      </c>
    </row>
    <row r="5629" spans="1:6" ht="12.75" customHeight="1" x14ac:dyDescent="0.2">
      <c r="A5629" s="6"/>
      <c r="B5629" s="71" t="str">
        <f>IF(A5629="","",VLOOKUP(A5629,'A VII.'!$A$10:$D$199,2,FALSE))</f>
        <v/>
      </c>
      <c r="C5629" s="114"/>
      <c r="D5629" s="759" t="str">
        <f>IF(A5629="","",VLOOKUP(A5629,'A VII.'!$A$10:$D$199,3,FALSE))</f>
        <v/>
      </c>
      <c r="E5629" s="85" t="str">
        <f>IF(A5629="","",VLOOKUP(A5629,'A VII.'!$A$10:$D$199,4,FALSE))</f>
        <v/>
      </c>
      <c r="F5629" s="59" t="str">
        <f>IF(A5629="","",ROUND(C5629*E5629,2))</f>
        <v/>
      </c>
    </row>
    <row r="5630" spans="1:6" ht="12.75" customHeight="1" x14ac:dyDescent="0.2">
      <c r="A5630" s="6"/>
      <c r="B5630" s="71"/>
      <c r="C5630" s="114"/>
      <c r="D5630" s="759" t="str">
        <f>IF(A5630="","",VLOOKUP(A5630,'A VII.'!$A$10:$D$199,3,FALSE))</f>
        <v/>
      </c>
      <c r="E5630" s="85" t="str">
        <f>IF(A5630="","",VLOOKUP(A5630,'A VII.'!$A$10:$D$199,4,FALSE))</f>
        <v/>
      </c>
      <c r="F5630" s="59" t="str">
        <f t="shared" ref="F5630:F5644" si="347">IF(A5630="","",ROUND(C5630*E5630,2))</f>
        <v/>
      </c>
    </row>
    <row r="5631" spans="1:6" ht="12.75" customHeight="1" x14ac:dyDescent="0.2">
      <c r="A5631" s="6"/>
      <c r="B5631" s="71"/>
      <c r="C5631" s="114"/>
      <c r="D5631" s="759" t="str">
        <f>IF(A5631="","",VLOOKUP(A5631,'A VII.'!$A$10:$D$199,3,FALSE))</f>
        <v/>
      </c>
      <c r="E5631" s="85" t="str">
        <f>IF(A5631="","",VLOOKUP(A5631,'A VII.'!$A$10:$D$199,4,FALSE))</f>
        <v/>
      </c>
      <c r="F5631" s="59" t="str">
        <f t="shared" si="347"/>
        <v/>
      </c>
    </row>
    <row r="5632" spans="1:6" ht="12.75" customHeight="1" x14ac:dyDescent="0.2">
      <c r="A5632" s="6"/>
      <c r="B5632" s="71"/>
      <c r="C5632" s="114"/>
      <c r="D5632" s="759" t="str">
        <f>IF(A5632="","",VLOOKUP(A5632,'A VII.'!$A$10:$D$199,3,FALSE))</f>
        <v/>
      </c>
      <c r="E5632" s="85" t="str">
        <f>IF(A5632="","",VLOOKUP(A5632,'A VII.'!$A$10:$D$199,4,FALSE))</f>
        <v/>
      </c>
      <c r="F5632" s="59" t="str">
        <f t="shared" si="347"/>
        <v/>
      </c>
    </row>
    <row r="5633" spans="1:6" ht="12.75" customHeight="1" x14ac:dyDescent="0.2">
      <c r="A5633" s="6"/>
      <c r="B5633" s="421"/>
      <c r="C5633" s="114"/>
      <c r="D5633" s="759" t="str">
        <f>IF(A5633="","",VLOOKUP(A5633,'A VII.'!$A$10:$D$199,3,FALSE))</f>
        <v/>
      </c>
      <c r="E5633" s="85" t="str">
        <f>IF(A5633="","",VLOOKUP(A5633,'A VII.'!$A$10:$D$199,4,FALSE))</f>
        <v/>
      </c>
      <c r="F5633" s="59" t="str">
        <f t="shared" si="347"/>
        <v/>
      </c>
    </row>
    <row r="5634" spans="1:6" ht="12.75" customHeight="1" x14ac:dyDescent="0.2">
      <c r="A5634" s="6"/>
      <c r="B5634" s="421"/>
      <c r="C5634" s="114"/>
      <c r="D5634" s="759" t="str">
        <f>IF(A5634="","",VLOOKUP(A5634,'A VII.'!$A$10:$D$199,3,FALSE))</f>
        <v/>
      </c>
      <c r="E5634" s="85" t="str">
        <f>IF(A5634="","",VLOOKUP(A5634,'A VII.'!$A$10:$D$199,4,FALSE))</f>
        <v/>
      </c>
      <c r="F5634" s="59" t="str">
        <f t="shared" si="347"/>
        <v/>
      </c>
    </row>
    <row r="5635" spans="1:6" ht="12.75" customHeight="1" x14ac:dyDescent="0.2">
      <c r="A5635" s="6"/>
      <c r="B5635" s="421"/>
      <c r="C5635" s="114"/>
      <c r="D5635" s="759" t="str">
        <f>IF(A5635="","",VLOOKUP(A5635,'A VII.'!$A$10:$D$199,3,FALSE))</f>
        <v/>
      </c>
      <c r="E5635" s="85" t="str">
        <f>IF(A5635="","",VLOOKUP(A5635,'A VII.'!$A$10:$D$199,4,FALSE))</f>
        <v/>
      </c>
      <c r="F5635" s="59" t="str">
        <f t="shared" si="347"/>
        <v/>
      </c>
    </row>
    <row r="5636" spans="1:6" ht="12.75" customHeight="1" x14ac:dyDescent="0.2">
      <c r="A5636" s="6"/>
      <c r="B5636" s="421"/>
      <c r="C5636" s="114"/>
      <c r="D5636" s="759" t="str">
        <f>IF(A5636="","",VLOOKUP(A5636,'A VII.'!$A$10:$D$199,3,FALSE))</f>
        <v/>
      </c>
      <c r="E5636" s="85" t="str">
        <f>IF(A5636="","",VLOOKUP(A5636,'A VII.'!$A$10:$D$199,4,FALSE))</f>
        <v/>
      </c>
      <c r="F5636" s="59" t="str">
        <f t="shared" si="347"/>
        <v/>
      </c>
    </row>
    <row r="5637" spans="1:6" ht="12.75" customHeight="1" x14ac:dyDescent="0.2">
      <c r="A5637" s="6"/>
      <c r="B5637" s="421"/>
      <c r="C5637" s="114"/>
      <c r="D5637" s="759" t="str">
        <f>IF(A5637="","",VLOOKUP(A5637,'A VII.'!$A$10:$D$199,3,FALSE))</f>
        <v/>
      </c>
      <c r="E5637" s="85" t="str">
        <f>IF(A5637="","",VLOOKUP(A5637,'A VII.'!$A$10:$D$199,4,FALSE))</f>
        <v/>
      </c>
      <c r="F5637" s="59" t="str">
        <f t="shared" si="347"/>
        <v/>
      </c>
    </row>
    <row r="5638" spans="1:6" ht="12.75" customHeight="1" x14ac:dyDescent="0.2">
      <c r="A5638" s="6"/>
      <c r="B5638" s="421"/>
      <c r="C5638" s="114"/>
      <c r="D5638" s="759" t="str">
        <f>IF(A5638="","",VLOOKUP(A5638,'A VII.'!$A$10:$D$199,3,FALSE))</f>
        <v/>
      </c>
      <c r="E5638" s="85" t="str">
        <f>IF(A5638="","",VLOOKUP(A5638,'A VII.'!$A$10:$D$199,4,FALSE))</f>
        <v/>
      </c>
      <c r="F5638" s="59" t="str">
        <f t="shared" si="347"/>
        <v/>
      </c>
    </row>
    <row r="5639" spans="1:6" ht="12.75" customHeight="1" x14ac:dyDescent="0.2">
      <c r="A5639" s="6"/>
      <c r="B5639" s="421"/>
      <c r="C5639" s="114"/>
      <c r="D5639" s="759" t="str">
        <f>IF(A5639="","",VLOOKUP(A5639,'A VII.'!$A$10:$D$199,3,FALSE))</f>
        <v/>
      </c>
      <c r="E5639" s="85" t="str">
        <f>IF(A5639="","",VLOOKUP(A5639,'A VII.'!$A$10:$D$199,4,FALSE))</f>
        <v/>
      </c>
      <c r="F5639" s="59" t="str">
        <f t="shared" si="347"/>
        <v/>
      </c>
    </row>
    <row r="5640" spans="1:6" ht="12.75" customHeight="1" x14ac:dyDescent="0.2">
      <c r="A5640" s="6"/>
      <c r="B5640" s="421"/>
      <c r="C5640" s="114"/>
      <c r="D5640" s="759" t="str">
        <f>IF(A5640="","",VLOOKUP(A5640,'A VII.'!$A$10:$D$199,3,FALSE))</f>
        <v/>
      </c>
      <c r="E5640" s="85" t="str">
        <f>IF(A5640="","",VLOOKUP(A5640,'A VII.'!$A$10:$D$199,4,FALSE))</f>
        <v/>
      </c>
      <c r="F5640" s="59" t="str">
        <f t="shared" si="347"/>
        <v/>
      </c>
    </row>
    <row r="5641" spans="1:6" ht="12.75" customHeight="1" x14ac:dyDescent="0.2">
      <c r="A5641" s="6"/>
      <c r="B5641" s="421"/>
      <c r="C5641" s="114"/>
      <c r="D5641" s="759" t="str">
        <f>IF(A5641="","",VLOOKUP(A5641,'A VII.'!$A$10:$D$199,3,FALSE))</f>
        <v/>
      </c>
      <c r="E5641" s="85" t="str">
        <f>IF(A5641="","",VLOOKUP(A5641,'A VII.'!$A$10:$D$199,4,FALSE))</f>
        <v/>
      </c>
      <c r="F5641" s="59" t="str">
        <f t="shared" si="347"/>
        <v/>
      </c>
    </row>
    <row r="5642" spans="1:6" ht="12.75" customHeight="1" x14ac:dyDescent="0.2">
      <c r="A5642" s="6"/>
      <c r="B5642" s="421"/>
      <c r="C5642" s="114"/>
      <c r="D5642" s="759" t="str">
        <f>IF(A5642="","",VLOOKUP(A5642,'A VII.'!$A$10:$D$199,3,FALSE))</f>
        <v/>
      </c>
      <c r="E5642" s="85" t="str">
        <f>IF(A5642="","",VLOOKUP(A5642,'A VII.'!$A$10:$D$199,4,FALSE))</f>
        <v/>
      </c>
      <c r="F5642" s="59" t="str">
        <f t="shared" si="347"/>
        <v/>
      </c>
    </row>
    <row r="5643" spans="1:6" ht="12.75" customHeight="1" x14ac:dyDescent="0.2">
      <c r="A5643" s="3"/>
      <c r="C5643" s="114"/>
      <c r="D5643" s="759" t="str">
        <f>IF(A5643="","",VLOOKUP(A5643,'A VII.'!$A$10:$D$199,3,FALSE))</f>
        <v/>
      </c>
      <c r="E5643" s="85" t="str">
        <f>IF(A5643="","",VLOOKUP(A5643,'A VII.'!$A$10:$D$199,4,FALSE))</f>
        <v/>
      </c>
      <c r="F5643" s="59" t="str">
        <f t="shared" si="347"/>
        <v/>
      </c>
    </row>
    <row r="5644" spans="1:6" ht="12.75" customHeight="1" x14ac:dyDescent="0.2">
      <c r="A5644" s="3"/>
      <c r="C5644" s="114"/>
      <c r="D5644" s="759"/>
      <c r="E5644" s="85" t="str">
        <f>IF(A5644="","",VLOOKUP(A5644,'A VII.'!$A$10:$D$199,4,FALSE))</f>
        <v/>
      </c>
      <c r="F5644" s="59" t="str">
        <f t="shared" si="347"/>
        <v/>
      </c>
    </row>
    <row r="5645" spans="1:6" ht="12.75" customHeight="1" x14ac:dyDescent="0.2">
      <c r="A5645" s="3"/>
      <c r="B5645" s="86" t="s">
        <v>258</v>
      </c>
      <c r="C5645" s="87"/>
      <c r="D5645" s="88"/>
      <c r="E5645" s="89"/>
      <c r="F5645" s="90">
        <f>SUM(F5629:F5644)</f>
        <v>0</v>
      </c>
    </row>
    <row r="5646" spans="1:6" ht="12.75" customHeight="1" x14ac:dyDescent="0.2">
      <c r="A5646" s="3"/>
      <c r="B5646" s="91" t="s">
        <v>70</v>
      </c>
      <c r="C5646" s="15">
        <f>$D$8</f>
        <v>0</v>
      </c>
      <c r="D5646" s="92"/>
      <c r="E5646" s="93"/>
      <c r="F5646" s="94">
        <f>ROUND(F5645*C5646,2)</f>
        <v>0</v>
      </c>
    </row>
    <row r="5647" spans="1:6" ht="12.75" customHeight="1" x14ac:dyDescent="0.2">
      <c r="A5647" s="95"/>
      <c r="B5647" s="424" t="s">
        <v>259</v>
      </c>
      <c r="C5647" s="425"/>
      <c r="D5647" s="425"/>
      <c r="E5647" s="426"/>
      <c r="F5647" s="96">
        <f>F5645+F5646</f>
        <v>0</v>
      </c>
    </row>
    <row r="5648" spans="1:6" ht="12.75" customHeight="1" x14ac:dyDescent="0.2">
      <c r="A5648" s="1" t="s">
        <v>5</v>
      </c>
      <c r="B5648" s="418" t="s">
        <v>267</v>
      </c>
      <c r="C5648" s="419" t="s">
        <v>263</v>
      </c>
      <c r="D5648" s="419" t="s">
        <v>264</v>
      </c>
      <c r="E5648" s="420" t="s">
        <v>265</v>
      </c>
      <c r="F5648" s="57" t="s">
        <v>266</v>
      </c>
    </row>
    <row r="5649" spans="1:6" ht="12.75" customHeight="1" x14ac:dyDescent="0.2">
      <c r="A5649" s="3" t="str">
        <f>'A VII.'!$A$176</f>
        <v>2.34</v>
      </c>
      <c r="B5649" s="71" t="str">
        <f>IF(A5649="","",VLOOKUP(A5649,'A VII.'!$A$10:$D$199,2,FALSE))</f>
        <v>GERADOR PORTÁTIL A DIESEL POTÊNCIA=10KVA MONOFÁSICO BI-VOLT</v>
      </c>
      <c r="C5649" s="114">
        <f>8*30</f>
        <v>240</v>
      </c>
      <c r="D5649" s="759" t="str">
        <f>IF(A5649="","",VLOOKUP(A5649,'A VII.'!$A$10:$D$199,3,FALSE))</f>
        <v>CHI</v>
      </c>
      <c r="E5649" s="85">
        <f>IF(A5649="","",VLOOKUP(A5649,'A VII.'!$A$10:$D$199,4,FALSE))</f>
        <v>0</v>
      </c>
      <c r="F5649" s="59">
        <f>IF(A5649="","",ROUND(C5649*E5649,2))</f>
        <v>0</v>
      </c>
    </row>
    <row r="5650" spans="1:6" ht="12.75" customHeight="1" x14ac:dyDescent="0.2">
      <c r="A5650" s="3"/>
      <c r="B5650" s="71" t="str">
        <f>IF(A5650="","",VLOOKUP(A5650,'A VII.'!$A$10:$D$199,2,FALSE))</f>
        <v/>
      </c>
      <c r="C5650" s="114"/>
      <c r="D5650" s="759" t="str">
        <f>IF(A5650="","",VLOOKUP(A5650,'A VII.'!$A$10:$D$199,3,FALSE))</f>
        <v/>
      </c>
      <c r="E5650" s="85" t="str">
        <f>IF(A5650="","",VLOOKUP(A5650,'A VII.'!$A$10:$D$199,4,FALSE))</f>
        <v/>
      </c>
      <c r="F5650" s="59" t="str">
        <f t="shared" ref="F5650:F5658" si="348">IF(A5650="","",ROUND(C5650*E5650,2))</f>
        <v/>
      </c>
    </row>
    <row r="5651" spans="1:6" ht="12.75" customHeight="1" x14ac:dyDescent="0.2">
      <c r="A5651" s="3"/>
      <c r="C5651" s="114"/>
      <c r="D5651" s="759" t="str">
        <f>IF(A5651="","",VLOOKUP(A5651,'A VII.'!$A$10:$D$199,3,FALSE))</f>
        <v/>
      </c>
      <c r="E5651" s="85" t="str">
        <f>IF(A5651="","",VLOOKUP(A5651,'A VII.'!$A$10:$D$199,4,FALSE))</f>
        <v/>
      </c>
      <c r="F5651" s="59" t="str">
        <f t="shared" si="348"/>
        <v/>
      </c>
    </row>
    <row r="5652" spans="1:6" ht="12.75" customHeight="1" x14ac:dyDescent="0.2">
      <c r="A5652" s="3"/>
      <c r="C5652" s="114"/>
      <c r="D5652" s="759" t="str">
        <f>IF(A5652="","",VLOOKUP(A5652,'A VII.'!$A$10:$D$199,3,FALSE))</f>
        <v/>
      </c>
      <c r="E5652" s="85" t="str">
        <f>IF(A5652="","",VLOOKUP(A5652,'A VII.'!$A$10:$D$199,4,FALSE))</f>
        <v/>
      </c>
      <c r="F5652" s="59" t="str">
        <f t="shared" si="348"/>
        <v/>
      </c>
    </row>
    <row r="5653" spans="1:6" ht="12.75" customHeight="1" x14ac:dyDescent="0.2">
      <c r="A5653" s="3"/>
      <c r="C5653" s="114"/>
      <c r="D5653" s="759" t="str">
        <f>IF(A5653="","",VLOOKUP(A5653,'A VII.'!$A$10:$D$199,3,FALSE))</f>
        <v/>
      </c>
      <c r="E5653" s="85" t="str">
        <f>IF(A5653="","",VLOOKUP(A5653,'A VII.'!$A$10:$D$199,4,FALSE))</f>
        <v/>
      </c>
      <c r="F5653" s="59" t="str">
        <f t="shared" si="348"/>
        <v/>
      </c>
    </row>
    <row r="5654" spans="1:6" ht="12.75" customHeight="1" x14ac:dyDescent="0.2">
      <c r="A5654" s="3"/>
      <c r="C5654" s="114"/>
      <c r="D5654" s="759" t="str">
        <f>IF(A5654="","",VLOOKUP(A5654,'A VII.'!$A$10:$D$199,3,FALSE))</f>
        <v/>
      </c>
      <c r="E5654" s="85" t="str">
        <f>IF(A5654="","",VLOOKUP(A5654,'A VII.'!$A$10:$D$199,4,FALSE))</f>
        <v/>
      </c>
      <c r="F5654" s="59" t="str">
        <f t="shared" si="348"/>
        <v/>
      </c>
    </row>
    <row r="5655" spans="1:6" ht="12.75" customHeight="1" x14ac:dyDescent="0.2">
      <c r="A5655" s="3"/>
      <c r="C5655" s="114"/>
      <c r="D5655" s="759" t="str">
        <f>IF(A5655="","",VLOOKUP(A5655,'A VII.'!$A$10:$D$199,3,FALSE))</f>
        <v/>
      </c>
      <c r="E5655" s="85" t="str">
        <f>IF(A5655="","",VLOOKUP(A5655,'A VII.'!$A$10:$D$199,4,FALSE))</f>
        <v/>
      </c>
      <c r="F5655" s="59" t="str">
        <f t="shared" si="348"/>
        <v/>
      </c>
    </row>
    <row r="5656" spans="1:6" ht="12.75" customHeight="1" x14ac:dyDescent="0.2">
      <c r="A5656" s="3"/>
      <c r="C5656" s="114"/>
      <c r="D5656" s="759" t="str">
        <f>IF(A5656="","",VLOOKUP(A5656,'A VII.'!$A$10:$D$199,3,FALSE))</f>
        <v/>
      </c>
      <c r="E5656" s="85" t="str">
        <f>IF(A5656="","",VLOOKUP(A5656,'A VII.'!$A$10:$D$199,4,FALSE))</f>
        <v/>
      </c>
      <c r="F5656" s="59" t="str">
        <f t="shared" si="348"/>
        <v/>
      </c>
    </row>
    <row r="5657" spans="1:6" ht="12.75" customHeight="1" x14ac:dyDescent="0.2">
      <c r="A5657" s="3"/>
      <c r="C5657" s="114"/>
      <c r="D5657" s="759" t="str">
        <f>IF(A5657="","",VLOOKUP(A5657,'A VII.'!$A$10:$D$199,3,FALSE))</f>
        <v/>
      </c>
      <c r="E5657" s="85" t="str">
        <f>IF(A5657="","",VLOOKUP(A5657,'A VII.'!$A$10:$D$199,4,FALSE))</f>
        <v/>
      </c>
      <c r="F5657" s="59" t="str">
        <f t="shared" si="348"/>
        <v/>
      </c>
    </row>
    <row r="5658" spans="1:6" ht="12.75" customHeight="1" x14ac:dyDescent="0.2">
      <c r="A5658" s="3"/>
      <c r="C5658" s="114"/>
      <c r="D5658" s="759" t="str">
        <f>IF(A5658="","",VLOOKUP(A5658,'A VII.'!$A$10:$D$199,3,FALSE))</f>
        <v/>
      </c>
      <c r="E5658" s="85" t="str">
        <f>IF(A5658="","",VLOOKUP(A5658,'A VII.'!$A$10:$D$199,4,FALSE))</f>
        <v/>
      </c>
      <c r="F5658" s="59" t="str">
        <f t="shared" si="348"/>
        <v/>
      </c>
    </row>
    <row r="5659" spans="1:6" ht="12.75" customHeight="1" x14ac:dyDescent="0.2">
      <c r="A5659" s="3"/>
      <c r="B5659" s="86" t="s">
        <v>258</v>
      </c>
      <c r="C5659" s="87"/>
      <c r="D5659" s="88"/>
      <c r="E5659" s="89"/>
      <c r="F5659" s="90">
        <f>SUM(F5649:F5658)</f>
        <v>0</v>
      </c>
    </row>
    <row r="5660" spans="1:6" ht="12.75" customHeight="1" x14ac:dyDescent="0.2">
      <c r="A5660" s="3"/>
      <c r="B5660" s="91" t="s">
        <v>70</v>
      </c>
      <c r="C5660" s="15">
        <f>$D$8</f>
        <v>0</v>
      </c>
      <c r="D5660" s="92"/>
      <c r="E5660" s="93"/>
      <c r="F5660" s="94">
        <f>ROUND(C5660*F5659,2)</f>
        <v>0</v>
      </c>
    </row>
    <row r="5661" spans="1:6" ht="12.75" customHeight="1" x14ac:dyDescent="0.2">
      <c r="A5661" s="95"/>
      <c r="B5661" s="424" t="s">
        <v>260</v>
      </c>
      <c r="C5661" s="425"/>
      <c r="D5661" s="425"/>
      <c r="E5661" s="426"/>
      <c r="F5661" s="96">
        <f>F5659+F5660</f>
        <v>0</v>
      </c>
    </row>
    <row r="5662" spans="1:6" ht="12.75" customHeight="1" x14ac:dyDescent="0.2">
      <c r="A5662" s="97" t="s">
        <v>54</v>
      </c>
      <c r="B5662" s="427" t="s">
        <v>268</v>
      </c>
      <c r="C5662" s="428" t="s">
        <v>263</v>
      </c>
      <c r="D5662" s="429" t="s">
        <v>264</v>
      </c>
      <c r="E5662" s="430" t="s">
        <v>265</v>
      </c>
      <c r="F5662" s="57" t="s">
        <v>266</v>
      </c>
    </row>
    <row r="5663" spans="1:6" ht="12.75" customHeight="1" x14ac:dyDescent="0.2">
      <c r="A5663" s="3"/>
      <c r="B5663" s="71" t="str">
        <f>IF(A5663="","",VLOOKUP(A5663,'A VII.'!$A$10:$D$199,2,FALSE))</f>
        <v/>
      </c>
      <c r="C5663" s="114"/>
      <c r="D5663" s="759" t="str">
        <f>IF(A5663="","",VLOOKUP(A5663,'A VII.'!$A$10:$D$199,3,FALSE))</f>
        <v/>
      </c>
      <c r="E5663" s="85" t="str">
        <f>IF(A5663="","",VLOOKUP(A5663,'A VII.'!$A$10:$D$199,4,FALSE))</f>
        <v/>
      </c>
      <c r="F5663" s="59" t="str">
        <f>IF(A5663="","",ROUND(C5663*E5663,2))</f>
        <v/>
      </c>
    </row>
    <row r="5664" spans="1:6" ht="12.75" customHeight="1" x14ac:dyDescent="0.2">
      <c r="A5664" s="3"/>
      <c r="C5664" s="114"/>
      <c r="D5664" s="759" t="str">
        <f>IF(A5664="","",VLOOKUP(A5664,'A VII.'!$A$10:$D$199,3,FALSE))</f>
        <v/>
      </c>
      <c r="E5664" s="85" t="str">
        <f>IF(A5664="","",VLOOKUP(A5664,'A VII.'!$A$10:$D$199,4,FALSE))</f>
        <v/>
      </c>
      <c r="F5664" s="59" t="str">
        <f t="shared" ref="F5664:F5669" si="349">IF(A5664="","",ROUND(C5664*E5664,2))</f>
        <v/>
      </c>
    </row>
    <row r="5665" spans="1:6" ht="12.75" customHeight="1" x14ac:dyDescent="0.2">
      <c r="A5665" s="3"/>
      <c r="C5665" s="114"/>
      <c r="D5665" s="759" t="str">
        <f>IF(A5665="","",VLOOKUP(A5665,'A VII.'!$A$10:$D$199,3,FALSE))</f>
        <v/>
      </c>
      <c r="E5665" s="85" t="str">
        <f>IF(A5665="","",VLOOKUP(A5665,'A VII.'!$A$10:$D$199,4,FALSE))</f>
        <v/>
      </c>
      <c r="F5665" s="59" t="str">
        <f t="shared" si="349"/>
        <v/>
      </c>
    </row>
    <row r="5666" spans="1:6" ht="12.75" customHeight="1" x14ac:dyDescent="0.2">
      <c r="A5666" s="3"/>
      <c r="C5666" s="114"/>
      <c r="D5666" s="759" t="str">
        <f>IF(A5666="","",VLOOKUP(A5666,'A VII.'!$A$10:$D$199,3,FALSE))</f>
        <v/>
      </c>
      <c r="E5666" s="85" t="str">
        <f>IF(A5666="","",VLOOKUP(A5666,'A VII.'!$A$10:$D$199,4,FALSE))</f>
        <v/>
      </c>
      <c r="F5666" s="59" t="str">
        <f t="shared" si="349"/>
        <v/>
      </c>
    </row>
    <row r="5667" spans="1:6" ht="12.75" customHeight="1" x14ac:dyDescent="0.2">
      <c r="A5667" s="3"/>
      <c r="C5667" s="114"/>
      <c r="D5667" s="759" t="str">
        <f>IF(A5667="","",VLOOKUP(A5667,'A VII.'!$A$10:$D$199,3,FALSE))</f>
        <v/>
      </c>
      <c r="E5667" s="85" t="str">
        <f>IF(A5667="","",VLOOKUP(A5667,'A VII.'!$A$10:$D$199,4,FALSE))</f>
        <v/>
      </c>
      <c r="F5667" s="59" t="str">
        <f t="shared" si="349"/>
        <v/>
      </c>
    </row>
    <row r="5668" spans="1:6" ht="12.75" customHeight="1" x14ac:dyDescent="0.2">
      <c r="A5668" s="3"/>
      <c r="C5668" s="114"/>
      <c r="D5668" s="759" t="str">
        <f>IF(A5668="","",VLOOKUP(A5668,'A VII.'!$A$10:$D$199,3,FALSE))</f>
        <v/>
      </c>
      <c r="E5668" s="85" t="str">
        <f>IF(A5668="","",VLOOKUP(A5668,'A VII.'!$A$10:$D$199,4,FALSE))</f>
        <v/>
      </c>
      <c r="F5668" s="59" t="str">
        <f t="shared" si="349"/>
        <v/>
      </c>
    </row>
    <row r="5669" spans="1:6" ht="12.75" customHeight="1" x14ac:dyDescent="0.2">
      <c r="A5669" s="3"/>
      <c r="C5669" s="114"/>
      <c r="D5669" s="759" t="str">
        <f>IF(A5669="","",VLOOKUP(A5669,'A VII.'!$A$10:$D$199,3,FALSE))</f>
        <v/>
      </c>
      <c r="E5669" s="85" t="str">
        <f>IF(A5669="","",VLOOKUP(A5669,'A VII.'!$A$10:$D$199,4,FALSE))</f>
        <v/>
      </c>
      <c r="F5669" s="59" t="str">
        <f t="shared" si="349"/>
        <v/>
      </c>
    </row>
    <row r="5670" spans="1:6" ht="12.75" customHeight="1" x14ac:dyDescent="0.2">
      <c r="A5670" s="3"/>
      <c r="B5670" s="86" t="s">
        <v>258</v>
      </c>
      <c r="C5670" s="87"/>
      <c r="D5670" s="88"/>
      <c r="E5670" s="89"/>
      <c r="F5670" s="90">
        <f>SUM(F5663:F5669)</f>
        <v>0</v>
      </c>
    </row>
    <row r="5671" spans="1:6" ht="12.75" customHeight="1" x14ac:dyDescent="0.2">
      <c r="A5671" s="3"/>
      <c r="B5671" s="91" t="s">
        <v>261</v>
      </c>
      <c r="C5671" s="15">
        <f>'A IX.'!$C$45</f>
        <v>0</v>
      </c>
      <c r="D5671" s="92"/>
      <c r="E5671" s="93"/>
      <c r="F5671" s="94">
        <f>ROUND(F5670*C5671,2)</f>
        <v>0</v>
      </c>
    </row>
    <row r="5672" spans="1:6" ht="12.75" customHeight="1" x14ac:dyDescent="0.2">
      <c r="A5672" s="3"/>
      <c r="B5672" s="91" t="s">
        <v>70</v>
      </c>
      <c r="C5672" s="15">
        <f>$D$8</f>
        <v>0</v>
      </c>
      <c r="D5672" s="92"/>
      <c r="E5672" s="93"/>
      <c r="F5672" s="94">
        <f>ROUND(SUM(F5670:F5671)*C5672,2)</f>
        <v>0</v>
      </c>
    </row>
    <row r="5673" spans="1:6" ht="12.75" customHeight="1" thickBot="1" x14ac:dyDescent="0.25">
      <c r="A5673" s="98"/>
      <c r="B5673" s="99" t="s">
        <v>262</v>
      </c>
      <c r="C5673" s="100"/>
      <c r="D5673" s="100"/>
      <c r="E5673" s="101"/>
      <c r="F5673" s="102">
        <f>SUM(F5670:F5672)</f>
        <v>0</v>
      </c>
    </row>
    <row r="5674" spans="1:6" ht="12.75" customHeight="1" thickBot="1" x14ac:dyDescent="0.25">
      <c r="A5674" s="252"/>
      <c r="B5674" s="253"/>
      <c r="C5674" s="254"/>
      <c r="D5674" s="254"/>
      <c r="E5674" s="255"/>
      <c r="F5674" s="256"/>
    </row>
    <row r="5675" spans="1:6" ht="30" customHeight="1" x14ac:dyDescent="0.2">
      <c r="A5675" s="5" t="str">
        <f>'A IV.A'!A167</f>
        <v>7.11</v>
      </c>
      <c r="B5675" s="416" t="str">
        <f>'A IV.A'!B167</f>
        <v>OPERAÇÃO DE GERADOR - MATERIAS DE CONSUMO</v>
      </c>
      <c r="C5675" s="526" t="s">
        <v>269</v>
      </c>
      <c r="D5675" s="527"/>
      <c r="E5675" s="417" t="str">
        <f>'A IV.A'!C167</f>
        <v>H</v>
      </c>
      <c r="F5675" s="58">
        <f>ROUND(F5695+F5709+F5721,2)</f>
        <v>0</v>
      </c>
    </row>
    <row r="5676" spans="1:6" ht="12.75" customHeight="1" x14ac:dyDescent="0.2">
      <c r="A5676" s="1" t="s">
        <v>17</v>
      </c>
      <c r="B5676" s="418" t="s">
        <v>162</v>
      </c>
      <c r="C5676" s="419" t="s">
        <v>263</v>
      </c>
      <c r="D5676" s="419" t="s">
        <v>264</v>
      </c>
      <c r="E5676" s="420" t="s">
        <v>265</v>
      </c>
      <c r="F5676" s="57" t="s">
        <v>266</v>
      </c>
    </row>
    <row r="5677" spans="1:6" ht="12.75" customHeight="1" x14ac:dyDescent="0.2">
      <c r="A5677" s="6"/>
      <c r="B5677" s="71" t="str">
        <f>IF(A5677="","",VLOOKUP(A5677,'A VII.'!$A$10:$D$199,2,FALSE))</f>
        <v/>
      </c>
      <c r="C5677" s="114"/>
      <c r="D5677" s="759" t="str">
        <f>IF(A5677="","",VLOOKUP(A5677,'A VII.'!$A$10:$D$199,3,FALSE))</f>
        <v/>
      </c>
      <c r="E5677" s="85" t="str">
        <f>IF(A5677="","",VLOOKUP(A5677,'A VII.'!$A$10:$D$199,4,FALSE))</f>
        <v/>
      </c>
      <c r="F5677" s="59" t="str">
        <f>IF(A5677="","",ROUND(C5677*E5677,2))</f>
        <v/>
      </c>
    </row>
    <row r="5678" spans="1:6" ht="12.75" customHeight="1" x14ac:dyDescent="0.2">
      <c r="A5678" s="6"/>
      <c r="B5678" s="71" t="str">
        <f>IF(A5678="","",VLOOKUP(A5678,'A VII.'!$A$10:$D$199,2,FALSE))</f>
        <v/>
      </c>
      <c r="C5678" s="114"/>
      <c r="D5678" s="759" t="str">
        <f>IF(A5678="","",VLOOKUP(A5678,'A VII.'!$A$10:$D$199,3,FALSE))</f>
        <v/>
      </c>
      <c r="E5678" s="85" t="str">
        <f>IF(A5678="","",VLOOKUP(A5678,'A VII.'!$A$10:$D$199,4,FALSE))</f>
        <v/>
      </c>
      <c r="F5678" s="59" t="str">
        <f t="shared" ref="F5678:F5692" si="350">IF(A5678="","",ROUND(C5678*E5678,2))</f>
        <v/>
      </c>
    </row>
    <row r="5679" spans="1:6" ht="12.75" customHeight="1" x14ac:dyDescent="0.2">
      <c r="A5679" s="6"/>
      <c r="B5679" s="71" t="str">
        <f>IF(A5679="","",VLOOKUP(A5679,'A VII.'!$A$10:$D$199,2,FALSE))</f>
        <v/>
      </c>
      <c r="C5679" s="114"/>
      <c r="D5679" s="759" t="str">
        <f>IF(A5679="","",VLOOKUP(A5679,'A VII.'!$A$10:$D$199,3,FALSE))</f>
        <v/>
      </c>
      <c r="E5679" s="85" t="str">
        <f>IF(A5679="","",VLOOKUP(A5679,'A VII.'!$A$10:$D$199,4,FALSE))</f>
        <v/>
      </c>
      <c r="F5679" s="59" t="str">
        <f t="shared" si="350"/>
        <v/>
      </c>
    </row>
    <row r="5680" spans="1:6" ht="12.75" customHeight="1" x14ac:dyDescent="0.2">
      <c r="A5680" s="6"/>
      <c r="B5680" s="71" t="str">
        <f>IF(A5680="","",VLOOKUP(A5680,'A VII.'!$A$10:$D$199,2,FALSE))</f>
        <v/>
      </c>
      <c r="C5680" s="114"/>
      <c r="D5680" s="759" t="str">
        <f>IF(A5680="","",VLOOKUP(A5680,'A VII.'!$A$10:$D$199,3,FALSE))</f>
        <v/>
      </c>
      <c r="E5680" s="85" t="str">
        <f>IF(A5680="","",VLOOKUP(A5680,'A VII.'!$A$10:$D$199,4,FALSE))</f>
        <v/>
      </c>
      <c r="F5680" s="59" t="str">
        <f t="shared" si="350"/>
        <v/>
      </c>
    </row>
    <row r="5681" spans="1:6" ht="12.75" customHeight="1" x14ac:dyDescent="0.2">
      <c r="A5681" s="6"/>
      <c r="B5681" s="71" t="str">
        <f>IF(A5681="","",VLOOKUP(A5681,'A VII.'!$A$10:$D$199,2,FALSE))</f>
        <v/>
      </c>
      <c r="C5681" s="114"/>
      <c r="D5681" s="759" t="str">
        <f>IF(A5681="","",VLOOKUP(A5681,'A VII.'!$A$10:$D$199,3,FALSE))</f>
        <v/>
      </c>
      <c r="E5681" s="85" t="str">
        <f>IF(A5681="","",VLOOKUP(A5681,'A VII.'!$A$10:$D$199,4,FALSE))</f>
        <v/>
      </c>
      <c r="F5681" s="59" t="str">
        <f t="shared" si="350"/>
        <v/>
      </c>
    </row>
    <row r="5682" spans="1:6" ht="12.75" customHeight="1" x14ac:dyDescent="0.2">
      <c r="A5682" s="6"/>
      <c r="B5682" s="71" t="str">
        <f>IF(A5682="","",VLOOKUP(A5682,'A VII.'!$A$10:$D$199,2,FALSE))</f>
        <v/>
      </c>
      <c r="C5682" s="114"/>
      <c r="D5682" s="759" t="str">
        <f>IF(A5682="","",VLOOKUP(A5682,'A VII.'!$A$10:$D$199,3,FALSE))</f>
        <v/>
      </c>
      <c r="E5682" s="85" t="str">
        <f>IF(A5682="","",VLOOKUP(A5682,'A VII.'!$A$10:$D$199,4,FALSE))</f>
        <v/>
      </c>
      <c r="F5682" s="59" t="str">
        <f t="shared" si="350"/>
        <v/>
      </c>
    </row>
    <row r="5683" spans="1:6" ht="12.75" customHeight="1" x14ac:dyDescent="0.2">
      <c r="A5683" s="6"/>
      <c r="B5683" s="71" t="str">
        <f>IF(A5683="","",VLOOKUP(A5683,'A VII.'!$A$10:$D$199,2,FALSE))</f>
        <v/>
      </c>
      <c r="C5683" s="114"/>
      <c r="D5683" s="759" t="str">
        <f>IF(A5683="","",VLOOKUP(A5683,'A VII.'!$A$10:$D$199,3,FALSE))</f>
        <v/>
      </c>
      <c r="E5683" s="85" t="str">
        <f>IF(A5683="","",VLOOKUP(A5683,'A VII.'!$A$10:$D$199,4,FALSE))</f>
        <v/>
      </c>
      <c r="F5683" s="59" t="str">
        <f t="shared" si="350"/>
        <v/>
      </c>
    </row>
    <row r="5684" spans="1:6" ht="12.75" customHeight="1" x14ac:dyDescent="0.2">
      <c r="A5684" s="6"/>
      <c r="B5684" s="71" t="str">
        <f>IF(A5684="","",VLOOKUP(A5684,'A VII.'!$A$10:$D$199,2,FALSE))</f>
        <v/>
      </c>
      <c r="C5684" s="114"/>
      <c r="D5684" s="759" t="str">
        <f>IF(A5684="","",VLOOKUP(A5684,'A VII.'!$A$10:$D$199,3,FALSE))</f>
        <v/>
      </c>
      <c r="E5684" s="85" t="str">
        <f>IF(A5684="","",VLOOKUP(A5684,'A VII.'!$A$10:$D$199,4,FALSE))</f>
        <v/>
      </c>
      <c r="F5684" s="59" t="str">
        <f t="shared" si="350"/>
        <v/>
      </c>
    </row>
    <row r="5685" spans="1:6" ht="12.75" customHeight="1" x14ac:dyDescent="0.2">
      <c r="A5685" s="6"/>
      <c r="B5685" s="71" t="str">
        <f>IF(A5685="","",VLOOKUP(A5685,'A VII.'!$A$10:$D$199,2,FALSE))</f>
        <v/>
      </c>
      <c r="C5685" s="114"/>
      <c r="D5685" s="759" t="str">
        <f>IF(A5685="","",VLOOKUP(A5685,'A VII.'!$A$10:$D$199,3,FALSE))</f>
        <v/>
      </c>
      <c r="E5685" s="85" t="str">
        <f>IF(A5685="","",VLOOKUP(A5685,'A VII.'!$A$10:$D$199,4,FALSE))</f>
        <v/>
      </c>
      <c r="F5685" s="59" t="str">
        <f t="shared" si="350"/>
        <v/>
      </c>
    </row>
    <row r="5686" spans="1:6" ht="12.75" customHeight="1" x14ac:dyDescent="0.2">
      <c r="A5686" s="6"/>
      <c r="B5686" s="71" t="str">
        <f>IF(A5686="","",VLOOKUP(A5686,'A VII.'!$A$10:$D$199,2,FALSE))</f>
        <v/>
      </c>
      <c r="C5686" s="114"/>
      <c r="D5686" s="759" t="str">
        <f>IF(A5686="","",VLOOKUP(A5686,'A VII.'!$A$10:$D$199,3,FALSE))</f>
        <v/>
      </c>
      <c r="E5686" s="85" t="str">
        <f>IF(A5686="","",VLOOKUP(A5686,'A VII.'!$A$10:$D$199,4,FALSE))</f>
        <v/>
      </c>
      <c r="F5686" s="59" t="str">
        <f t="shared" si="350"/>
        <v/>
      </c>
    </row>
    <row r="5687" spans="1:6" ht="12.75" customHeight="1" x14ac:dyDescent="0.2">
      <c r="A5687" s="6"/>
      <c r="B5687" s="71" t="str">
        <f>IF(A5687="","",VLOOKUP(A5687,'A VII.'!$A$10:$D$199,2,FALSE))</f>
        <v/>
      </c>
      <c r="C5687" s="114"/>
      <c r="D5687" s="759" t="str">
        <f>IF(A5687="","",VLOOKUP(A5687,'A VII.'!$A$10:$D$199,3,FALSE))</f>
        <v/>
      </c>
      <c r="E5687" s="85" t="str">
        <f>IF(A5687="","",VLOOKUP(A5687,'A VII.'!$A$10:$D$199,4,FALSE))</f>
        <v/>
      </c>
      <c r="F5687" s="59" t="str">
        <f t="shared" si="350"/>
        <v/>
      </c>
    </row>
    <row r="5688" spans="1:6" ht="12.75" customHeight="1" x14ac:dyDescent="0.2">
      <c r="A5688" s="6"/>
      <c r="B5688" s="71" t="str">
        <f>IF(A5688="","",VLOOKUP(A5688,'A VII.'!$A$10:$D$199,2,FALSE))</f>
        <v/>
      </c>
      <c r="C5688" s="114"/>
      <c r="D5688" s="759" t="str">
        <f>IF(A5688="","",VLOOKUP(A5688,'A VII.'!$A$10:$D$199,3,FALSE))</f>
        <v/>
      </c>
      <c r="E5688" s="85" t="str">
        <f>IF(A5688="","",VLOOKUP(A5688,'A VII.'!$A$10:$D$199,4,FALSE))</f>
        <v/>
      </c>
      <c r="F5688" s="59" t="str">
        <f t="shared" si="350"/>
        <v/>
      </c>
    </row>
    <row r="5689" spans="1:6" ht="12.75" customHeight="1" x14ac:dyDescent="0.2">
      <c r="A5689" s="6"/>
      <c r="B5689" s="71" t="str">
        <f>IF(A5689="","",VLOOKUP(A5689,'A VII.'!$A$10:$D$199,2,FALSE))</f>
        <v/>
      </c>
      <c r="C5689" s="114"/>
      <c r="D5689" s="759" t="str">
        <f>IF(A5689="","",VLOOKUP(A5689,'A VII.'!$A$10:$D$199,3,FALSE))</f>
        <v/>
      </c>
      <c r="E5689" s="85" t="str">
        <f>IF(A5689="","",VLOOKUP(A5689,'A VII.'!$A$10:$D$199,4,FALSE))</f>
        <v/>
      </c>
      <c r="F5689" s="59" t="str">
        <f t="shared" si="350"/>
        <v/>
      </c>
    </row>
    <row r="5690" spans="1:6" ht="12.75" customHeight="1" x14ac:dyDescent="0.2">
      <c r="A5690" s="6"/>
      <c r="B5690" s="71" t="str">
        <f>IF(A5690="","",VLOOKUP(A5690,'A VII.'!$A$10:$D$199,2,FALSE))</f>
        <v/>
      </c>
      <c r="C5690" s="114"/>
      <c r="D5690" s="759" t="str">
        <f>IF(A5690="","",VLOOKUP(A5690,'A VII.'!$A$10:$D$199,3,FALSE))</f>
        <v/>
      </c>
      <c r="E5690" s="85" t="str">
        <f>IF(A5690="","",VLOOKUP(A5690,'A VII.'!$A$10:$D$199,4,FALSE))</f>
        <v/>
      </c>
      <c r="F5690" s="59" t="str">
        <f t="shared" si="350"/>
        <v/>
      </c>
    </row>
    <row r="5691" spans="1:6" ht="12.75" customHeight="1" x14ac:dyDescent="0.2">
      <c r="A5691" s="3"/>
      <c r="B5691" s="71" t="str">
        <f>IF(A5691="","",VLOOKUP(A5691,'A VII.'!$A$10:$D$199,2,FALSE))</f>
        <v/>
      </c>
      <c r="C5691" s="114"/>
      <c r="D5691" s="759" t="str">
        <f>IF(A5691="","",VLOOKUP(A5691,'A VII.'!$A$10:$D$199,3,FALSE))</f>
        <v/>
      </c>
      <c r="E5691" s="85" t="str">
        <f>IF(A5691="","",VLOOKUP(A5691,'A VII.'!$A$10:$D$199,4,FALSE))</f>
        <v/>
      </c>
      <c r="F5691" s="59" t="str">
        <f t="shared" si="350"/>
        <v/>
      </c>
    </row>
    <row r="5692" spans="1:6" ht="12.75" customHeight="1" x14ac:dyDescent="0.2">
      <c r="A5692" s="3"/>
      <c r="B5692" s="71" t="str">
        <f>IF(A5692="","",VLOOKUP(A5692,'A VII.'!$A$10:$D$199,2,FALSE))</f>
        <v/>
      </c>
      <c r="C5692" s="114"/>
      <c r="D5692" s="759" t="str">
        <f>IF(A5692="","",VLOOKUP(A5692,'A VII.'!$A$10:$D$199,3,FALSE))</f>
        <v/>
      </c>
      <c r="E5692" s="85" t="str">
        <f>IF(A5692="","",VLOOKUP(A5692,'A VII.'!$A$10:$D$199,4,FALSE))</f>
        <v/>
      </c>
      <c r="F5692" s="59" t="str">
        <f t="shared" si="350"/>
        <v/>
      </c>
    </row>
    <row r="5693" spans="1:6" ht="12.75" customHeight="1" x14ac:dyDescent="0.2">
      <c r="A5693" s="3"/>
      <c r="B5693" s="86" t="s">
        <v>258</v>
      </c>
      <c r="C5693" s="87"/>
      <c r="D5693" s="88"/>
      <c r="E5693" s="89"/>
      <c r="F5693" s="90">
        <f>SUM(F5677:F5692)</f>
        <v>0</v>
      </c>
    </row>
    <row r="5694" spans="1:6" ht="12.75" customHeight="1" x14ac:dyDescent="0.2">
      <c r="A5694" s="3"/>
      <c r="B5694" s="91" t="s">
        <v>70</v>
      </c>
      <c r="C5694" s="15">
        <f>$D$8</f>
        <v>0</v>
      </c>
      <c r="D5694" s="92"/>
      <c r="E5694" s="93"/>
      <c r="F5694" s="94">
        <f>ROUND(F5693*C5694,2)</f>
        <v>0</v>
      </c>
    </row>
    <row r="5695" spans="1:6" ht="12.75" customHeight="1" x14ac:dyDescent="0.2">
      <c r="A5695" s="95"/>
      <c r="B5695" s="424" t="s">
        <v>259</v>
      </c>
      <c r="C5695" s="425"/>
      <c r="D5695" s="425"/>
      <c r="E5695" s="426"/>
      <c r="F5695" s="96">
        <f>F5693+F5694</f>
        <v>0</v>
      </c>
    </row>
    <row r="5696" spans="1:6" ht="12.75" customHeight="1" x14ac:dyDescent="0.2">
      <c r="A5696" s="1" t="s">
        <v>5</v>
      </c>
      <c r="B5696" s="418" t="s">
        <v>267</v>
      </c>
      <c r="C5696" s="419" t="s">
        <v>263</v>
      </c>
      <c r="D5696" s="419" t="s">
        <v>264</v>
      </c>
      <c r="E5696" s="420" t="s">
        <v>265</v>
      </c>
      <c r="F5696" s="57" t="s">
        <v>266</v>
      </c>
    </row>
    <row r="5697" spans="1:6" ht="12.75" customHeight="1" x14ac:dyDescent="0.2">
      <c r="A5697" s="3" t="str">
        <f>'A VII.'!$A$175</f>
        <v>2.33</v>
      </c>
      <c r="B5697" s="71" t="str">
        <f>IF(A5697="","",VLOOKUP(A5697,'A VII.'!$A$10:$D$199,2,FALSE))</f>
        <v>MATERIAIS DE OPERAÇÃO - GERADOR MONOFÁSICO 13CV</v>
      </c>
      <c r="C5697" s="114">
        <v>1</v>
      </c>
      <c r="D5697" s="759" t="str">
        <f>IF(A5697="","",VLOOKUP(A5697,'A VII.'!$A$10:$D$199,3,FALSE))</f>
        <v>H</v>
      </c>
      <c r="E5697" s="85">
        <f>IF(A5697="","",VLOOKUP(A5697,'A VII.'!$A$10:$D$199,4,FALSE))</f>
        <v>0</v>
      </c>
      <c r="F5697" s="59">
        <f>IF(A5697="","",ROUND(C5697*E5697,2))</f>
        <v>0</v>
      </c>
    </row>
    <row r="5698" spans="1:6" ht="12.75" customHeight="1" x14ac:dyDescent="0.2">
      <c r="A5698" s="3"/>
      <c r="B5698" s="71" t="str">
        <f>IF(A5698="","",VLOOKUP(A5698,'A VII.'!$A$10:$D$199,2,FALSE))</f>
        <v/>
      </c>
      <c r="C5698" s="114"/>
      <c r="D5698" s="759" t="str">
        <f>IF(A5698="","",VLOOKUP(A5698,'A VII.'!$A$10:$D$199,3,FALSE))</f>
        <v/>
      </c>
      <c r="E5698" s="85" t="str">
        <f>IF(A5698="","",VLOOKUP(A5698,'A VII.'!$A$10:$D$199,4,FALSE))</f>
        <v/>
      </c>
      <c r="F5698" s="59" t="str">
        <f t="shared" ref="F5698:F5706" si="351">IF(A5698="","",ROUND(C5698*E5698,2))</f>
        <v/>
      </c>
    </row>
    <row r="5699" spans="1:6" ht="12.75" customHeight="1" x14ac:dyDescent="0.2">
      <c r="A5699" s="3"/>
      <c r="B5699" s="71" t="str">
        <f>IF(A5699="","",VLOOKUP(A5699,'A VII.'!$A$10:$D$199,2,FALSE))</f>
        <v/>
      </c>
      <c r="C5699" s="114"/>
      <c r="D5699" s="759" t="str">
        <f>IF(A5699="","",VLOOKUP(A5699,'A VII.'!$A$10:$D$199,3,FALSE))</f>
        <v/>
      </c>
      <c r="E5699" s="85" t="str">
        <f>IF(A5699="","",VLOOKUP(A5699,'A VII.'!$A$10:$D$199,4,FALSE))</f>
        <v/>
      </c>
      <c r="F5699" s="59" t="str">
        <f t="shared" si="351"/>
        <v/>
      </c>
    </row>
    <row r="5700" spans="1:6" ht="12.75" customHeight="1" x14ac:dyDescent="0.2">
      <c r="A5700" s="3"/>
      <c r="B5700" s="71" t="str">
        <f>IF(A5700="","",VLOOKUP(A5700,'A VII.'!$A$10:$D$199,2,FALSE))</f>
        <v/>
      </c>
      <c r="C5700" s="114"/>
      <c r="D5700" s="759" t="str">
        <f>IF(A5700="","",VLOOKUP(A5700,'A VII.'!$A$10:$D$199,3,FALSE))</f>
        <v/>
      </c>
      <c r="E5700" s="85" t="str">
        <f>IF(A5700="","",VLOOKUP(A5700,'A VII.'!$A$10:$D$199,4,FALSE))</f>
        <v/>
      </c>
      <c r="F5700" s="59" t="str">
        <f t="shared" si="351"/>
        <v/>
      </c>
    </row>
    <row r="5701" spans="1:6" ht="12.75" customHeight="1" x14ac:dyDescent="0.2">
      <c r="A5701" s="3"/>
      <c r="B5701" s="71" t="str">
        <f>IF(A5701="","",VLOOKUP(A5701,'A VII.'!$A$10:$D$199,2,FALSE))</f>
        <v/>
      </c>
      <c r="C5701" s="114"/>
      <c r="D5701" s="759" t="str">
        <f>IF(A5701="","",VLOOKUP(A5701,'A VII.'!$A$10:$D$199,3,FALSE))</f>
        <v/>
      </c>
      <c r="E5701" s="85" t="str">
        <f>IF(A5701="","",VLOOKUP(A5701,'A VII.'!$A$10:$D$199,4,FALSE))</f>
        <v/>
      </c>
      <c r="F5701" s="59" t="str">
        <f t="shared" si="351"/>
        <v/>
      </c>
    </row>
    <row r="5702" spans="1:6" ht="12.75" customHeight="1" x14ac:dyDescent="0.2">
      <c r="A5702" s="3"/>
      <c r="B5702" s="71" t="str">
        <f>IF(A5702="","",VLOOKUP(A5702,'A VII.'!$A$10:$D$199,2,FALSE))</f>
        <v/>
      </c>
      <c r="C5702" s="114"/>
      <c r="D5702" s="759" t="str">
        <f>IF(A5702="","",VLOOKUP(A5702,'A VII.'!$A$10:$D$199,3,FALSE))</f>
        <v/>
      </c>
      <c r="E5702" s="85" t="str">
        <f>IF(A5702="","",VLOOKUP(A5702,'A VII.'!$A$10:$D$199,4,FALSE))</f>
        <v/>
      </c>
      <c r="F5702" s="59" t="str">
        <f t="shared" si="351"/>
        <v/>
      </c>
    </row>
    <row r="5703" spans="1:6" ht="12.75" customHeight="1" x14ac:dyDescent="0.2">
      <c r="A5703" s="3"/>
      <c r="B5703" s="71" t="str">
        <f>IF(A5703="","",VLOOKUP(A5703,'A VII.'!$A$10:$D$199,2,FALSE))</f>
        <v/>
      </c>
      <c r="C5703" s="114"/>
      <c r="D5703" s="759" t="str">
        <f>IF(A5703="","",VLOOKUP(A5703,'A VII.'!$A$10:$D$199,3,FALSE))</f>
        <v/>
      </c>
      <c r="E5703" s="85" t="str">
        <f>IF(A5703="","",VLOOKUP(A5703,'A VII.'!$A$10:$D$199,4,FALSE))</f>
        <v/>
      </c>
      <c r="F5703" s="59" t="str">
        <f t="shared" si="351"/>
        <v/>
      </c>
    </row>
    <row r="5704" spans="1:6" ht="12.75" customHeight="1" x14ac:dyDescent="0.2">
      <c r="A5704" s="3"/>
      <c r="B5704" s="71" t="str">
        <f>IF(A5704="","",VLOOKUP(A5704,'A VII.'!$A$10:$D$199,2,FALSE))</f>
        <v/>
      </c>
      <c r="C5704" s="114"/>
      <c r="D5704" s="759" t="str">
        <f>IF(A5704="","",VLOOKUP(A5704,'A VII.'!$A$10:$D$199,3,FALSE))</f>
        <v/>
      </c>
      <c r="E5704" s="85" t="str">
        <f>IF(A5704="","",VLOOKUP(A5704,'A VII.'!$A$10:$D$199,4,FALSE))</f>
        <v/>
      </c>
      <c r="F5704" s="59" t="str">
        <f t="shared" si="351"/>
        <v/>
      </c>
    </row>
    <row r="5705" spans="1:6" ht="12.75" customHeight="1" x14ac:dyDescent="0.2">
      <c r="A5705" s="3"/>
      <c r="B5705" s="71" t="str">
        <f>IF(A5705="","",VLOOKUP(A5705,'A VII.'!$A$10:$D$199,2,FALSE))</f>
        <v/>
      </c>
      <c r="C5705" s="114"/>
      <c r="D5705" s="759" t="str">
        <f>IF(A5705="","",VLOOKUP(A5705,'A VII.'!$A$10:$D$199,3,FALSE))</f>
        <v/>
      </c>
      <c r="E5705" s="85" t="str">
        <f>IF(A5705="","",VLOOKUP(A5705,'A VII.'!$A$10:$D$199,4,FALSE))</f>
        <v/>
      </c>
      <c r="F5705" s="59" t="str">
        <f t="shared" si="351"/>
        <v/>
      </c>
    </row>
    <row r="5706" spans="1:6" ht="12.75" customHeight="1" x14ac:dyDescent="0.2">
      <c r="A5706" s="3"/>
      <c r="B5706" s="71" t="str">
        <f>IF(A5706="","",VLOOKUP(A5706,'A VII.'!$A$10:$D$199,2,FALSE))</f>
        <v/>
      </c>
      <c r="C5706" s="114"/>
      <c r="D5706" s="759" t="str">
        <f>IF(A5706="","",VLOOKUP(A5706,'A VII.'!$A$10:$D$199,3,FALSE))</f>
        <v/>
      </c>
      <c r="E5706" s="85" t="str">
        <f>IF(A5706="","",VLOOKUP(A5706,'A VII.'!$A$10:$D$199,4,FALSE))</f>
        <v/>
      </c>
      <c r="F5706" s="59" t="str">
        <f t="shared" si="351"/>
        <v/>
      </c>
    </row>
    <row r="5707" spans="1:6" ht="12.75" customHeight="1" x14ac:dyDescent="0.2">
      <c r="A5707" s="3"/>
      <c r="B5707" s="86" t="s">
        <v>258</v>
      </c>
      <c r="C5707" s="87"/>
      <c r="D5707" s="88"/>
      <c r="E5707" s="89"/>
      <c r="F5707" s="90">
        <f>SUM(F5697:F5706)</f>
        <v>0</v>
      </c>
    </row>
    <row r="5708" spans="1:6" ht="12.75" customHeight="1" x14ac:dyDescent="0.2">
      <c r="A5708" s="3"/>
      <c r="B5708" s="91" t="s">
        <v>70</v>
      </c>
      <c r="C5708" s="15">
        <f>$D$8</f>
        <v>0</v>
      </c>
      <c r="D5708" s="92"/>
      <c r="E5708" s="93"/>
      <c r="F5708" s="94">
        <f>ROUND(C5708*F5707,2)</f>
        <v>0</v>
      </c>
    </row>
    <row r="5709" spans="1:6" ht="12.75" customHeight="1" x14ac:dyDescent="0.2">
      <c r="A5709" s="95"/>
      <c r="B5709" s="424" t="s">
        <v>260</v>
      </c>
      <c r="C5709" s="425"/>
      <c r="D5709" s="425"/>
      <c r="E5709" s="426"/>
      <c r="F5709" s="96">
        <f>F5707+F5708</f>
        <v>0</v>
      </c>
    </row>
    <row r="5710" spans="1:6" ht="12.75" customHeight="1" x14ac:dyDescent="0.2">
      <c r="A5710" s="97" t="s">
        <v>54</v>
      </c>
      <c r="B5710" s="427" t="s">
        <v>268</v>
      </c>
      <c r="C5710" s="428" t="s">
        <v>263</v>
      </c>
      <c r="D5710" s="429" t="s">
        <v>264</v>
      </c>
      <c r="E5710" s="430" t="s">
        <v>265</v>
      </c>
      <c r="F5710" s="57" t="s">
        <v>266</v>
      </c>
    </row>
    <row r="5711" spans="1:6" ht="12.75" customHeight="1" x14ac:dyDescent="0.2">
      <c r="A5711" s="3"/>
      <c r="B5711" s="71" t="str">
        <f>IF(A5711="","",VLOOKUP(A5711,'A VII.'!$A$10:$D$199,2,FALSE))</f>
        <v/>
      </c>
      <c r="C5711" s="114"/>
      <c r="D5711" s="759" t="str">
        <f>IF(A5711="","",VLOOKUP(A5711,'A VII.'!$A$10:$D$199,3,FALSE))</f>
        <v/>
      </c>
      <c r="E5711" s="85" t="str">
        <f>IF(A5711="","",VLOOKUP(A5711,'A VII.'!$A$10:$D$199,4,FALSE))</f>
        <v/>
      </c>
      <c r="F5711" s="59" t="str">
        <f>IF(A5711="","",ROUND(C5711*E5711,2))</f>
        <v/>
      </c>
    </row>
    <row r="5712" spans="1:6" ht="12.75" customHeight="1" x14ac:dyDescent="0.2">
      <c r="A5712" s="3"/>
      <c r="C5712" s="114"/>
      <c r="D5712" s="759"/>
      <c r="E5712" s="85"/>
      <c r="F5712" s="59">
        <f t="shared" ref="F5712:F5717" si="352">ROUND(C5712*E5712,2)</f>
        <v>0</v>
      </c>
    </row>
    <row r="5713" spans="1:6" ht="12.75" customHeight="1" x14ac:dyDescent="0.2">
      <c r="A5713" s="3"/>
      <c r="C5713" s="114"/>
      <c r="D5713" s="759"/>
      <c r="E5713" s="85"/>
      <c r="F5713" s="59">
        <f t="shared" si="352"/>
        <v>0</v>
      </c>
    </row>
    <row r="5714" spans="1:6" ht="12.75" customHeight="1" x14ac:dyDescent="0.2">
      <c r="A5714" s="3"/>
      <c r="C5714" s="114"/>
      <c r="D5714" s="759"/>
      <c r="E5714" s="85"/>
      <c r="F5714" s="59">
        <f t="shared" si="352"/>
        <v>0</v>
      </c>
    </row>
    <row r="5715" spans="1:6" ht="12.75" customHeight="1" x14ac:dyDescent="0.2">
      <c r="A5715" s="3"/>
      <c r="C5715" s="114"/>
      <c r="D5715" s="759"/>
      <c r="E5715" s="85"/>
      <c r="F5715" s="59">
        <f t="shared" si="352"/>
        <v>0</v>
      </c>
    </row>
    <row r="5716" spans="1:6" ht="12.75" customHeight="1" x14ac:dyDescent="0.2">
      <c r="A5716" s="3"/>
      <c r="C5716" s="114"/>
      <c r="D5716" s="759"/>
      <c r="E5716" s="85"/>
      <c r="F5716" s="59">
        <f t="shared" si="352"/>
        <v>0</v>
      </c>
    </row>
    <row r="5717" spans="1:6" ht="12.75" customHeight="1" x14ac:dyDescent="0.2">
      <c r="A5717" s="3"/>
      <c r="C5717" s="114"/>
      <c r="D5717" s="759"/>
      <c r="E5717" s="85"/>
      <c r="F5717" s="59">
        <f t="shared" si="352"/>
        <v>0</v>
      </c>
    </row>
    <row r="5718" spans="1:6" ht="12.75" customHeight="1" x14ac:dyDescent="0.2">
      <c r="A5718" s="3"/>
      <c r="B5718" s="86" t="s">
        <v>258</v>
      </c>
      <c r="C5718" s="87"/>
      <c r="D5718" s="88"/>
      <c r="E5718" s="89"/>
      <c r="F5718" s="90">
        <f>SUM(F5711:F5717)</f>
        <v>0</v>
      </c>
    </row>
    <row r="5719" spans="1:6" ht="12.75" customHeight="1" x14ac:dyDescent="0.2">
      <c r="A5719" s="3"/>
      <c r="B5719" s="91" t="s">
        <v>261</v>
      </c>
      <c r="C5719" s="15">
        <f>'A IX.'!$C$45</f>
        <v>0</v>
      </c>
      <c r="D5719" s="92"/>
      <c r="E5719" s="93"/>
      <c r="F5719" s="94">
        <f>ROUND(F5718*C5719,2)</f>
        <v>0</v>
      </c>
    </row>
    <row r="5720" spans="1:6" ht="12.75" customHeight="1" x14ac:dyDescent="0.2">
      <c r="A5720" s="3"/>
      <c r="B5720" s="91" t="s">
        <v>70</v>
      </c>
      <c r="C5720" s="15">
        <f>$D$8</f>
        <v>0</v>
      </c>
      <c r="D5720" s="92"/>
      <c r="E5720" s="93"/>
      <c r="F5720" s="94">
        <f>ROUND(SUM(F5718:F5719)*C5720,2)</f>
        <v>0</v>
      </c>
    </row>
    <row r="5721" spans="1:6" ht="12.75" customHeight="1" thickBot="1" x14ac:dyDescent="0.25">
      <c r="A5721" s="98"/>
      <c r="B5721" s="99" t="s">
        <v>262</v>
      </c>
      <c r="C5721" s="100"/>
      <c r="D5721" s="100"/>
      <c r="E5721" s="101"/>
      <c r="F5721" s="102">
        <f>SUM(F5718:F5720)</f>
        <v>0</v>
      </c>
    </row>
    <row r="5722" spans="1:6" ht="12.75" customHeight="1" thickBot="1" x14ac:dyDescent="0.25">
      <c r="A5722" s="252"/>
      <c r="B5722" s="253"/>
      <c r="C5722" s="254"/>
      <c r="D5722" s="254"/>
      <c r="E5722" s="255"/>
      <c r="F5722" s="256"/>
    </row>
    <row r="5723" spans="1:6" ht="30" customHeight="1" x14ac:dyDescent="0.2">
      <c r="A5723" s="5" t="str">
        <f>'A IV.A'!$A$168</f>
        <v>7.12</v>
      </c>
      <c r="B5723" s="416" t="str">
        <f>'A IV.A'!B168</f>
        <v>FORNECIMENTO E INSTALAÇÃO DE BANCO PRÉ-FABRICADO DE CONCRETO, ESTILO EUROPEU</v>
      </c>
      <c r="C5723" s="526" t="s">
        <v>269</v>
      </c>
      <c r="D5723" s="527"/>
      <c r="E5723" s="417" t="str">
        <f>'A IV.A'!C168</f>
        <v>UN</v>
      </c>
      <c r="F5723" s="58">
        <f>ROUND(F5743+F5757+F5769,2)</f>
        <v>0</v>
      </c>
    </row>
    <row r="5724" spans="1:6" ht="12.75" customHeight="1" x14ac:dyDescent="0.2">
      <c r="A5724" s="1" t="s">
        <v>17</v>
      </c>
      <c r="B5724" s="418" t="s">
        <v>162</v>
      </c>
      <c r="C5724" s="419" t="s">
        <v>263</v>
      </c>
      <c r="D5724" s="419" t="s">
        <v>264</v>
      </c>
      <c r="E5724" s="420" t="s">
        <v>265</v>
      </c>
      <c r="F5724" s="57" t="s">
        <v>266</v>
      </c>
    </row>
    <row r="5725" spans="1:6" ht="12.75" customHeight="1" x14ac:dyDescent="0.2">
      <c r="A5725" s="6" t="str">
        <f>'A VII.'!$A$22</f>
        <v>1.13</v>
      </c>
      <c r="B5725" s="71" t="str">
        <f>VLOOKUP(A5725,'A VII.'!$A$10:$D$199,2,FALSE)</f>
        <v>BANCO DE CONCRETO PRE-FABRICADO  (C=140CM E L= 35CM)</v>
      </c>
      <c r="C5725" s="114">
        <v>1</v>
      </c>
      <c r="D5725" s="759" t="str">
        <f>VLOOKUP(A5725,'A VII.'!$A$10:$D$199,3,FALSE)</f>
        <v xml:space="preserve">UN </v>
      </c>
      <c r="E5725" s="85">
        <f>VLOOKUP(A5725,'A VII.'!$A$10:$D$199,4,FALSE)</f>
        <v>0</v>
      </c>
      <c r="F5725" s="59">
        <f>ROUND(C5725*E5725,2)</f>
        <v>0</v>
      </c>
    </row>
    <row r="5726" spans="1:6" ht="12.75" customHeight="1" x14ac:dyDescent="0.2">
      <c r="A5726" s="6" t="str">
        <f>'A VII.'!$A$19</f>
        <v>1.10</v>
      </c>
      <c r="B5726" s="71" t="str">
        <f>VLOOKUP(A5726,'A VII.'!$A$10:$D$199,2,FALSE)</f>
        <v>AREIA MÉDIA LAVADA</v>
      </c>
      <c r="C5726" s="114">
        <v>5.4800000000000001E-2</v>
      </c>
      <c r="D5726" s="759" t="str">
        <f>VLOOKUP(A5726,'A VII.'!$A$10:$D$199,3,FALSE)</f>
        <v>M3</v>
      </c>
      <c r="E5726" s="85">
        <f>VLOOKUP(A5726,'A VII.'!$A$10:$D$199,4,FALSE)</f>
        <v>0</v>
      </c>
      <c r="F5726" s="59">
        <f t="shared" ref="F5726:F5740" si="353">ROUND(C5726*E5726,2)</f>
        <v>0</v>
      </c>
    </row>
    <row r="5727" spans="1:6" ht="12.75" customHeight="1" x14ac:dyDescent="0.2">
      <c r="A5727" s="6" t="str">
        <f>'A VII.'!$A$38</f>
        <v>1.29</v>
      </c>
      <c r="B5727" s="71" t="str">
        <f>VLOOKUP(A5727,'A VII.'!$A$10:$D$199,2,FALSE)</f>
        <v>CIMENTO PORTLAND CP II-E-32</v>
      </c>
      <c r="C5727" s="114">
        <v>19.68</v>
      </c>
      <c r="D5727" s="759" t="str">
        <f>VLOOKUP(A5727,'A VII.'!$A$10:$D$199,3,FALSE)</f>
        <v>KG</v>
      </c>
      <c r="E5727" s="85">
        <f>VLOOKUP(A5727,'A VII.'!$A$10:$D$199,4,FALSE)</f>
        <v>0</v>
      </c>
      <c r="F5727" s="59">
        <f t="shared" si="353"/>
        <v>0</v>
      </c>
    </row>
    <row r="5728" spans="1:6" ht="12.75" customHeight="1" x14ac:dyDescent="0.2">
      <c r="A5728" s="6" t="str">
        <f>'A VII.'!$A$84</f>
        <v>1.74</v>
      </c>
      <c r="B5728" s="71" t="str">
        <f>VLOOKUP(A5728,'A VII.'!$A$10:$D$199,2,FALSE)</f>
        <v>PEDRA BRITADA Nº 2 GRANULOMETRIA ENTRE (21,0 E 32,0 MM)</v>
      </c>
      <c r="C5728" s="114">
        <v>5.1400000000000001E-2</v>
      </c>
      <c r="D5728" s="759" t="str">
        <f>VLOOKUP(A5728,'A VII.'!$A$10:$D$199,3,FALSE)</f>
        <v>M3</v>
      </c>
      <c r="E5728" s="85">
        <f>VLOOKUP(A5728,'A VII.'!$A$10:$D$199,4,FALSE)</f>
        <v>0</v>
      </c>
      <c r="F5728" s="59">
        <f t="shared" si="353"/>
        <v>0</v>
      </c>
    </row>
    <row r="5729" spans="1:6" ht="12.75" customHeight="1" x14ac:dyDescent="0.2">
      <c r="A5729" s="6"/>
      <c r="B5729" s="421"/>
      <c r="C5729" s="114"/>
      <c r="D5729" s="757"/>
      <c r="E5729" s="85"/>
      <c r="F5729" s="59">
        <f t="shared" si="353"/>
        <v>0</v>
      </c>
    </row>
    <row r="5730" spans="1:6" ht="12.75" customHeight="1" x14ac:dyDescent="0.2">
      <c r="A5730" s="6"/>
      <c r="B5730" s="421"/>
      <c r="C5730" s="114"/>
      <c r="D5730" s="757"/>
      <c r="E5730" s="85"/>
      <c r="F5730" s="59">
        <f t="shared" si="353"/>
        <v>0</v>
      </c>
    </row>
    <row r="5731" spans="1:6" ht="12.75" customHeight="1" x14ac:dyDescent="0.2">
      <c r="A5731" s="6"/>
      <c r="B5731" s="421"/>
      <c r="C5731" s="114"/>
      <c r="D5731" s="757"/>
      <c r="E5731" s="85"/>
      <c r="F5731" s="59">
        <f t="shared" si="353"/>
        <v>0</v>
      </c>
    </row>
    <row r="5732" spans="1:6" ht="12.75" customHeight="1" x14ac:dyDescent="0.2">
      <c r="A5732" s="6"/>
      <c r="B5732" s="421"/>
      <c r="C5732" s="114"/>
      <c r="D5732" s="757"/>
      <c r="E5732" s="85"/>
      <c r="F5732" s="59">
        <f t="shared" si="353"/>
        <v>0</v>
      </c>
    </row>
    <row r="5733" spans="1:6" ht="12.75" customHeight="1" x14ac:dyDescent="0.2">
      <c r="A5733" s="6"/>
      <c r="B5733" s="421"/>
      <c r="C5733" s="114"/>
      <c r="D5733" s="757"/>
      <c r="E5733" s="85"/>
      <c r="F5733" s="59">
        <f t="shared" si="353"/>
        <v>0</v>
      </c>
    </row>
    <row r="5734" spans="1:6" ht="12.75" customHeight="1" x14ac:dyDescent="0.2">
      <c r="A5734" s="6"/>
      <c r="B5734" s="421"/>
      <c r="C5734" s="114"/>
      <c r="D5734" s="757"/>
      <c r="E5734" s="85"/>
      <c r="F5734" s="59">
        <f t="shared" si="353"/>
        <v>0</v>
      </c>
    </row>
    <row r="5735" spans="1:6" ht="12.75" customHeight="1" x14ac:dyDescent="0.2">
      <c r="A5735" s="6"/>
      <c r="B5735" s="421"/>
      <c r="C5735" s="114"/>
      <c r="D5735" s="757"/>
      <c r="E5735" s="85"/>
      <c r="F5735" s="59">
        <f t="shared" si="353"/>
        <v>0</v>
      </c>
    </row>
    <row r="5736" spans="1:6" ht="12.75" customHeight="1" x14ac:dyDescent="0.2">
      <c r="A5736" s="6"/>
      <c r="B5736" s="421"/>
      <c r="C5736" s="114"/>
      <c r="D5736" s="758"/>
      <c r="E5736" s="85"/>
      <c r="F5736" s="59">
        <f t="shared" si="353"/>
        <v>0</v>
      </c>
    </row>
    <row r="5737" spans="1:6" ht="12.75" customHeight="1" x14ac:dyDescent="0.2">
      <c r="A5737" s="6"/>
      <c r="B5737" s="421"/>
      <c r="C5737" s="114"/>
      <c r="D5737" s="758"/>
      <c r="E5737" s="85"/>
      <c r="F5737" s="59">
        <f t="shared" si="353"/>
        <v>0</v>
      </c>
    </row>
    <row r="5738" spans="1:6" ht="12.75" customHeight="1" x14ac:dyDescent="0.2">
      <c r="A5738" s="6"/>
      <c r="B5738" s="421"/>
      <c r="C5738" s="114"/>
      <c r="D5738" s="758"/>
      <c r="E5738" s="85"/>
      <c r="F5738" s="59">
        <f t="shared" si="353"/>
        <v>0</v>
      </c>
    </row>
    <row r="5739" spans="1:6" ht="12.75" customHeight="1" x14ac:dyDescent="0.2">
      <c r="A5739" s="3"/>
      <c r="C5739" s="114"/>
      <c r="D5739" s="759"/>
      <c r="E5739" s="85"/>
      <c r="F5739" s="59">
        <f t="shared" si="353"/>
        <v>0</v>
      </c>
    </row>
    <row r="5740" spans="1:6" ht="12.75" customHeight="1" x14ac:dyDescent="0.2">
      <c r="A5740" s="3"/>
      <c r="C5740" s="114"/>
      <c r="D5740" s="759"/>
      <c r="E5740" s="85"/>
      <c r="F5740" s="59">
        <f t="shared" si="353"/>
        <v>0</v>
      </c>
    </row>
    <row r="5741" spans="1:6" ht="12.75" customHeight="1" x14ac:dyDescent="0.2">
      <c r="A5741" s="3"/>
      <c r="B5741" s="86" t="s">
        <v>258</v>
      </c>
      <c r="C5741" s="87"/>
      <c r="D5741" s="88"/>
      <c r="E5741" s="89"/>
      <c r="F5741" s="90">
        <f>SUM(F5725:F5740)</f>
        <v>0</v>
      </c>
    </row>
    <row r="5742" spans="1:6" ht="12.75" customHeight="1" x14ac:dyDescent="0.2">
      <c r="A5742" s="3"/>
      <c r="B5742" s="91" t="s">
        <v>70</v>
      </c>
      <c r="C5742" s="15">
        <f>$D$8</f>
        <v>0</v>
      </c>
      <c r="D5742" s="92"/>
      <c r="E5742" s="93"/>
      <c r="F5742" s="94">
        <f>ROUND(F5741*C5742,2)</f>
        <v>0</v>
      </c>
    </row>
    <row r="5743" spans="1:6" ht="12.75" customHeight="1" x14ac:dyDescent="0.2">
      <c r="A5743" s="95"/>
      <c r="B5743" s="424" t="s">
        <v>259</v>
      </c>
      <c r="C5743" s="425"/>
      <c r="D5743" s="425"/>
      <c r="E5743" s="426"/>
      <c r="F5743" s="96">
        <f>F5741+F5742</f>
        <v>0</v>
      </c>
    </row>
    <row r="5744" spans="1:6" ht="12.75" customHeight="1" x14ac:dyDescent="0.2">
      <c r="A5744" s="1" t="s">
        <v>5</v>
      </c>
      <c r="B5744" s="418" t="s">
        <v>267</v>
      </c>
      <c r="C5744" s="419" t="s">
        <v>263</v>
      </c>
      <c r="D5744" s="419" t="s">
        <v>264</v>
      </c>
      <c r="E5744" s="420" t="s">
        <v>265</v>
      </c>
      <c r="F5744" s="57" t="s">
        <v>266</v>
      </c>
    </row>
    <row r="5745" spans="1:6" ht="12.75" customHeight="1" x14ac:dyDescent="0.2">
      <c r="A5745" s="3" t="str">
        <f>'A VII.'!$A$149</f>
        <v>2.7</v>
      </c>
      <c r="B5745" s="71" t="str">
        <f>VLOOKUP(A5745,'A VII.'!$A$10:$D$199,2,FALSE)</f>
        <v>BETONEIRA, CAPACIDADE NOMINAL DE 400L, MOTOR ELÉTRICO TRIFÁSICO DE  2CV - CHP</v>
      </c>
      <c r="C5745" s="114">
        <v>4.3900000000000002E-2</v>
      </c>
      <c r="D5745" s="759" t="str">
        <f>VLOOKUP(A5745,'A VII.'!$A$10:$D$199,3,FALSE)</f>
        <v>CHP</v>
      </c>
      <c r="E5745" s="85">
        <f>VLOOKUP(A5745,'A VII.'!$A$10:$D$199,4,FALSE)</f>
        <v>0</v>
      </c>
      <c r="F5745" s="59">
        <f t="shared" ref="F5745:F5754" si="354">ROUND(C5745*E5745,2)</f>
        <v>0</v>
      </c>
    </row>
    <row r="5746" spans="1:6" ht="12.75" customHeight="1" x14ac:dyDescent="0.2">
      <c r="A5746" s="3"/>
      <c r="C5746" s="114"/>
      <c r="D5746" s="759"/>
      <c r="E5746" s="85"/>
      <c r="F5746" s="59">
        <f t="shared" si="354"/>
        <v>0</v>
      </c>
    </row>
    <row r="5747" spans="1:6" ht="12.75" customHeight="1" x14ac:dyDescent="0.2">
      <c r="A5747" s="3"/>
      <c r="C5747" s="114"/>
      <c r="D5747" s="759"/>
      <c r="E5747" s="85"/>
      <c r="F5747" s="59">
        <f t="shared" si="354"/>
        <v>0</v>
      </c>
    </row>
    <row r="5748" spans="1:6" ht="12.75" customHeight="1" x14ac:dyDescent="0.2">
      <c r="A5748" s="3"/>
      <c r="C5748" s="114"/>
      <c r="D5748" s="759"/>
      <c r="E5748" s="85"/>
      <c r="F5748" s="59">
        <f t="shared" si="354"/>
        <v>0</v>
      </c>
    </row>
    <row r="5749" spans="1:6" ht="12.75" customHeight="1" x14ac:dyDescent="0.2">
      <c r="A5749" s="3"/>
      <c r="C5749" s="114"/>
      <c r="D5749" s="759"/>
      <c r="E5749" s="85"/>
      <c r="F5749" s="59">
        <f t="shared" si="354"/>
        <v>0</v>
      </c>
    </row>
    <row r="5750" spans="1:6" ht="12.75" customHeight="1" x14ac:dyDescent="0.2">
      <c r="A5750" s="3"/>
      <c r="C5750" s="114"/>
      <c r="D5750" s="759"/>
      <c r="E5750" s="85"/>
      <c r="F5750" s="59">
        <f t="shared" si="354"/>
        <v>0</v>
      </c>
    </row>
    <row r="5751" spans="1:6" ht="12.75" customHeight="1" x14ac:dyDescent="0.2">
      <c r="A5751" s="3"/>
      <c r="C5751" s="114"/>
      <c r="D5751" s="759"/>
      <c r="E5751" s="85"/>
      <c r="F5751" s="59">
        <f t="shared" si="354"/>
        <v>0</v>
      </c>
    </row>
    <row r="5752" spans="1:6" ht="12.75" customHeight="1" x14ac:dyDescent="0.2">
      <c r="A5752" s="3"/>
      <c r="C5752" s="114"/>
      <c r="D5752" s="759"/>
      <c r="E5752" s="85"/>
      <c r="F5752" s="59">
        <f t="shared" si="354"/>
        <v>0</v>
      </c>
    </row>
    <row r="5753" spans="1:6" ht="12.75" customHeight="1" x14ac:dyDescent="0.2">
      <c r="A5753" s="3"/>
      <c r="C5753" s="114"/>
      <c r="D5753" s="759"/>
      <c r="E5753" s="85"/>
      <c r="F5753" s="59">
        <f t="shared" si="354"/>
        <v>0</v>
      </c>
    </row>
    <row r="5754" spans="1:6" ht="12.75" customHeight="1" x14ac:dyDescent="0.2">
      <c r="A5754" s="3"/>
      <c r="C5754" s="114"/>
      <c r="D5754" s="759"/>
      <c r="E5754" s="85"/>
      <c r="F5754" s="59">
        <f t="shared" si="354"/>
        <v>0</v>
      </c>
    </row>
    <row r="5755" spans="1:6" ht="12.75" customHeight="1" x14ac:dyDescent="0.2">
      <c r="A5755" s="3"/>
      <c r="B5755" s="86" t="s">
        <v>258</v>
      </c>
      <c r="C5755" s="87"/>
      <c r="D5755" s="88"/>
      <c r="E5755" s="89"/>
      <c r="F5755" s="90">
        <f>SUM(F5745:F5754)</f>
        <v>0</v>
      </c>
    </row>
    <row r="5756" spans="1:6" ht="12.75" customHeight="1" x14ac:dyDescent="0.2">
      <c r="A5756" s="3"/>
      <c r="B5756" s="91" t="s">
        <v>70</v>
      </c>
      <c r="C5756" s="15">
        <f>$D$8</f>
        <v>0</v>
      </c>
      <c r="D5756" s="92"/>
      <c r="E5756" s="93"/>
      <c r="F5756" s="94">
        <f>ROUND(C5756*F5755,2)</f>
        <v>0</v>
      </c>
    </row>
    <row r="5757" spans="1:6" ht="12.75" customHeight="1" x14ac:dyDescent="0.2">
      <c r="A5757" s="95"/>
      <c r="B5757" s="424" t="s">
        <v>260</v>
      </c>
      <c r="C5757" s="425"/>
      <c r="D5757" s="425"/>
      <c r="E5757" s="426"/>
      <c r="F5757" s="96">
        <f>F5755+F5756</f>
        <v>0</v>
      </c>
    </row>
    <row r="5758" spans="1:6" ht="12.75" customHeight="1" x14ac:dyDescent="0.2">
      <c r="A5758" s="97" t="s">
        <v>54</v>
      </c>
      <c r="B5758" s="427" t="s">
        <v>268</v>
      </c>
      <c r="C5758" s="428" t="s">
        <v>263</v>
      </c>
      <c r="D5758" s="429" t="s">
        <v>264</v>
      </c>
      <c r="E5758" s="430" t="s">
        <v>265</v>
      </c>
      <c r="F5758" s="57" t="s">
        <v>266</v>
      </c>
    </row>
    <row r="5759" spans="1:6" ht="12.75" customHeight="1" x14ac:dyDescent="0.2">
      <c r="A5759" s="3" t="str">
        <f>'A VII.'!$A$196</f>
        <v>3.16</v>
      </c>
      <c r="B5759" s="71" t="str">
        <f>VLOOKUP(A5759,'A VII.'!$A$10:$D$199,2,FALSE)</f>
        <v>SERVENTE COM ENCARGOS COMPLEMENTARES</v>
      </c>
      <c r="C5759" s="114">
        <v>1.0714999999999999</v>
      </c>
      <c r="D5759" s="759" t="str">
        <f>VLOOKUP(A5759,'A VII.'!$A$10:$D$199,3,FALSE)</f>
        <v>H</v>
      </c>
      <c r="E5759" s="85">
        <f>VLOOKUP(A5759,'A VII.'!$A$10:$D$199,4,FALSE)</f>
        <v>0</v>
      </c>
      <c r="F5759" s="59">
        <f t="shared" ref="F5759:F5765" si="355">ROUND(C5759*E5759,2)</f>
        <v>0</v>
      </c>
    </row>
    <row r="5760" spans="1:6" ht="12.75" customHeight="1" x14ac:dyDescent="0.2">
      <c r="A5760" s="3"/>
      <c r="C5760" s="114"/>
      <c r="D5760" s="759"/>
      <c r="E5760" s="85"/>
      <c r="F5760" s="59">
        <f t="shared" si="355"/>
        <v>0</v>
      </c>
    </row>
    <row r="5761" spans="1:6" ht="12.75" customHeight="1" x14ac:dyDescent="0.2">
      <c r="A5761" s="3"/>
      <c r="C5761" s="114"/>
      <c r="D5761" s="759"/>
      <c r="E5761" s="85"/>
      <c r="F5761" s="59">
        <f t="shared" si="355"/>
        <v>0</v>
      </c>
    </row>
    <row r="5762" spans="1:6" ht="12.75" customHeight="1" x14ac:dyDescent="0.2">
      <c r="A5762" s="3"/>
      <c r="C5762" s="114"/>
      <c r="D5762" s="759"/>
      <c r="E5762" s="85"/>
      <c r="F5762" s="59">
        <f t="shared" si="355"/>
        <v>0</v>
      </c>
    </row>
    <row r="5763" spans="1:6" ht="12.75" customHeight="1" x14ac:dyDescent="0.2">
      <c r="A5763" s="3"/>
      <c r="C5763" s="114"/>
      <c r="D5763" s="759"/>
      <c r="E5763" s="85"/>
      <c r="F5763" s="59">
        <f t="shared" si="355"/>
        <v>0</v>
      </c>
    </row>
    <row r="5764" spans="1:6" ht="12.75" customHeight="1" x14ac:dyDescent="0.2">
      <c r="A5764" s="3"/>
      <c r="C5764" s="114"/>
      <c r="D5764" s="759"/>
      <c r="E5764" s="85"/>
      <c r="F5764" s="59">
        <f t="shared" si="355"/>
        <v>0</v>
      </c>
    </row>
    <row r="5765" spans="1:6" ht="12.75" customHeight="1" x14ac:dyDescent="0.2">
      <c r="A5765" s="3"/>
      <c r="C5765" s="114"/>
      <c r="D5765" s="759"/>
      <c r="E5765" s="85"/>
      <c r="F5765" s="59">
        <f t="shared" si="355"/>
        <v>0</v>
      </c>
    </row>
    <row r="5766" spans="1:6" ht="12.75" customHeight="1" x14ac:dyDescent="0.2">
      <c r="A5766" s="3"/>
      <c r="B5766" s="86" t="s">
        <v>258</v>
      </c>
      <c r="C5766" s="87"/>
      <c r="D5766" s="88"/>
      <c r="E5766" s="89"/>
      <c r="F5766" s="90">
        <f>SUM(F5759:F5765)</f>
        <v>0</v>
      </c>
    </row>
    <row r="5767" spans="1:6" ht="12.75" customHeight="1" x14ac:dyDescent="0.2">
      <c r="A5767" s="3"/>
      <c r="B5767" s="91" t="s">
        <v>261</v>
      </c>
      <c r="C5767" s="15">
        <f>'A IX.'!$C$45</f>
        <v>0</v>
      </c>
      <c r="D5767" s="92"/>
      <c r="E5767" s="93"/>
      <c r="F5767" s="94">
        <f>ROUND(F5766*C5767,2)</f>
        <v>0</v>
      </c>
    </row>
    <row r="5768" spans="1:6" ht="12.75" customHeight="1" x14ac:dyDescent="0.2">
      <c r="A5768" s="3"/>
      <c r="B5768" s="91" t="s">
        <v>70</v>
      </c>
      <c r="C5768" s="15">
        <f>$D$8</f>
        <v>0</v>
      </c>
      <c r="D5768" s="92"/>
      <c r="E5768" s="93"/>
      <c r="F5768" s="94">
        <f>ROUND(SUM(F5766:F5767)*C5768,2)</f>
        <v>0</v>
      </c>
    </row>
    <row r="5769" spans="1:6" ht="12.75" customHeight="1" thickBot="1" x14ac:dyDescent="0.25">
      <c r="A5769" s="98"/>
      <c r="B5769" s="99" t="s">
        <v>262</v>
      </c>
      <c r="C5769" s="100"/>
      <c r="D5769" s="100"/>
      <c r="E5769" s="101"/>
      <c r="F5769" s="102">
        <f>SUM(F5766:F5768)</f>
        <v>0</v>
      </c>
    </row>
    <row r="5770" spans="1:6" ht="12.75" customHeight="1" thickBot="1" x14ac:dyDescent="0.25">
      <c r="A5770" s="252"/>
      <c r="B5770" s="253"/>
      <c r="C5770" s="254"/>
      <c r="D5770" s="254"/>
      <c r="E5770" s="255"/>
      <c r="F5770" s="256"/>
    </row>
    <row r="5771" spans="1:6" ht="30" customHeight="1" x14ac:dyDescent="0.2">
      <c r="A5771" s="5" t="str">
        <f>'A IV.A'!A169</f>
        <v>7.13</v>
      </c>
      <c r="B5771" s="416" t="str">
        <f>'A IV.A'!B169</f>
        <v>CIMBRAMENTO DE MADEIRA</v>
      </c>
      <c r="C5771" s="526" t="s">
        <v>269</v>
      </c>
      <c r="D5771" s="527"/>
      <c r="E5771" s="417" t="str">
        <f>'A IV.A'!C169</f>
        <v>M3</v>
      </c>
      <c r="F5771" s="58">
        <f>ROUND(F5791+F5805+F5817,2)</f>
        <v>0</v>
      </c>
    </row>
    <row r="5772" spans="1:6" ht="12.75" customHeight="1" x14ac:dyDescent="0.2">
      <c r="A5772" s="1" t="s">
        <v>17</v>
      </c>
      <c r="B5772" s="418" t="s">
        <v>162</v>
      </c>
      <c r="C5772" s="419" t="s">
        <v>263</v>
      </c>
      <c r="D5772" s="419" t="s">
        <v>264</v>
      </c>
      <c r="E5772" s="420" t="s">
        <v>265</v>
      </c>
      <c r="F5772" s="57" t="s">
        <v>266</v>
      </c>
    </row>
    <row r="5773" spans="1:6" ht="12.75" customHeight="1" x14ac:dyDescent="0.2">
      <c r="A5773" s="6" t="str">
        <f>'A VII.'!$A$79</f>
        <v>1.70</v>
      </c>
      <c r="B5773" s="71" t="str">
        <f>VLOOKUP(A5773,'A VII.'!$A$10:$D$199,2,FALSE)</f>
        <v>PONTALETE DE MADEIRA NAO APARELHADA - 7,5 X 7,5 CM (3 X 3 ")</v>
      </c>
      <c r="C5773" s="114">
        <v>0.83179999999999998</v>
      </c>
      <c r="D5773" s="759" t="str">
        <f>VLOOKUP(A5773,'A VII.'!$A$10:$D$199,3,FALSE)</f>
        <v>M</v>
      </c>
      <c r="E5773" s="85">
        <f>VLOOKUP(A5773,'A VII.'!$A$10:$D$199,4,FALSE)</f>
        <v>0</v>
      </c>
      <c r="F5773" s="59">
        <f>ROUND(C5773*E5773,2)</f>
        <v>0</v>
      </c>
    </row>
    <row r="5774" spans="1:6" ht="12.75" customHeight="1" x14ac:dyDescent="0.2">
      <c r="A5774" s="6" t="str">
        <f>'A VII.'!$A$101</f>
        <v>1.91</v>
      </c>
      <c r="B5774" s="71" t="str">
        <f>VLOOKUP(A5774,'A VII.'!$A$10:$D$199,2,FALSE)</f>
        <v>TÁBUA MADEIRA 3A QUALIDADE 2,5 X 30CM (1X12") NÃO APARELHADA</v>
      </c>
      <c r="C5774" s="114">
        <v>5.2170000000000001E-2</v>
      </c>
      <c r="D5774" s="759" t="str">
        <f>VLOOKUP(A5774,'A VII.'!$A$10:$D$199,3,FALSE)</f>
        <v>M</v>
      </c>
      <c r="E5774" s="85">
        <f>VLOOKUP(A5774,'A VII.'!$A$10:$D$199,4,FALSE)</f>
        <v>0</v>
      </c>
      <c r="F5774" s="59">
        <f t="shared" ref="F5774:F5788" si="356">ROUND(C5774*E5774,2)</f>
        <v>0</v>
      </c>
    </row>
    <row r="5775" spans="1:6" ht="12.75" customHeight="1" x14ac:dyDescent="0.2">
      <c r="A5775" s="6" t="str">
        <f>'A VII.'!$A$90</f>
        <v>1.80</v>
      </c>
      <c r="B5775" s="71" t="str">
        <f>VLOOKUP(A5775,'A VII.'!$A$10:$D$199,2,FALSE)</f>
        <v>PREGO EM AÇO POLIDO COM CABEÇA (MEDIA DAS BITOLAS)</v>
      </c>
      <c r="C5775" s="114">
        <v>0.2</v>
      </c>
      <c r="D5775" s="759" t="str">
        <f>VLOOKUP(A5775,'A VII.'!$A$10:$D$199,3,FALSE)</f>
        <v>KG</v>
      </c>
      <c r="E5775" s="85">
        <f>VLOOKUP(A5775,'A VII.'!$A$10:$D$199,4,FALSE)</f>
        <v>0</v>
      </c>
      <c r="F5775" s="59">
        <f t="shared" si="356"/>
        <v>0</v>
      </c>
    </row>
    <row r="5776" spans="1:6" ht="12.75" customHeight="1" x14ac:dyDescent="0.2">
      <c r="A5776" s="6" t="str">
        <f>'A VII.'!$A$97</f>
        <v>1.87</v>
      </c>
      <c r="B5776" s="71" t="str">
        <f>VLOOKUP(A5776,'A VII.'!$A$10:$D$199,2,FALSE)</f>
        <v xml:space="preserve">SARRAFO 3A. CONSTRUÇÃO (SEÇÃO TRANSVERSAL: 1X4" - 2,5CM X 10,0CM) </v>
      </c>
      <c r="C5776" s="114">
        <v>0.60599999999999998</v>
      </c>
      <c r="D5776" s="759" t="str">
        <f>VLOOKUP(A5776,'A VII.'!$A$10:$D$199,3,FALSE)</f>
        <v>M</v>
      </c>
      <c r="E5776" s="85">
        <f>VLOOKUP(A5776,'A VII.'!$A$10:$D$199,4,FALSE)</f>
        <v>0</v>
      </c>
      <c r="F5776" s="59">
        <f t="shared" si="356"/>
        <v>0</v>
      </c>
    </row>
    <row r="5777" spans="1:6" ht="12.75" customHeight="1" x14ac:dyDescent="0.2">
      <c r="A5777" s="6"/>
      <c r="B5777" s="421"/>
      <c r="C5777" s="114"/>
      <c r="D5777" s="757"/>
      <c r="E5777" s="85"/>
      <c r="F5777" s="59">
        <f t="shared" si="356"/>
        <v>0</v>
      </c>
    </row>
    <row r="5778" spans="1:6" ht="12.75" customHeight="1" x14ac:dyDescent="0.2">
      <c r="A5778" s="6"/>
      <c r="B5778" s="421"/>
      <c r="C5778" s="114"/>
      <c r="D5778" s="757"/>
      <c r="E5778" s="85"/>
      <c r="F5778" s="59">
        <f t="shared" si="356"/>
        <v>0</v>
      </c>
    </row>
    <row r="5779" spans="1:6" ht="12.75" customHeight="1" x14ac:dyDescent="0.2">
      <c r="A5779" s="6"/>
      <c r="B5779" s="421"/>
      <c r="C5779" s="114"/>
      <c r="D5779" s="757"/>
      <c r="E5779" s="85"/>
      <c r="F5779" s="59">
        <f t="shared" si="356"/>
        <v>0</v>
      </c>
    </row>
    <row r="5780" spans="1:6" ht="12.75" customHeight="1" x14ac:dyDescent="0.2">
      <c r="A5780" s="6"/>
      <c r="B5780" s="421"/>
      <c r="C5780" s="114"/>
      <c r="D5780" s="757"/>
      <c r="E5780" s="85"/>
      <c r="F5780" s="59">
        <f t="shared" si="356"/>
        <v>0</v>
      </c>
    </row>
    <row r="5781" spans="1:6" ht="12.75" customHeight="1" x14ac:dyDescent="0.2">
      <c r="A5781" s="6"/>
      <c r="B5781" s="421"/>
      <c r="C5781" s="114"/>
      <c r="D5781" s="757"/>
      <c r="E5781" s="85"/>
      <c r="F5781" s="59">
        <f t="shared" si="356"/>
        <v>0</v>
      </c>
    </row>
    <row r="5782" spans="1:6" ht="12.75" customHeight="1" x14ac:dyDescent="0.2">
      <c r="A5782" s="6"/>
      <c r="B5782" s="421"/>
      <c r="C5782" s="114"/>
      <c r="D5782" s="757"/>
      <c r="E5782" s="85"/>
      <c r="F5782" s="59">
        <f t="shared" si="356"/>
        <v>0</v>
      </c>
    </row>
    <row r="5783" spans="1:6" ht="12.75" customHeight="1" x14ac:dyDescent="0.2">
      <c r="A5783" s="6"/>
      <c r="B5783" s="421"/>
      <c r="C5783" s="114"/>
      <c r="D5783" s="757"/>
      <c r="E5783" s="85"/>
      <c r="F5783" s="59">
        <f t="shared" si="356"/>
        <v>0</v>
      </c>
    </row>
    <row r="5784" spans="1:6" ht="12.75" customHeight="1" x14ac:dyDescent="0.2">
      <c r="A5784" s="6"/>
      <c r="B5784" s="421"/>
      <c r="C5784" s="114"/>
      <c r="D5784" s="758"/>
      <c r="E5784" s="85"/>
      <c r="F5784" s="59">
        <f t="shared" si="356"/>
        <v>0</v>
      </c>
    </row>
    <row r="5785" spans="1:6" ht="12.75" customHeight="1" x14ac:dyDescent="0.2">
      <c r="A5785" s="6"/>
      <c r="B5785" s="421"/>
      <c r="C5785" s="114"/>
      <c r="D5785" s="758"/>
      <c r="E5785" s="85"/>
      <c r="F5785" s="59">
        <f t="shared" si="356"/>
        <v>0</v>
      </c>
    </row>
    <row r="5786" spans="1:6" ht="12.75" customHeight="1" x14ac:dyDescent="0.2">
      <c r="A5786" s="6"/>
      <c r="B5786" s="421"/>
      <c r="C5786" s="114"/>
      <c r="D5786" s="758"/>
      <c r="E5786" s="85"/>
      <c r="F5786" s="59">
        <f t="shared" si="356"/>
        <v>0</v>
      </c>
    </row>
    <row r="5787" spans="1:6" ht="12.75" customHeight="1" x14ac:dyDescent="0.2">
      <c r="A5787" s="3"/>
      <c r="C5787" s="114"/>
      <c r="D5787" s="759"/>
      <c r="E5787" s="85"/>
      <c r="F5787" s="59">
        <f t="shared" si="356"/>
        <v>0</v>
      </c>
    </row>
    <row r="5788" spans="1:6" ht="12.75" customHeight="1" x14ac:dyDescent="0.2">
      <c r="A5788" s="3"/>
      <c r="C5788" s="114"/>
      <c r="D5788" s="759"/>
      <c r="E5788" s="85"/>
      <c r="F5788" s="59">
        <f t="shared" si="356"/>
        <v>0</v>
      </c>
    </row>
    <row r="5789" spans="1:6" ht="12.75" customHeight="1" x14ac:dyDescent="0.2">
      <c r="A5789" s="3"/>
      <c r="B5789" s="86" t="s">
        <v>258</v>
      </c>
      <c r="C5789" s="87"/>
      <c r="D5789" s="88"/>
      <c r="E5789" s="89"/>
      <c r="F5789" s="90">
        <f>SUM(F5773:F5788)</f>
        <v>0</v>
      </c>
    </row>
    <row r="5790" spans="1:6" ht="12.75" customHeight="1" x14ac:dyDescent="0.2">
      <c r="A5790" s="3"/>
      <c r="B5790" s="91" t="s">
        <v>70</v>
      </c>
      <c r="C5790" s="15">
        <f>$D$8</f>
        <v>0</v>
      </c>
      <c r="D5790" s="92"/>
      <c r="E5790" s="93"/>
      <c r="F5790" s="94">
        <f>ROUND(F5789*C5790,2)</f>
        <v>0</v>
      </c>
    </row>
    <row r="5791" spans="1:6" ht="12.75" customHeight="1" x14ac:dyDescent="0.2">
      <c r="A5791" s="95"/>
      <c r="B5791" s="424" t="s">
        <v>259</v>
      </c>
      <c r="C5791" s="425"/>
      <c r="D5791" s="425"/>
      <c r="E5791" s="426"/>
      <c r="F5791" s="96">
        <f>F5789+F5790</f>
        <v>0</v>
      </c>
    </row>
    <row r="5792" spans="1:6" ht="12.75" customHeight="1" x14ac:dyDescent="0.2">
      <c r="A5792" s="1" t="s">
        <v>5</v>
      </c>
      <c r="B5792" s="418" t="s">
        <v>267</v>
      </c>
      <c r="C5792" s="419" t="s">
        <v>263</v>
      </c>
      <c r="D5792" s="419" t="s">
        <v>264</v>
      </c>
      <c r="E5792" s="420" t="s">
        <v>265</v>
      </c>
      <c r="F5792" s="57" t="s">
        <v>266</v>
      </c>
    </row>
    <row r="5793" spans="1:6" ht="12.75" customHeight="1" x14ac:dyDescent="0.2">
      <c r="A5793" s="3"/>
      <c r="B5793" s="71"/>
      <c r="C5793" s="114"/>
      <c r="D5793" s="759"/>
      <c r="E5793" s="85"/>
      <c r="F5793" s="59">
        <f t="shared" ref="F5793:F5802" si="357">ROUND(C5793*E5793,2)</f>
        <v>0</v>
      </c>
    </row>
    <row r="5794" spans="1:6" ht="12.75" customHeight="1" x14ac:dyDescent="0.2">
      <c r="A5794" s="3"/>
      <c r="C5794" s="114"/>
      <c r="D5794" s="759"/>
      <c r="E5794" s="85"/>
      <c r="F5794" s="59">
        <f t="shared" si="357"/>
        <v>0</v>
      </c>
    </row>
    <row r="5795" spans="1:6" ht="12.75" customHeight="1" x14ac:dyDescent="0.2">
      <c r="A5795" s="3"/>
      <c r="C5795" s="114"/>
      <c r="D5795" s="759"/>
      <c r="E5795" s="85"/>
      <c r="F5795" s="59">
        <f t="shared" si="357"/>
        <v>0</v>
      </c>
    </row>
    <row r="5796" spans="1:6" ht="12.75" customHeight="1" x14ac:dyDescent="0.2">
      <c r="A5796" s="3"/>
      <c r="C5796" s="114"/>
      <c r="D5796" s="759"/>
      <c r="E5796" s="85"/>
      <c r="F5796" s="59">
        <f t="shared" si="357"/>
        <v>0</v>
      </c>
    </row>
    <row r="5797" spans="1:6" ht="12.75" customHeight="1" x14ac:dyDescent="0.2">
      <c r="A5797" s="3"/>
      <c r="C5797" s="114"/>
      <c r="D5797" s="759"/>
      <c r="E5797" s="85"/>
      <c r="F5797" s="59">
        <f t="shared" si="357"/>
        <v>0</v>
      </c>
    </row>
    <row r="5798" spans="1:6" ht="12.75" customHeight="1" x14ac:dyDescent="0.2">
      <c r="A5798" s="3"/>
      <c r="C5798" s="114"/>
      <c r="D5798" s="759"/>
      <c r="E5798" s="85"/>
      <c r="F5798" s="59">
        <f t="shared" si="357"/>
        <v>0</v>
      </c>
    </row>
    <row r="5799" spans="1:6" ht="12.75" customHeight="1" x14ac:dyDescent="0.2">
      <c r="A5799" s="3"/>
      <c r="C5799" s="114"/>
      <c r="D5799" s="759"/>
      <c r="E5799" s="85"/>
      <c r="F5799" s="59">
        <f t="shared" si="357"/>
        <v>0</v>
      </c>
    </row>
    <row r="5800" spans="1:6" ht="12.75" customHeight="1" x14ac:dyDescent="0.2">
      <c r="A5800" s="3"/>
      <c r="C5800" s="114"/>
      <c r="D5800" s="759"/>
      <c r="E5800" s="85"/>
      <c r="F5800" s="59">
        <f t="shared" si="357"/>
        <v>0</v>
      </c>
    </row>
    <row r="5801" spans="1:6" ht="12.75" customHeight="1" x14ac:dyDescent="0.2">
      <c r="A5801" s="3"/>
      <c r="C5801" s="114"/>
      <c r="D5801" s="759"/>
      <c r="E5801" s="85"/>
      <c r="F5801" s="59">
        <f t="shared" si="357"/>
        <v>0</v>
      </c>
    </row>
    <row r="5802" spans="1:6" ht="12.75" customHeight="1" x14ac:dyDescent="0.2">
      <c r="A5802" s="3"/>
      <c r="C5802" s="114"/>
      <c r="D5802" s="759"/>
      <c r="E5802" s="85"/>
      <c r="F5802" s="59">
        <f t="shared" si="357"/>
        <v>0</v>
      </c>
    </row>
    <row r="5803" spans="1:6" ht="12.75" customHeight="1" x14ac:dyDescent="0.2">
      <c r="A5803" s="3"/>
      <c r="B5803" s="86" t="s">
        <v>258</v>
      </c>
      <c r="C5803" s="87"/>
      <c r="D5803" s="88"/>
      <c r="E5803" s="89"/>
      <c r="F5803" s="90">
        <f>SUM(F5793:F5802)</f>
        <v>0</v>
      </c>
    </row>
    <row r="5804" spans="1:6" ht="12.75" customHeight="1" x14ac:dyDescent="0.2">
      <c r="A5804" s="3"/>
      <c r="B5804" s="91" t="s">
        <v>70</v>
      </c>
      <c r="C5804" s="15">
        <f>$D$8</f>
        <v>0</v>
      </c>
      <c r="D5804" s="92"/>
      <c r="E5804" s="93"/>
      <c r="F5804" s="94">
        <f>ROUND(C5804*F5803,2)</f>
        <v>0</v>
      </c>
    </row>
    <row r="5805" spans="1:6" ht="12.75" customHeight="1" x14ac:dyDescent="0.2">
      <c r="A5805" s="95"/>
      <c r="B5805" s="424" t="s">
        <v>260</v>
      </c>
      <c r="C5805" s="425"/>
      <c r="D5805" s="425"/>
      <c r="E5805" s="426"/>
      <c r="F5805" s="96">
        <f>F5803+F5804</f>
        <v>0</v>
      </c>
    </row>
    <row r="5806" spans="1:6" ht="12.75" customHeight="1" x14ac:dyDescent="0.2">
      <c r="A5806" s="97" t="s">
        <v>54</v>
      </c>
      <c r="B5806" s="427" t="s">
        <v>268</v>
      </c>
      <c r="C5806" s="428" t="s">
        <v>263</v>
      </c>
      <c r="D5806" s="429" t="s">
        <v>264</v>
      </c>
      <c r="E5806" s="430" t="s">
        <v>265</v>
      </c>
      <c r="F5806" s="57" t="s">
        <v>266</v>
      </c>
    </row>
    <row r="5807" spans="1:6" ht="12.75" customHeight="1" x14ac:dyDescent="0.2">
      <c r="A5807" s="3" t="str">
        <f>'A VII.'!$A$183</f>
        <v>3.3</v>
      </c>
      <c r="B5807" s="71" t="str">
        <f>VLOOKUP(A5807,'A VII.'!$A$10:$D$199,2,FALSE)</f>
        <v>AJUDANTE DE CARPINTEIRO</v>
      </c>
      <c r="C5807" s="114">
        <v>1</v>
      </c>
      <c r="D5807" s="759" t="str">
        <f>VLOOKUP(A5807,'A VII.'!$A$10:$D$199,3,FALSE)</f>
        <v>H</v>
      </c>
      <c r="E5807" s="85">
        <f>VLOOKUP(A5807,'A VII.'!$A$10:$D$199,4,FALSE)</f>
        <v>0</v>
      </c>
      <c r="F5807" s="59">
        <f t="shared" ref="F5807:F5813" si="358">ROUND(C5807*E5807,2)</f>
        <v>0</v>
      </c>
    </row>
    <row r="5808" spans="1:6" ht="12.75" customHeight="1" x14ac:dyDescent="0.2">
      <c r="A5808" s="3" t="str">
        <f>'A VII.'!$A$186</f>
        <v>3.6</v>
      </c>
      <c r="B5808" s="71" t="str">
        <f>VLOOKUP(A5808,'A VII.'!$A$10:$D$199,2,FALSE)</f>
        <v>CARPINTEIRO COM ENCARGOS COMPLEMENTARES</v>
      </c>
      <c r="C5808" s="114">
        <v>1</v>
      </c>
      <c r="D5808" s="759" t="str">
        <f>VLOOKUP(A5808,'A VII.'!$A$10:$D$199,3,FALSE)</f>
        <v>H</v>
      </c>
      <c r="E5808" s="85">
        <f>VLOOKUP(A5808,'A VII.'!$A$10:$D$199,4,FALSE)</f>
        <v>0</v>
      </c>
      <c r="F5808" s="59">
        <f>ROUND(C5808*E5808,2)</f>
        <v>0</v>
      </c>
    </row>
    <row r="5809" spans="1:6" ht="12.75" customHeight="1" x14ac:dyDescent="0.2">
      <c r="A5809" s="3"/>
      <c r="C5809" s="114"/>
      <c r="D5809" s="759"/>
      <c r="E5809" s="85"/>
      <c r="F5809" s="59">
        <f t="shared" si="358"/>
        <v>0</v>
      </c>
    </row>
    <row r="5810" spans="1:6" ht="12.75" customHeight="1" x14ac:dyDescent="0.2">
      <c r="A5810" s="3"/>
      <c r="C5810" s="114"/>
      <c r="D5810" s="759"/>
      <c r="E5810" s="85"/>
      <c r="F5810" s="59">
        <f t="shared" si="358"/>
        <v>0</v>
      </c>
    </row>
    <row r="5811" spans="1:6" ht="12.75" customHeight="1" x14ac:dyDescent="0.2">
      <c r="A5811" s="3"/>
      <c r="C5811" s="114"/>
      <c r="D5811" s="759"/>
      <c r="E5811" s="85"/>
      <c r="F5811" s="59">
        <f t="shared" si="358"/>
        <v>0</v>
      </c>
    </row>
    <row r="5812" spans="1:6" ht="12.75" customHeight="1" x14ac:dyDescent="0.2">
      <c r="A5812" s="3"/>
      <c r="C5812" s="114"/>
      <c r="D5812" s="759"/>
      <c r="E5812" s="85"/>
      <c r="F5812" s="59">
        <f t="shared" si="358"/>
        <v>0</v>
      </c>
    </row>
    <row r="5813" spans="1:6" ht="12.75" customHeight="1" x14ac:dyDescent="0.2">
      <c r="A5813" s="3"/>
      <c r="C5813" s="114"/>
      <c r="D5813" s="759"/>
      <c r="E5813" s="85"/>
      <c r="F5813" s="59">
        <f t="shared" si="358"/>
        <v>0</v>
      </c>
    </row>
    <row r="5814" spans="1:6" ht="12.75" customHeight="1" x14ac:dyDescent="0.2">
      <c r="A5814" s="3"/>
      <c r="B5814" s="86" t="s">
        <v>258</v>
      </c>
      <c r="C5814" s="87"/>
      <c r="D5814" s="88"/>
      <c r="E5814" s="89"/>
      <c r="F5814" s="90">
        <f>SUM(F5807:F5813)</f>
        <v>0</v>
      </c>
    </row>
    <row r="5815" spans="1:6" ht="12.75" customHeight="1" x14ac:dyDescent="0.2">
      <c r="A5815" s="3"/>
      <c r="B5815" s="91" t="s">
        <v>261</v>
      </c>
      <c r="C5815" s="15">
        <f>'A IX.'!$C$45</f>
        <v>0</v>
      </c>
      <c r="D5815" s="92"/>
      <c r="E5815" s="93"/>
      <c r="F5815" s="94">
        <f>ROUND(F5814*C5815,2)</f>
        <v>0</v>
      </c>
    </row>
    <row r="5816" spans="1:6" ht="12.75" customHeight="1" x14ac:dyDescent="0.2">
      <c r="A5816" s="3"/>
      <c r="B5816" s="91" t="s">
        <v>70</v>
      </c>
      <c r="C5816" s="15">
        <f>$D$8</f>
        <v>0</v>
      </c>
      <c r="D5816" s="92"/>
      <c r="E5816" s="93"/>
      <c r="F5816" s="94">
        <f>ROUND(SUM(F5814:F5815)*C5816,2)</f>
        <v>0</v>
      </c>
    </row>
    <row r="5817" spans="1:6" ht="12.75" customHeight="1" thickBot="1" x14ac:dyDescent="0.25">
      <c r="A5817" s="98"/>
      <c r="B5817" s="99" t="s">
        <v>262</v>
      </c>
      <c r="C5817" s="100"/>
      <c r="D5817" s="100"/>
      <c r="E5817" s="101"/>
      <c r="F5817" s="102">
        <f>SUM(F5814:F5816)</f>
        <v>0</v>
      </c>
    </row>
    <row r="5818" spans="1:6" ht="12.75" customHeight="1" thickBot="1" x14ac:dyDescent="0.25">
      <c r="A5818" s="252"/>
      <c r="B5818" s="253"/>
      <c r="C5818" s="254"/>
      <c r="D5818" s="254"/>
      <c r="E5818" s="255"/>
      <c r="F5818" s="256"/>
    </row>
    <row r="5819" spans="1:6" ht="30" customHeight="1" x14ac:dyDescent="0.2">
      <c r="A5819" s="5" t="str">
        <f>'A IV.A'!$A$170</f>
        <v>7.14</v>
      </c>
      <c r="B5819" s="416" t="str">
        <f>'A IV.A'!$B$170</f>
        <v>GUIA PRÉ-MOLDADA PARA PASSEIOS E JARDINS INTERNOS</v>
      </c>
      <c r="C5819" s="526" t="s">
        <v>269</v>
      </c>
      <c r="D5819" s="527"/>
      <c r="E5819" s="417" t="str">
        <f>'A IV.A'!$C$171</f>
        <v>M</v>
      </c>
      <c r="F5819" s="58">
        <f>ROUND(F5839+F5853+F5865,2)</f>
        <v>0</v>
      </c>
    </row>
    <row r="5820" spans="1:6" ht="12.75" customHeight="1" x14ac:dyDescent="0.2">
      <c r="A5820" s="1" t="s">
        <v>17</v>
      </c>
      <c r="B5820" s="418" t="s">
        <v>162</v>
      </c>
      <c r="C5820" s="419" t="s">
        <v>263</v>
      </c>
      <c r="D5820" s="419" t="s">
        <v>264</v>
      </c>
      <c r="E5820" s="420" t="s">
        <v>265</v>
      </c>
      <c r="F5820" s="57" t="s">
        <v>266</v>
      </c>
    </row>
    <row r="5821" spans="1:6" ht="12.75" customHeight="1" x14ac:dyDescent="0.2">
      <c r="A5821" s="6" t="str">
        <f>'A VII.'!$A$19</f>
        <v>1.10</v>
      </c>
      <c r="B5821" s="421" t="str">
        <f>VLOOKUP(A5821,'A VII.'!$A$10:$D$199,2,FALSE)</f>
        <v>AREIA MÉDIA LAVADA</v>
      </c>
      <c r="C5821" s="114">
        <f>0.0137104+0.00069</f>
        <v>1.4400399999999999E-2</v>
      </c>
      <c r="D5821" s="757" t="str">
        <f>VLOOKUP(A5821,'A VII.'!$A$10:$D$199,3,FALSE)</f>
        <v>M3</v>
      </c>
      <c r="E5821" s="85">
        <f>'A VII.'!$D$19</f>
        <v>0</v>
      </c>
      <c r="F5821" s="59">
        <f>ROUND(C5821*E5821,2)</f>
        <v>0</v>
      </c>
    </row>
    <row r="5822" spans="1:6" ht="12.75" customHeight="1" x14ac:dyDescent="0.2">
      <c r="A5822" s="6" t="str">
        <f>'A VII.'!$A$38</f>
        <v>1.29</v>
      </c>
      <c r="B5822" s="421" t="str">
        <f>VLOOKUP(A5822,'A VII.'!$A$10:$D$199,2,FALSE)</f>
        <v>CIMENTO PORTLAND CP II-E-32</v>
      </c>
      <c r="C5822" s="114">
        <f>4.47818+0.2649</f>
        <v>4.74308</v>
      </c>
      <c r="D5822" s="757" t="str">
        <f>VLOOKUP(A5822,'A VII.'!$A$10:$D$199,3,FALSE)</f>
        <v>KG</v>
      </c>
      <c r="E5822" s="85">
        <f>'A VII.'!$D$38</f>
        <v>0</v>
      </c>
      <c r="F5822" s="59">
        <f t="shared" ref="F5822:F5836" si="359">ROUND(C5822*E5822,2)</f>
        <v>0</v>
      </c>
    </row>
    <row r="5823" spans="1:6" ht="12.75" customHeight="1" x14ac:dyDescent="0.2">
      <c r="A5823" s="6" t="str">
        <f>'A VII.'!$A$58</f>
        <v>1.49</v>
      </c>
      <c r="B5823" s="421" t="str">
        <f>VLOOKUP(A5823,'A VII.'!$A$10:$D$199,2,FALSE)</f>
        <v>GUIA DE CONCRETO PRE-MOLDADO 19 X 6,5/6,5 CM (H X L1/L2)</v>
      </c>
      <c r="C5823" s="114">
        <v>1</v>
      </c>
      <c r="D5823" s="757" t="str">
        <f>VLOOKUP(A5823,'A VII.'!$A$10:$D$199,3,FALSE)</f>
        <v>M</v>
      </c>
      <c r="E5823" s="85">
        <f>'A VII.'!D58</f>
        <v>0</v>
      </c>
      <c r="F5823" s="59">
        <f t="shared" si="359"/>
        <v>0</v>
      </c>
    </row>
    <row r="5824" spans="1:6" ht="12.75" customHeight="1" x14ac:dyDescent="0.2">
      <c r="A5824" s="6" t="str">
        <f>'A VII.'!$A$82</f>
        <v>1.73</v>
      </c>
      <c r="B5824" s="421" t="str">
        <f>VLOOKUP(A5824,'A VII.'!$A$10:$D$199,2,FALSE)</f>
        <v>PEDRA BRITADA Nº 1 GRANULOMETRIA ENTRE (9,5 E 25,00 MM)</v>
      </c>
      <c r="C5824" s="114">
        <v>9.4955999999999999E-3</v>
      </c>
      <c r="D5824" s="757" t="str">
        <f>VLOOKUP(A5824,'A VII.'!$A$10:$D$199,3,FALSE)</f>
        <v>M3</v>
      </c>
      <c r="E5824" s="85">
        <f>'A VII.'!$D$82</f>
        <v>0</v>
      </c>
      <c r="F5824" s="59">
        <f t="shared" si="359"/>
        <v>0</v>
      </c>
    </row>
    <row r="5825" spans="1:6" ht="12.75" customHeight="1" x14ac:dyDescent="0.2">
      <c r="A5825" s="6"/>
      <c r="B5825" s="421"/>
      <c r="C5825" s="114"/>
      <c r="D5825" s="757"/>
      <c r="E5825" s="85"/>
      <c r="F5825" s="59">
        <f t="shared" si="359"/>
        <v>0</v>
      </c>
    </row>
    <row r="5826" spans="1:6" ht="12.75" customHeight="1" x14ac:dyDescent="0.2">
      <c r="A5826" s="6"/>
      <c r="B5826" s="421"/>
      <c r="C5826" s="114"/>
      <c r="D5826" s="757"/>
      <c r="E5826" s="85"/>
      <c r="F5826" s="59">
        <f t="shared" si="359"/>
        <v>0</v>
      </c>
    </row>
    <row r="5827" spans="1:6" ht="12.75" customHeight="1" x14ac:dyDescent="0.2">
      <c r="A5827" s="6"/>
      <c r="B5827" s="421"/>
      <c r="C5827" s="114"/>
      <c r="D5827" s="757"/>
      <c r="E5827" s="85"/>
      <c r="F5827" s="59">
        <f t="shared" si="359"/>
        <v>0</v>
      </c>
    </row>
    <row r="5828" spans="1:6" ht="12.75" customHeight="1" x14ac:dyDescent="0.2">
      <c r="A5828" s="6"/>
      <c r="B5828" s="421"/>
      <c r="C5828" s="114"/>
      <c r="D5828" s="757"/>
      <c r="E5828" s="85"/>
      <c r="F5828" s="59">
        <f t="shared" si="359"/>
        <v>0</v>
      </c>
    </row>
    <row r="5829" spans="1:6" ht="12.75" customHeight="1" x14ac:dyDescent="0.2">
      <c r="A5829" s="6"/>
      <c r="B5829" s="421"/>
      <c r="C5829" s="114"/>
      <c r="D5829" s="757"/>
      <c r="E5829" s="85"/>
      <c r="F5829" s="59">
        <f t="shared" si="359"/>
        <v>0</v>
      </c>
    </row>
    <row r="5830" spans="1:6" ht="12.75" customHeight="1" x14ac:dyDescent="0.2">
      <c r="A5830" s="6"/>
      <c r="B5830" s="421"/>
      <c r="C5830" s="114"/>
      <c r="D5830" s="757"/>
      <c r="E5830" s="85"/>
      <c r="F5830" s="59">
        <f t="shared" si="359"/>
        <v>0</v>
      </c>
    </row>
    <row r="5831" spans="1:6" ht="12.75" customHeight="1" x14ac:dyDescent="0.2">
      <c r="A5831" s="6"/>
      <c r="B5831" s="421"/>
      <c r="C5831" s="114"/>
      <c r="D5831" s="757"/>
      <c r="E5831" s="85"/>
      <c r="F5831" s="59">
        <f t="shared" si="359"/>
        <v>0</v>
      </c>
    </row>
    <row r="5832" spans="1:6" ht="12.75" customHeight="1" x14ac:dyDescent="0.2">
      <c r="A5832" s="6"/>
      <c r="B5832" s="421"/>
      <c r="C5832" s="114"/>
      <c r="D5832" s="758"/>
      <c r="E5832" s="85"/>
      <c r="F5832" s="59">
        <f t="shared" si="359"/>
        <v>0</v>
      </c>
    </row>
    <row r="5833" spans="1:6" ht="12.75" customHeight="1" x14ac:dyDescent="0.2">
      <c r="A5833" s="6"/>
      <c r="B5833" s="421"/>
      <c r="C5833" s="114"/>
      <c r="D5833" s="758"/>
      <c r="E5833" s="85"/>
      <c r="F5833" s="59">
        <f t="shared" si="359"/>
        <v>0</v>
      </c>
    </row>
    <row r="5834" spans="1:6" ht="12.75" customHeight="1" x14ac:dyDescent="0.2">
      <c r="A5834" s="6"/>
      <c r="B5834" s="421"/>
      <c r="C5834" s="114"/>
      <c r="D5834" s="758"/>
      <c r="E5834" s="85"/>
      <c r="F5834" s="59">
        <f t="shared" si="359"/>
        <v>0</v>
      </c>
    </row>
    <row r="5835" spans="1:6" ht="12.75" customHeight="1" x14ac:dyDescent="0.2">
      <c r="A5835" s="3"/>
      <c r="C5835" s="114"/>
      <c r="D5835" s="759"/>
      <c r="E5835" s="85"/>
      <c r="F5835" s="59">
        <f t="shared" si="359"/>
        <v>0</v>
      </c>
    </row>
    <row r="5836" spans="1:6" ht="12.75" customHeight="1" x14ac:dyDescent="0.2">
      <c r="A5836" s="3"/>
      <c r="C5836" s="114"/>
      <c r="D5836" s="759"/>
      <c r="E5836" s="85"/>
      <c r="F5836" s="59">
        <f t="shared" si="359"/>
        <v>0</v>
      </c>
    </row>
    <row r="5837" spans="1:6" ht="12.75" customHeight="1" x14ac:dyDescent="0.2">
      <c r="A5837" s="3"/>
      <c r="B5837" s="86" t="s">
        <v>258</v>
      </c>
      <c r="C5837" s="87"/>
      <c r="D5837" s="88"/>
      <c r="E5837" s="89"/>
      <c r="F5837" s="90">
        <f>SUM(F5821:F5836)</f>
        <v>0</v>
      </c>
    </row>
    <row r="5838" spans="1:6" ht="12.75" customHeight="1" x14ac:dyDescent="0.2">
      <c r="A5838" s="3"/>
      <c r="B5838" s="91" t="s">
        <v>70</v>
      </c>
      <c r="C5838" s="15">
        <f>$D$8</f>
        <v>0</v>
      </c>
      <c r="D5838" s="92"/>
      <c r="E5838" s="93"/>
      <c r="F5838" s="94">
        <f>ROUND(F5837*C5838,2)</f>
        <v>0</v>
      </c>
    </row>
    <row r="5839" spans="1:6" ht="12.75" customHeight="1" x14ac:dyDescent="0.2">
      <c r="A5839" s="95"/>
      <c r="B5839" s="424" t="s">
        <v>259</v>
      </c>
      <c r="C5839" s="425"/>
      <c r="D5839" s="425"/>
      <c r="E5839" s="426"/>
      <c r="F5839" s="96">
        <f>F5837+F5838</f>
        <v>0</v>
      </c>
    </row>
    <row r="5840" spans="1:6" ht="12.75" customHeight="1" x14ac:dyDescent="0.2">
      <c r="A5840" s="1" t="s">
        <v>5</v>
      </c>
      <c r="B5840" s="418" t="s">
        <v>267</v>
      </c>
      <c r="C5840" s="419" t="s">
        <v>263</v>
      </c>
      <c r="D5840" s="419" t="s">
        <v>264</v>
      </c>
      <c r="E5840" s="420" t="s">
        <v>265</v>
      </c>
      <c r="F5840" s="57" t="s">
        <v>266</v>
      </c>
    </row>
    <row r="5841" spans="1:6" ht="12.75" customHeight="1" x14ac:dyDescent="0.2">
      <c r="A5841" s="3" t="str">
        <f>'A VII.'!$A$149</f>
        <v>2.7</v>
      </c>
      <c r="B5841" s="71" t="str">
        <f>VLOOKUP(A5841,'A VII.'!$A$10:$D$199,2,FALSE)</f>
        <v>BETONEIRA, CAPACIDADE NOMINAL DE 400L, MOTOR ELÉTRICO TRIFÁSICO DE  2CV - CHP</v>
      </c>
      <c r="C5841" s="114">
        <f>0.012464+0.000474</f>
        <v>1.2938E-2</v>
      </c>
      <c r="D5841" s="759" t="str">
        <f>VLOOKUP(A5841,'A VII.'!$A$10:$D$199,3,FALSE)</f>
        <v>CHP</v>
      </c>
      <c r="E5841" s="85">
        <f>'A VII.'!$D$149</f>
        <v>0</v>
      </c>
      <c r="F5841" s="59">
        <f t="shared" ref="F5841:F5850" si="360">ROUND(C5841*E5841,2)</f>
        <v>0</v>
      </c>
    </row>
    <row r="5842" spans="1:6" ht="12.75" customHeight="1" x14ac:dyDescent="0.2">
      <c r="A5842" s="3" t="str">
        <f>'A VII.'!$A$148</f>
        <v>2.6</v>
      </c>
      <c r="B5842" s="74" t="str">
        <f>VLOOKUP(A5842,'A VII.'!$A$10:$D$199,2,FALSE)</f>
        <v>BETONEIRA, CAPACIDADE NOMINAL DE 400L, MOTOR ELÉTRICO TRIFÁSICO DE  2CV - CHI</v>
      </c>
      <c r="C5842" s="114">
        <f>0.011644+0.001572</f>
        <v>1.3216E-2</v>
      </c>
      <c r="D5842" s="759" t="str">
        <f>VLOOKUP(A5842,'A VII.'!$A$10:$D$199,3,FALSE)</f>
        <v>CHI</v>
      </c>
      <c r="E5842" s="85">
        <f>'A VII.'!$D$148</f>
        <v>0</v>
      </c>
      <c r="F5842" s="59">
        <f t="shared" si="360"/>
        <v>0</v>
      </c>
    </row>
    <row r="5843" spans="1:6" ht="12.75" customHeight="1" x14ac:dyDescent="0.2">
      <c r="A5843" s="3"/>
      <c r="C5843" s="114"/>
      <c r="D5843" s="759"/>
      <c r="E5843" s="85"/>
      <c r="F5843" s="59">
        <f t="shared" si="360"/>
        <v>0</v>
      </c>
    </row>
    <row r="5844" spans="1:6" ht="12.75" customHeight="1" x14ac:dyDescent="0.2">
      <c r="A5844" s="3"/>
      <c r="C5844" s="114"/>
      <c r="D5844" s="759"/>
      <c r="E5844" s="85"/>
      <c r="F5844" s="59">
        <f t="shared" si="360"/>
        <v>0</v>
      </c>
    </row>
    <row r="5845" spans="1:6" ht="12.75" customHeight="1" x14ac:dyDescent="0.2">
      <c r="A5845" s="3"/>
      <c r="C5845" s="114"/>
      <c r="D5845" s="759"/>
      <c r="E5845" s="85"/>
      <c r="F5845" s="59">
        <f t="shared" si="360"/>
        <v>0</v>
      </c>
    </row>
    <row r="5846" spans="1:6" ht="12.75" customHeight="1" x14ac:dyDescent="0.2">
      <c r="A5846" s="3"/>
      <c r="C5846" s="114"/>
      <c r="D5846" s="759"/>
      <c r="E5846" s="85"/>
      <c r="F5846" s="59">
        <f t="shared" si="360"/>
        <v>0</v>
      </c>
    </row>
    <row r="5847" spans="1:6" ht="12.75" customHeight="1" x14ac:dyDescent="0.2">
      <c r="A5847" s="3"/>
      <c r="C5847" s="114"/>
      <c r="D5847" s="759"/>
      <c r="E5847" s="85"/>
      <c r="F5847" s="59">
        <f t="shared" si="360"/>
        <v>0</v>
      </c>
    </row>
    <row r="5848" spans="1:6" ht="12.75" customHeight="1" x14ac:dyDescent="0.2">
      <c r="A5848" s="3"/>
      <c r="C5848" s="114"/>
      <c r="D5848" s="759"/>
      <c r="E5848" s="85"/>
      <c r="F5848" s="59">
        <f t="shared" si="360"/>
        <v>0</v>
      </c>
    </row>
    <row r="5849" spans="1:6" ht="12.75" customHeight="1" x14ac:dyDescent="0.2">
      <c r="A5849" s="3"/>
      <c r="C5849" s="114"/>
      <c r="D5849" s="759"/>
      <c r="E5849" s="85"/>
      <c r="F5849" s="59">
        <f t="shared" si="360"/>
        <v>0</v>
      </c>
    </row>
    <row r="5850" spans="1:6" ht="12.75" customHeight="1" x14ac:dyDescent="0.2">
      <c r="A5850" s="3"/>
      <c r="C5850" s="114"/>
      <c r="D5850" s="759"/>
      <c r="E5850" s="85"/>
      <c r="F5850" s="59">
        <f t="shared" si="360"/>
        <v>0</v>
      </c>
    </row>
    <row r="5851" spans="1:6" ht="12.75" customHeight="1" x14ac:dyDescent="0.2">
      <c r="A5851" s="3"/>
      <c r="B5851" s="86" t="s">
        <v>258</v>
      </c>
      <c r="C5851" s="87"/>
      <c r="D5851" s="88"/>
      <c r="E5851" s="89"/>
      <c r="F5851" s="90">
        <f>SUM(F5841:F5850)</f>
        <v>0</v>
      </c>
    </row>
    <row r="5852" spans="1:6" ht="12.75" customHeight="1" x14ac:dyDescent="0.2">
      <c r="A5852" s="3"/>
      <c r="B5852" s="91" t="s">
        <v>70</v>
      </c>
      <c r="C5852" s="15">
        <f>$D$8</f>
        <v>0</v>
      </c>
      <c r="D5852" s="92"/>
      <c r="E5852" s="93"/>
      <c r="F5852" s="94">
        <f>ROUND(C5852*F5851,2)</f>
        <v>0</v>
      </c>
    </row>
    <row r="5853" spans="1:6" ht="12.75" customHeight="1" x14ac:dyDescent="0.2">
      <c r="A5853" s="95"/>
      <c r="B5853" s="424" t="s">
        <v>260</v>
      </c>
      <c r="C5853" s="425"/>
      <c r="D5853" s="425"/>
      <c r="E5853" s="426"/>
      <c r="F5853" s="96">
        <f>F5851+F5852</f>
        <v>0</v>
      </c>
    </row>
    <row r="5854" spans="1:6" ht="12.75" customHeight="1" x14ac:dyDescent="0.2">
      <c r="A5854" s="97" t="s">
        <v>54</v>
      </c>
      <c r="B5854" s="427" t="s">
        <v>268</v>
      </c>
      <c r="C5854" s="428" t="s">
        <v>263</v>
      </c>
      <c r="D5854" s="429" t="s">
        <v>264</v>
      </c>
      <c r="E5854" s="430" t="s">
        <v>265</v>
      </c>
      <c r="F5854" s="57" t="s">
        <v>266</v>
      </c>
    </row>
    <row r="5855" spans="1:6" ht="12.75" customHeight="1" x14ac:dyDescent="0.2">
      <c r="A5855" s="3" t="str">
        <f>'A VII.'!$A$192</f>
        <v>3.12</v>
      </c>
      <c r="B5855" s="74" t="str">
        <f>'A VII.'!$B$192</f>
        <v>PEDREIRO COM ENCARGOS COMPLEMENTARES</v>
      </c>
      <c r="C5855" s="114">
        <v>0.08</v>
      </c>
      <c r="D5855" s="759" t="str">
        <f>VLOOKUP(A5855,'A VII.'!$A$10:$D$199,3,FALSE)</f>
        <v>H</v>
      </c>
      <c r="E5855" s="85">
        <f>'A VII.'!$D$192</f>
        <v>0</v>
      </c>
      <c r="F5855" s="59">
        <f t="shared" ref="F5855:F5861" si="361">ROUND(C5855*E5855,2)</f>
        <v>0</v>
      </c>
    </row>
    <row r="5856" spans="1:6" ht="12.75" customHeight="1" x14ac:dyDescent="0.2">
      <c r="A5856" s="3" t="str">
        <f>'A VII.'!$A$196</f>
        <v>3.16</v>
      </c>
      <c r="B5856" s="74" t="str">
        <f>'A VII.'!$B$196</f>
        <v>SERVENTE COM ENCARGOS COMPLEMENTARES</v>
      </c>
      <c r="C5856" s="114">
        <f>0.06232+0.002046+0.16</f>
        <v>0.22436600000000001</v>
      </c>
      <c r="D5856" s="759" t="str">
        <f>VLOOKUP(A5856,'A VII.'!$A$10:$D$199,3,FALSE)</f>
        <v>H</v>
      </c>
      <c r="E5856" s="85">
        <f>'A VII.'!$D$196</f>
        <v>0</v>
      </c>
      <c r="F5856" s="59">
        <f>ROUND(C5856*E5856,2)</f>
        <v>0</v>
      </c>
    </row>
    <row r="5857" spans="1:6" ht="12.75" customHeight="1" x14ac:dyDescent="0.2">
      <c r="A5857" s="3"/>
      <c r="C5857" s="114"/>
      <c r="D5857" s="759"/>
      <c r="E5857" s="85"/>
      <c r="F5857" s="59">
        <f t="shared" si="361"/>
        <v>0</v>
      </c>
    </row>
    <row r="5858" spans="1:6" ht="12.75" customHeight="1" x14ac:dyDescent="0.2">
      <c r="A5858" s="3"/>
      <c r="C5858" s="114"/>
      <c r="D5858" s="759"/>
      <c r="E5858" s="85"/>
      <c r="F5858" s="59">
        <f t="shared" si="361"/>
        <v>0</v>
      </c>
    </row>
    <row r="5859" spans="1:6" ht="12.75" customHeight="1" x14ac:dyDescent="0.2">
      <c r="A5859" s="3"/>
      <c r="C5859" s="114"/>
      <c r="D5859" s="759"/>
      <c r="E5859" s="85"/>
      <c r="F5859" s="59">
        <f t="shared" si="361"/>
        <v>0</v>
      </c>
    </row>
    <row r="5860" spans="1:6" ht="12.75" customHeight="1" x14ac:dyDescent="0.2">
      <c r="A5860" s="3"/>
      <c r="C5860" s="114"/>
      <c r="D5860" s="759"/>
      <c r="E5860" s="85"/>
      <c r="F5860" s="59">
        <f t="shared" si="361"/>
        <v>0</v>
      </c>
    </row>
    <row r="5861" spans="1:6" ht="12.75" customHeight="1" x14ac:dyDescent="0.2">
      <c r="A5861" s="3"/>
      <c r="C5861" s="114"/>
      <c r="D5861" s="759"/>
      <c r="E5861" s="85"/>
      <c r="F5861" s="59">
        <f t="shared" si="361"/>
        <v>0</v>
      </c>
    </row>
    <row r="5862" spans="1:6" ht="12.75" customHeight="1" x14ac:dyDescent="0.2">
      <c r="A5862" s="3"/>
      <c r="B5862" s="86" t="s">
        <v>258</v>
      </c>
      <c r="C5862" s="87"/>
      <c r="D5862" s="88"/>
      <c r="E5862" s="89"/>
      <c r="F5862" s="90">
        <f>SUM(F5855:F5861)</f>
        <v>0</v>
      </c>
    </row>
    <row r="5863" spans="1:6" ht="12.75" customHeight="1" x14ac:dyDescent="0.2">
      <c r="A5863" s="3"/>
      <c r="B5863" s="91" t="s">
        <v>261</v>
      </c>
      <c r="C5863" s="15">
        <f>'A IX.'!$C$45</f>
        <v>0</v>
      </c>
      <c r="D5863" s="92"/>
      <c r="E5863" s="93"/>
      <c r="F5863" s="94">
        <f>ROUND(F5862*C5863,2)</f>
        <v>0</v>
      </c>
    </row>
    <row r="5864" spans="1:6" ht="12.75" customHeight="1" x14ac:dyDescent="0.2">
      <c r="A5864" s="3"/>
      <c r="B5864" s="91" t="s">
        <v>70</v>
      </c>
      <c r="C5864" s="15">
        <f>$D$8</f>
        <v>0</v>
      </c>
      <c r="D5864" s="92"/>
      <c r="E5864" s="93"/>
      <c r="F5864" s="94">
        <f>ROUND(SUM(F5862:F5863)*C5864,2)</f>
        <v>0</v>
      </c>
    </row>
    <row r="5865" spans="1:6" ht="12.75" customHeight="1" thickBot="1" x14ac:dyDescent="0.25">
      <c r="A5865" s="98"/>
      <c r="B5865" s="99" t="s">
        <v>262</v>
      </c>
      <c r="C5865" s="100"/>
      <c r="D5865" s="100"/>
      <c r="E5865" s="101"/>
      <c r="F5865" s="102">
        <f>SUM(F5862:F5864)</f>
        <v>0</v>
      </c>
    </row>
    <row r="5866" spans="1:6" ht="12.75" customHeight="1" thickBot="1" x14ac:dyDescent="0.25">
      <c r="A5866" s="81"/>
      <c r="B5866" s="82"/>
      <c r="C5866" s="83"/>
      <c r="D5866" s="83"/>
      <c r="E5866" s="84"/>
      <c r="F5866" s="103"/>
    </row>
    <row r="5867" spans="1:6" ht="30" customHeight="1" x14ac:dyDescent="0.2">
      <c r="A5867" s="5" t="str">
        <f>'A IV.A'!$A$171</f>
        <v>7.15</v>
      </c>
      <c r="B5867" s="416" t="str">
        <f>'A IV.A'!$B$171</f>
        <v>GUIA PRÉ-MOLDADA DE CONCRETO, ASSENTADA COM CONCRETO FCK=15MPA</v>
      </c>
      <c r="C5867" s="526" t="s">
        <v>269</v>
      </c>
      <c r="D5867" s="527"/>
      <c r="E5867" s="417" t="str">
        <f>'A IV.A'!$C$171</f>
        <v>M</v>
      </c>
      <c r="F5867" s="58">
        <f>ROUND(F5887+F5901+F5913,2)</f>
        <v>0</v>
      </c>
    </row>
    <row r="5868" spans="1:6" ht="12.75" customHeight="1" x14ac:dyDescent="0.2">
      <c r="A5868" s="1" t="s">
        <v>17</v>
      </c>
      <c r="B5868" s="418" t="s">
        <v>162</v>
      </c>
      <c r="C5868" s="419" t="s">
        <v>263</v>
      </c>
      <c r="D5868" s="419" t="s">
        <v>264</v>
      </c>
      <c r="E5868" s="420" t="s">
        <v>265</v>
      </c>
      <c r="F5868" s="57" t="s">
        <v>266</v>
      </c>
    </row>
    <row r="5869" spans="1:6" ht="12.75" customHeight="1" x14ac:dyDescent="0.2">
      <c r="A5869" s="6" t="str">
        <f>'A VII.'!$A$19</f>
        <v>1.10</v>
      </c>
      <c r="B5869" s="421" t="str">
        <f>VLOOKUP(A5869,'A VII.'!$A$10:$D$199,2,FALSE)</f>
        <v>AREIA MÉDIA LAVADA</v>
      </c>
      <c r="C5869" s="114">
        <f>0.0137104+0.00069</f>
        <v>1.4400399999999999E-2</v>
      </c>
      <c r="D5869" s="757" t="str">
        <f>VLOOKUP(A5869,'A VII.'!$A$10:$D$199,3,FALSE)</f>
        <v>M3</v>
      </c>
      <c r="E5869" s="85">
        <f>'A VII.'!$D$19</f>
        <v>0</v>
      </c>
      <c r="F5869" s="59">
        <f>ROUND(C5869*E5869,2)</f>
        <v>0</v>
      </c>
    </row>
    <row r="5870" spans="1:6" ht="12.75" customHeight="1" x14ac:dyDescent="0.2">
      <c r="A5870" s="6" t="str">
        <f>'A VII.'!$A$38</f>
        <v>1.29</v>
      </c>
      <c r="B5870" s="421" t="str">
        <f>VLOOKUP(A5870,'A VII.'!$A$10:$D$199,2,FALSE)</f>
        <v>CIMENTO PORTLAND CP II-E-32</v>
      </c>
      <c r="C5870" s="114">
        <f>4.47818+0.2649</f>
        <v>4.74308</v>
      </c>
      <c r="D5870" s="757" t="str">
        <f>VLOOKUP(A5870,'A VII.'!$A$10:$D$199,3,FALSE)</f>
        <v>KG</v>
      </c>
      <c r="E5870" s="85">
        <f>'A VII.'!$D$38</f>
        <v>0</v>
      </c>
      <c r="F5870" s="59">
        <f t="shared" ref="F5870:F5884" si="362">ROUND(C5870*E5870,2)</f>
        <v>0</v>
      </c>
    </row>
    <row r="5871" spans="1:6" ht="12.75" customHeight="1" x14ac:dyDescent="0.2">
      <c r="A5871" s="6" t="str">
        <f>'A VII.'!$A$65</f>
        <v>1.56</v>
      </c>
      <c r="B5871" s="421" t="str">
        <f>VLOOKUP(A5871,'A VII.'!$A$10:$D$199,2,FALSE)</f>
        <v>MEIO-FIO OU GUIA DE CONCRETO PRÉ-MOLDADA, COMPRIMENTO DE 1,0 M - 30 X 15 X 12 CM</v>
      </c>
      <c r="C5871" s="114">
        <v>1.04</v>
      </c>
      <c r="D5871" s="757" t="str">
        <f>VLOOKUP(A5871,'A VII.'!$A$10:$D$199,3,FALSE)</f>
        <v>UN</v>
      </c>
      <c r="E5871" s="85">
        <f>'A VII.'!$D$65</f>
        <v>0</v>
      </c>
      <c r="F5871" s="59">
        <f t="shared" si="362"/>
        <v>0</v>
      </c>
    </row>
    <row r="5872" spans="1:6" ht="12.75" customHeight="1" x14ac:dyDescent="0.2">
      <c r="A5872" s="6" t="str">
        <f>'A VII.'!$A$82</f>
        <v>1.73</v>
      </c>
      <c r="B5872" s="421" t="str">
        <f>VLOOKUP(A5872,'A VII.'!$A$10:$D$199,2,FALSE)</f>
        <v>PEDRA BRITADA Nº 1 GRANULOMETRIA ENTRE (9,5 E 25,00 MM)</v>
      </c>
      <c r="C5872" s="114">
        <v>9.4955999999999999E-3</v>
      </c>
      <c r="D5872" s="757" t="str">
        <f>VLOOKUP(A5872,'A VII.'!$A$10:$D$199,3,FALSE)</f>
        <v>M3</v>
      </c>
      <c r="E5872" s="85">
        <f>'A VII.'!$D$82</f>
        <v>0</v>
      </c>
      <c r="F5872" s="59">
        <f t="shared" si="362"/>
        <v>0</v>
      </c>
    </row>
    <row r="5873" spans="1:6" ht="12.75" customHeight="1" x14ac:dyDescent="0.2">
      <c r="A5873" s="6"/>
      <c r="B5873" s="421"/>
      <c r="C5873" s="114"/>
      <c r="D5873" s="757"/>
      <c r="E5873" s="85"/>
      <c r="F5873" s="59">
        <f t="shared" si="362"/>
        <v>0</v>
      </c>
    </row>
    <row r="5874" spans="1:6" ht="12.75" customHeight="1" x14ac:dyDescent="0.2">
      <c r="A5874" s="6"/>
      <c r="B5874" s="421"/>
      <c r="C5874" s="114"/>
      <c r="D5874" s="757"/>
      <c r="E5874" s="85"/>
      <c r="F5874" s="59">
        <f t="shared" si="362"/>
        <v>0</v>
      </c>
    </row>
    <row r="5875" spans="1:6" ht="12.75" customHeight="1" x14ac:dyDescent="0.2">
      <c r="A5875" s="6"/>
      <c r="B5875" s="421"/>
      <c r="C5875" s="114"/>
      <c r="D5875" s="757"/>
      <c r="E5875" s="85"/>
      <c r="F5875" s="59">
        <f t="shared" si="362"/>
        <v>0</v>
      </c>
    </row>
    <row r="5876" spans="1:6" ht="12.75" customHeight="1" x14ac:dyDescent="0.2">
      <c r="A5876" s="6"/>
      <c r="B5876" s="421"/>
      <c r="C5876" s="114"/>
      <c r="D5876" s="757"/>
      <c r="E5876" s="85"/>
      <c r="F5876" s="59">
        <f t="shared" si="362"/>
        <v>0</v>
      </c>
    </row>
    <row r="5877" spans="1:6" ht="12.75" customHeight="1" x14ac:dyDescent="0.2">
      <c r="A5877" s="6"/>
      <c r="B5877" s="421"/>
      <c r="C5877" s="114"/>
      <c r="D5877" s="757"/>
      <c r="E5877" s="85"/>
      <c r="F5877" s="59">
        <f t="shared" si="362"/>
        <v>0</v>
      </c>
    </row>
    <row r="5878" spans="1:6" ht="12.75" customHeight="1" x14ac:dyDescent="0.2">
      <c r="A5878" s="6"/>
      <c r="B5878" s="421"/>
      <c r="C5878" s="114"/>
      <c r="D5878" s="757"/>
      <c r="E5878" s="85"/>
      <c r="F5878" s="59">
        <f t="shared" si="362"/>
        <v>0</v>
      </c>
    </row>
    <row r="5879" spans="1:6" ht="12.75" customHeight="1" x14ac:dyDescent="0.2">
      <c r="A5879" s="6"/>
      <c r="B5879" s="421"/>
      <c r="C5879" s="114"/>
      <c r="D5879" s="757"/>
      <c r="E5879" s="85"/>
      <c r="F5879" s="59">
        <f t="shared" si="362"/>
        <v>0</v>
      </c>
    </row>
    <row r="5880" spans="1:6" ht="12.75" customHeight="1" x14ac:dyDescent="0.2">
      <c r="A5880" s="6"/>
      <c r="B5880" s="421"/>
      <c r="C5880" s="114"/>
      <c r="D5880" s="758"/>
      <c r="E5880" s="85"/>
      <c r="F5880" s="59">
        <f t="shared" si="362"/>
        <v>0</v>
      </c>
    </row>
    <row r="5881" spans="1:6" ht="12.75" customHeight="1" x14ac:dyDescent="0.2">
      <c r="A5881" s="6"/>
      <c r="B5881" s="421"/>
      <c r="C5881" s="114"/>
      <c r="D5881" s="758"/>
      <c r="E5881" s="85"/>
      <c r="F5881" s="59">
        <f t="shared" si="362"/>
        <v>0</v>
      </c>
    </row>
    <row r="5882" spans="1:6" ht="12.75" customHeight="1" x14ac:dyDescent="0.2">
      <c r="A5882" s="6"/>
      <c r="B5882" s="421"/>
      <c r="C5882" s="114"/>
      <c r="D5882" s="758"/>
      <c r="E5882" s="85"/>
      <c r="F5882" s="59">
        <f t="shared" si="362"/>
        <v>0</v>
      </c>
    </row>
    <row r="5883" spans="1:6" ht="12.75" customHeight="1" x14ac:dyDescent="0.2">
      <c r="A5883" s="3"/>
      <c r="C5883" s="114"/>
      <c r="D5883" s="759"/>
      <c r="E5883" s="85"/>
      <c r="F5883" s="59">
        <f t="shared" si="362"/>
        <v>0</v>
      </c>
    </row>
    <row r="5884" spans="1:6" ht="12.75" customHeight="1" x14ac:dyDescent="0.2">
      <c r="A5884" s="3"/>
      <c r="C5884" s="114"/>
      <c r="D5884" s="759"/>
      <c r="E5884" s="85"/>
      <c r="F5884" s="59">
        <f t="shared" si="362"/>
        <v>0</v>
      </c>
    </row>
    <row r="5885" spans="1:6" ht="12.75" customHeight="1" x14ac:dyDescent="0.2">
      <c r="A5885" s="3"/>
      <c r="B5885" s="86" t="s">
        <v>258</v>
      </c>
      <c r="C5885" s="87"/>
      <c r="D5885" s="88"/>
      <c r="E5885" s="89"/>
      <c r="F5885" s="90">
        <f>SUM(F5869:F5884)</f>
        <v>0</v>
      </c>
    </row>
    <row r="5886" spans="1:6" ht="12.75" customHeight="1" x14ac:dyDescent="0.2">
      <c r="A5886" s="3"/>
      <c r="B5886" s="91" t="s">
        <v>70</v>
      </c>
      <c r="C5886" s="15">
        <f>$D$8</f>
        <v>0</v>
      </c>
      <c r="D5886" s="92"/>
      <c r="E5886" s="93"/>
      <c r="F5886" s="94">
        <f>ROUND(F5885*C5886,2)</f>
        <v>0</v>
      </c>
    </row>
    <row r="5887" spans="1:6" ht="12.75" customHeight="1" x14ac:dyDescent="0.2">
      <c r="A5887" s="95"/>
      <c r="B5887" s="424" t="s">
        <v>259</v>
      </c>
      <c r="C5887" s="425"/>
      <c r="D5887" s="425"/>
      <c r="E5887" s="426"/>
      <c r="F5887" s="96">
        <f>F5885+F5886</f>
        <v>0</v>
      </c>
    </row>
    <row r="5888" spans="1:6" ht="12.75" customHeight="1" x14ac:dyDescent="0.2">
      <c r="A5888" s="1" t="s">
        <v>5</v>
      </c>
      <c r="B5888" s="418" t="s">
        <v>267</v>
      </c>
      <c r="C5888" s="419" t="s">
        <v>263</v>
      </c>
      <c r="D5888" s="419" t="s">
        <v>264</v>
      </c>
      <c r="E5888" s="420" t="s">
        <v>265</v>
      </c>
      <c r="F5888" s="57" t="s">
        <v>266</v>
      </c>
    </row>
    <row r="5889" spans="1:6" ht="12.75" customHeight="1" x14ac:dyDescent="0.2">
      <c r="A5889" s="3" t="str">
        <f>'A VII.'!$A$149</f>
        <v>2.7</v>
      </c>
      <c r="B5889" s="71" t="str">
        <f>VLOOKUP(A5889,'A VII.'!$A$10:$D$199,2,FALSE)</f>
        <v>BETONEIRA, CAPACIDADE NOMINAL DE 400L, MOTOR ELÉTRICO TRIFÁSICO DE  2CV - CHP</v>
      </c>
      <c r="C5889" s="114">
        <f>0.012464+0.000474</f>
        <v>1.2938E-2</v>
      </c>
      <c r="D5889" s="759" t="str">
        <f>VLOOKUP(A5889,'A VII.'!$A$10:$D$199,3,FALSE)</f>
        <v>CHP</v>
      </c>
      <c r="E5889" s="85">
        <f>'A VII.'!$D$149</f>
        <v>0</v>
      </c>
      <c r="F5889" s="59">
        <f t="shared" ref="F5889:F5898" si="363">ROUND(C5889*E5889,2)</f>
        <v>0</v>
      </c>
    </row>
    <row r="5890" spans="1:6" ht="12.75" customHeight="1" x14ac:dyDescent="0.2">
      <c r="A5890" s="3" t="str">
        <f>'A VII.'!$A$148</f>
        <v>2.6</v>
      </c>
      <c r="B5890" s="71" t="str">
        <f>VLOOKUP(A5890,'A VII.'!$A$10:$D$199,2,FALSE)</f>
        <v>BETONEIRA, CAPACIDADE NOMINAL DE 400L, MOTOR ELÉTRICO TRIFÁSICO DE  2CV - CHI</v>
      </c>
      <c r="C5890" s="114">
        <f>0.011644+0.001572</f>
        <v>1.3216E-2</v>
      </c>
      <c r="D5890" s="759" t="str">
        <f>VLOOKUP(A5890,'A VII.'!$A$10:$D$199,3,FALSE)</f>
        <v>CHI</v>
      </c>
      <c r="E5890" s="85">
        <f>'A VII.'!$D$148</f>
        <v>0</v>
      </c>
      <c r="F5890" s="59">
        <f t="shared" si="363"/>
        <v>0</v>
      </c>
    </row>
    <row r="5891" spans="1:6" ht="12.75" customHeight="1" x14ac:dyDescent="0.2">
      <c r="A5891" s="3"/>
      <c r="C5891" s="114"/>
      <c r="D5891" s="759"/>
      <c r="E5891" s="85"/>
      <c r="F5891" s="59">
        <f t="shared" si="363"/>
        <v>0</v>
      </c>
    </row>
    <row r="5892" spans="1:6" ht="12.75" customHeight="1" x14ac:dyDescent="0.2">
      <c r="A5892" s="3"/>
      <c r="C5892" s="114"/>
      <c r="D5892" s="759"/>
      <c r="E5892" s="85"/>
      <c r="F5892" s="59">
        <f t="shared" si="363"/>
        <v>0</v>
      </c>
    </row>
    <row r="5893" spans="1:6" ht="12.75" customHeight="1" x14ac:dyDescent="0.2">
      <c r="A5893" s="3"/>
      <c r="C5893" s="114"/>
      <c r="D5893" s="759"/>
      <c r="E5893" s="85"/>
      <c r="F5893" s="59">
        <f t="shared" si="363"/>
        <v>0</v>
      </c>
    </row>
    <row r="5894" spans="1:6" ht="12.75" customHeight="1" x14ac:dyDescent="0.2">
      <c r="A5894" s="3"/>
      <c r="C5894" s="114"/>
      <c r="D5894" s="759"/>
      <c r="E5894" s="85"/>
      <c r="F5894" s="59">
        <f t="shared" si="363"/>
        <v>0</v>
      </c>
    </row>
    <row r="5895" spans="1:6" ht="12.75" customHeight="1" x14ac:dyDescent="0.2">
      <c r="A5895" s="3"/>
      <c r="C5895" s="114"/>
      <c r="D5895" s="759"/>
      <c r="E5895" s="85"/>
      <c r="F5895" s="59">
        <f t="shared" si="363"/>
        <v>0</v>
      </c>
    </row>
    <row r="5896" spans="1:6" ht="12.75" customHeight="1" x14ac:dyDescent="0.2">
      <c r="A5896" s="3"/>
      <c r="C5896" s="114"/>
      <c r="D5896" s="759"/>
      <c r="E5896" s="85"/>
      <c r="F5896" s="59">
        <f t="shared" si="363"/>
        <v>0</v>
      </c>
    </row>
    <row r="5897" spans="1:6" ht="12.75" customHeight="1" x14ac:dyDescent="0.2">
      <c r="A5897" s="3"/>
      <c r="C5897" s="114"/>
      <c r="D5897" s="759"/>
      <c r="E5897" s="85"/>
      <c r="F5897" s="59">
        <f t="shared" si="363"/>
        <v>0</v>
      </c>
    </row>
    <row r="5898" spans="1:6" ht="12.75" customHeight="1" x14ac:dyDescent="0.2">
      <c r="A5898" s="3"/>
      <c r="C5898" s="114"/>
      <c r="D5898" s="759"/>
      <c r="E5898" s="85"/>
      <c r="F5898" s="59">
        <f t="shared" si="363"/>
        <v>0</v>
      </c>
    </row>
    <row r="5899" spans="1:6" ht="12.75" customHeight="1" x14ac:dyDescent="0.2">
      <c r="A5899" s="3"/>
      <c r="B5899" s="86" t="s">
        <v>258</v>
      </c>
      <c r="C5899" s="87"/>
      <c r="D5899" s="88"/>
      <c r="E5899" s="89"/>
      <c r="F5899" s="90">
        <f>SUM(F5889:F5898)</f>
        <v>0</v>
      </c>
    </row>
    <row r="5900" spans="1:6" ht="12.75" customHeight="1" x14ac:dyDescent="0.2">
      <c r="A5900" s="3"/>
      <c r="B5900" s="91" t="s">
        <v>70</v>
      </c>
      <c r="C5900" s="15">
        <f>$D$8</f>
        <v>0</v>
      </c>
      <c r="D5900" s="92"/>
      <c r="E5900" s="93"/>
      <c r="F5900" s="94">
        <f>ROUND(C5900*F5899,2)</f>
        <v>0</v>
      </c>
    </row>
    <row r="5901" spans="1:6" ht="12.75" customHeight="1" x14ac:dyDescent="0.2">
      <c r="A5901" s="95"/>
      <c r="B5901" s="424" t="s">
        <v>260</v>
      </c>
      <c r="C5901" s="425"/>
      <c r="D5901" s="425"/>
      <c r="E5901" s="426"/>
      <c r="F5901" s="96">
        <f>F5899+F5900</f>
        <v>0</v>
      </c>
    </row>
    <row r="5902" spans="1:6" ht="12.75" customHeight="1" x14ac:dyDescent="0.2">
      <c r="A5902" s="97" t="s">
        <v>54</v>
      </c>
      <c r="B5902" s="427" t="s">
        <v>268</v>
      </c>
      <c r="C5902" s="428" t="s">
        <v>263</v>
      </c>
      <c r="D5902" s="429" t="s">
        <v>264</v>
      </c>
      <c r="E5902" s="430" t="s">
        <v>265</v>
      </c>
      <c r="F5902" s="57" t="s">
        <v>266</v>
      </c>
    </row>
    <row r="5903" spans="1:6" ht="12.75" customHeight="1" x14ac:dyDescent="0.2">
      <c r="A5903" s="3" t="str">
        <f>'A VII.'!$A$192</f>
        <v>3.12</v>
      </c>
      <c r="B5903" s="74" t="str">
        <f>'A VII.'!$B$192</f>
        <v>PEDREIRO COM ENCARGOS COMPLEMENTARES</v>
      </c>
      <c r="C5903" s="114">
        <v>0.2</v>
      </c>
      <c r="D5903" s="759" t="str">
        <f>VLOOKUP(A5903,'A VII.'!$A$10:$D$199,3,FALSE)</f>
        <v>H</v>
      </c>
      <c r="E5903" s="85">
        <f>'A VII.'!$D$192</f>
        <v>0</v>
      </c>
      <c r="F5903" s="59">
        <f t="shared" ref="F5903:F5909" si="364">ROUND(C5903*E5903,2)</f>
        <v>0</v>
      </c>
    </row>
    <row r="5904" spans="1:6" ht="12.75" customHeight="1" x14ac:dyDescent="0.2">
      <c r="A5904" s="3" t="str">
        <f>'A VII.'!$A$196</f>
        <v>3.16</v>
      </c>
      <c r="B5904" s="74" t="str">
        <f>'A VII.'!$B$196</f>
        <v>SERVENTE COM ENCARGOS COMPLEMENTARES</v>
      </c>
      <c r="C5904" s="114">
        <f>0.06232+0.002046+0.3</f>
        <v>0.36436599999999997</v>
      </c>
      <c r="D5904" s="759" t="str">
        <f>VLOOKUP(A5904,'A VII.'!$A$10:$D$199,3,FALSE)</f>
        <v>H</v>
      </c>
      <c r="E5904" s="85">
        <f>'A VII.'!$D$196</f>
        <v>0</v>
      </c>
      <c r="F5904" s="59">
        <f>ROUND(C5904*E5904,2)</f>
        <v>0</v>
      </c>
    </row>
    <row r="5905" spans="1:6" ht="12.75" customHeight="1" x14ac:dyDescent="0.2">
      <c r="A5905" s="3"/>
      <c r="C5905" s="114"/>
      <c r="D5905" s="759"/>
      <c r="E5905" s="85"/>
      <c r="F5905" s="59">
        <f t="shared" si="364"/>
        <v>0</v>
      </c>
    </row>
    <row r="5906" spans="1:6" ht="12.75" customHeight="1" x14ac:dyDescent="0.2">
      <c r="A5906" s="3"/>
      <c r="C5906" s="114"/>
      <c r="D5906" s="759"/>
      <c r="E5906" s="85"/>
      <c r="F5906" s="59">
        <f t="shared" si="364"/>
        <v>0</v>
      </c>
    </row>
    <row r="5907" spans="1:6" ht="12.75" customHeight="1" x14ac:dyDescent="0.2">
      <c r="A5907" s="3"/>
      <c r="C5907" s="114"/>
      <c r="D5907" s="759"/>
      <c r="E5907" s="85"/>
      <c r="F5907" s="59">
        <f t="shared" si="364"/>
        <v>0</v>
      </c>
    </row>
    <row r="5908" spans="1:6" ht="12.75" customHeight="1" x14ac:dyDescent="0.2">
      <c r="A5908" s="3"/>
      <c r="C5908" s="114"/>
      <c r="D5908" s="759"/>
      <c r="E5908" s="85"/>
      <c r="F5908" s="59">
        <f t="shared" si="364"/>
        <v>0</v>
      </c>
    </row>
    <row r="5909" spans="1:6" ht="12.75" customHeight="1" x14ac:dyDescent="0.2">
      <c r="A5909" s="3"/>
      <c r="C5909" s="114"/>
      <c r="D5909" s="759"/>
      <c r="E5909" s="85"/>
      <c r="F5909" s="59">
        <f t="shared" si="364"/>
        <v>0</v>
      </c>
    </row>
    <row r="5910" spans="1:6" ht="12.75" customHeight="1" x14ac:dyDescent="0.2">
      <c r="A5910" s="3"/>
      <c r="B5910" s="86" t="s">
        <v>258</v>
      </c>
      <c r="C5910" s="87"/>
      <c r="D5910" s="88"/>
      <c r="E5910" s="89"/>
      <c r="F5910" s="90">
        <f>SUM(F5903:F5909)</f>
        <v>0</v>
      </c>
    </row>
    <row r="5911" spans="1:6" ht="12.75" customHeight="1" x14ac:dyDescent="0.2">
      <c r="A5911" s="3"/>
      <c r="B5911" s="91" t="s">
        <v>261</v>
      </c>
      <c r="C5911" s="15">
        <f>'A IX.'!$C$45</f>
        <v>0</v>
      </c>
      <c r="D5911" s="92"/>
      <c r="E5911" s="93"/>
      <c r="F5911" s="94">
        <f>ROUND(F5910*C5911,2)</f>
        <v>0</v>
      </c>
    </row>
    <row r="5912" spans="1:6" ht="12.75" customHeight="1" x14ac:dyDescent="0.2">
      <c r="A5912" s="3"/>
      <c r="B5912" s="91" t="s">
        <v>70</v>
      </c>
      <c r="C5912" s="15">
        <f>$D$8</f>
        <v>0</v>
      </c>
      <c r="D5912" s="92"/>
      <c r="E5912" s="93"/>
      <c r="F5912" s="94">
        <f>ROUND(SUM(F5910:F5911)*C5912,2)</f>
        <v>0</v>
      </c>
    </row>
    <row r="5913" spans="1:6" ht="12.75" customHeight="1" thickBot="1" x14ac:dyDescent="0.25">
      <c r="A5913" s="98"/>
      <c r="B5913" s="99" t="s">
        <v>262</v>
      </c>
      <c r="C5913" s="100"/>
      <c r="D5913" s="100"/>
      <c r="E5913" s="101"/>
      <c r="F5913" s="102">
        <f>SUM(F5910:F5912)</f>
        <v>0</v>
      </c>
    </row>
    <row r="5914" spans="1:6" ht="12.75" customHeight="1" thickBot="1" x14ac:dyDescent="0.25">
      <c r="A5914" s="81"/>
      <c r="B5914" s="82"/>
      <c r="C5914" s="83"/>
      <c r="D5914" s="83"/>
      <c r="E5914" s="84"/>
      <c r="F5914" s="103"/>
    </row>
    <row r="5915" spans="1:6" ht="30" customHeight="1" x14ac:dyDescent="0.2">
      <c r="A5915" s="5" t="str">
        <f>'A IV.A'!$A$172</f>
        <v>7.16</v>
      </c>
      <c r="B5915" s="416" t="str">
        <f>'A IV.A'!$B$172</f>
        <v>SARJETA DE CONCRETO INCLUINDO PREPARO DE CAIXA, CONCRETO FCK=18MPA</v>
      </c>
      <c r="C5915" s="526" t="s">
        <v>269</v>
      </c>
      <c r="D5915" s="527"/>
      <c r="E5915" s="417" t="str">
        <f>'A IV.A'!$C$172</f>
        <v>M3</v>
      </c>
      <c r="F5915" s="58">
        <f>ROUND(F5935+F5949+F5961,2)</f>
        <v>0</v>
      </c>
    </row>
    <row r="5916" spans="1:6" ht="12.75" customHeight="1" x14ac:dyDescent="0.2">
      <c r="A5916" s="1" t="s">
        <v>17</v>
      </c>
      <c r="B5916" s="418" t="s">
        <v>162</v>
      </c>
      <c r="C5916" s="419" t="s">
        <v>263</v>
      </c>
      <c r="D5916" s="419" t="s">
        <v>264</v>
      </c>
      <c r="E5916" s="420" t="s">
        <v>265</v>
      </c>
      <c r="F5916" s="57" t="s">
        <v>266</v>
      </c>
    </row>
    <row r="5917" spans="1:6" ht="12.75" customHeight="1" x14ac:dyDescent="0.2">
      <c r="A5917" s="6" t="str">
        <f>'A VII.'!$A$19</f>
        <v>1.10</v>
      </c>
      <c r="B5917" s="421" t="str">
        <f>VLOOKUP(A5917,'A VII.'!$A$10:$D$199,2,FALSE)</f>
        <v>AREIA MÉDIA LAVADA</v>
      </c>
      <c r="C5917" s="114">
        <v>0.90400000000000003</v>
      </c>
      <c r="D5917" s="757" t="str">
        <f>VLOOKUP(A5917,'A VII.'!$A$10:$D$199,3,FALSE)</f>
        <v>M3</v>
      </c>
      <c r="E5917" s="85">
        <f>'A VII.'!D19</f>
        <v>0</v>
      </c>
      <c r="F5917" s="59">
        <f>ROUND(C5917*E5917,2)</f>
        <v>0</v>
      </c>
    </row>
    <row r="5918" spans="1:6" ht="12.75" customHeight="1" x14ac:dyDescent="0.2">
      <c r="A5918" s="6" t="str">
        <f>'A VII.'!$A$101</f>
        <v>1.91</v>
      </c>
      <c r="B5918" s="421" t="str">
        <f>VLOOKUP(A5918,'A VII.'!$A$10:$D$199,2,FALSE)</f>
        <v>TÁBUA MADEIRA 3A QUALIDADE 2,5 X 30CM (1X12") NÃO APARELHADA</v>
      </c>
      <c r="C5918" s="114">
        <v>1.17</v>
      </c>
      <c r="D5918" s="757" t="str">
        <f>VLOOKUP(A5918,'A VII.'!$A$10:$D$199,3,FALSE)</f>
        <v>M</v>
      </c>
      <c r="E5918" s="85">
        <f>'A VII.'!$D$101</f>
        <v>0</v>
      </c>
      <c r="F5918" s="59">
        <f t="shared" ref="F5918:F5932" si="365">ROUND(C5918*E5918,2)</f>
        <v>0</v>
      </c>
    </row>
    <row r="5919" spans="1:6" ht="12.75" customHeight="1" x14ac:dyDescent="0.2">
      <c r="A5919" s="6" t="str">
        <f>'A VII.'!$A$82</f>
        <v>1.73</v>
      </c>
      <c r="B5919" s="421" t="str">
        <f>VLOOKUP(A5919,'A VII.'!$A$10:$D$199,2,FALSE)</f>
        <v>PEDRA BRITADA Nº 1 GRANULOMETRIA ENTRE (9,5 E 25,00 MM)</v>
      </c>
      <c r="C5919" s="114">
        <v>0.20899999999999999</v>
      </c>
      <c r="D5919" s="757" t="str">
        <f>VLOOKUP(A5919,'A VII.'!$A$10:$D$199,3,FALSE)</f>
        <v>M3</v>
      </c>
      <c r="E5919" s="85">
        <f>'A VII.'!D82</f>
        <v>0</v>
      </c>
      <c r="F5919" s="59">
        <f t="shared" si="365"/>
        <v>0</v>
      </c>
    </row>
    <row r="5920" spans="1:6" ht="12.75" customHeight="1" x14ac:dyDescent="0.2">
      <c r="A5920" s="6" t="str">
        <f>'A VII.'!$A$84</f>
        <v>1.74</v>
      </c>
      <c r="B5920" s="421" t="str">
        <f>VLOOKUP(A5920,'A VII.'!$A$10:$D$199,2,FALSE)</f>
        <v>PEDRA BRITADA Nº 2 GRANULOMETRIA ENTRE (21,0 E 32,0 MM)</v>
      </c>
      <c r="C5920" s="114">
        <v>0.627</v>
      </c>
      <c r="D5920" s="757" t="str">
        <f>VLOOKUP(A5920,'A VII.'!$A$10:$D$199,3,FALSE)</f>
        <v>M3</v>
      </c>
      <c r="E5920" s="85">
        <f>'A VII.'!D84</f>
        <v>0</v>
      </c>
      <c r="F5920" s="59">
        <f t="shared" si="365"/>
        <v>0</v>
      </c>
    </row>
    <row r="5921" spans="1:6" ht="12.75" customHeight="1" x14ac:dyDescent="0.2">
      <c r="A5921" s="6" t="str">
        <f>'A VII.'!$A$38</f>
        <v>1.29</v>
      </c>
      <c r="B5921" s="421" t="str">
        <f>VLOOKUP(A5921,'A VII.'!$A$10:$D$199,2,FALSE)</f>
        <v>CIMENTO PORTLAND CP II-E-32</v>
      </c>
      <c r="C5921" s="114">
        <v>304</v>
      </c>
      <c r="D5921" s="757" t="str">
        <f>VLOOKUP(A5921,'A VII.'!$A$10:$D$199,3,FALSE)</f>
        <v>KG</v>
      </c>
      <c r="E5921" s="85">
        <f>'A VII.'!$D$38</f>
        <v>0</v>
      </c>
      <c r="F5921" s="59">
        <f t="shared" si="365"/>
        <v>0</v>
      </c>
    </row>
    <row r="5922" spans="1:6" ht="12.75" customHeight="1" x14ac:dyDescent="0.2">
      <c r="A5922" s="6" t="str">
        <f>'A VII.'!$A$97</f>
        <v>1.87</v>
      </c>
      <c r="B5922" s="421" t="str">
        <f>VLOOKUP(A5922,'A VII.'!$A$10:$D$199,2,FALSE)</f>
        <v xml:space="preserve">SARRAFO 3A. CONSTRUÇÃO (SEÇÃO TRANSVERSAL: 1X4" - 2,5CM X 10,0CM) </v>
      </c>
      <c r="C5922" s="114">
        <v>7.4999999999999997E-2</v>
      </c>
      <c r="D5922" s="757" t="str">
        <f>VLOOKUP(A5922,'A VII.'!$A$10:$D$199,3,FALSE)</f>
        <v>M</v>
      </c>
      <c r="E5922" s="85">
        <f>'A VII.'!$D$97</f>
        <v>0</v>
      </c>
      <c r="F5922" s="59">
        <f t="shared" si="365"/>
        <v>0</v>
      </c>
    </row>
    <row r="5923" spans="1:6" ht="12.75" customHeight="1" x14ac:dyDescent="0.2">
      <c r="A5923" s="6"/>
      <c r="B5923" s="421"/>
      <c r="C5923" s="114"/>
      <c r="D5923" s="757"/>
      <c r="E5923" s="85"/>
      <c r="F5923" s="59">
        <f t="shared" si="365"/>
        <v>0</v>
      </c>
    </row>
    <row r="5924" spans="1:6" ht="12.75" customHeight="1" x14ac:dyDescent="0.2">
      <c r="A5924" s="6"/>
      <c r="B5924" s="421"/>
      <c r="C5924" s="114"/>
      <c r="D5924" s="757"/>
      <c r="E5924" s="85"/>
      <c r="F5924" s="59">
        <f t="shared" si="365"/>
        <v>0</v>
      </c>
    </row>
    <row r="5925" spans="1:6" ht="12.75" customHeight="1" x14ac:dyDescent="0.2">
      <c r="A5925" s="6"/>
      <c r="B5925" s="421"/>
      <c r="C5925" s="114"/>
      <c r="D5925" s="757"/>
      <c r="E5925" s="85"/>
      <c r="F5925" s="59">
        <f t="shared" si="365"/>
        <v>0</v>
      </c>
    </row>
    <row r="5926" spans="1:6" ht="12.75" customHeight="1" x14ac:dyDescent="0.2">
      <c r="A5926" s="6"/>
      <c r="B5926" s="421"/>
      <c r="C5926" s="114"/>
      <c r="D5926" s="757"/>
      <c r="E5926" s="85"/>
      <c r="F5926" s="59">
        <f t="shared" si="365"/>
        <v>0</v>
      </c>
    </row>
    <row r="5927" spans="1:6" ht="12.75" customHeight="1" x14ac:dyDescent="0.2">
      <c r="A5927" s="6"/>
      <c r="B5927" s="421"/>
      <c r="C5927" s="114"/>
      <c r="D5927" s="757"/>
      <c r="E5927" s="85"/>
      <c r="F5927" s="59">
        <f t="shared" si="365"/>
        <v>0</v>
      </c>
    </row>
    <row r="5928" spans="1:6" ht="12.75" customHeight="1" x14ac:dyDescent="0.2">
      <c r="A5928" s="6"/>
      <c r="B5928" s="421"/>
      <c r="C5928" s="114"/>
      <c r="D5928" s="758"/>
      <c r="E5928" s="85"/>
      <c r="F5928" s="59">
        <f t="shared" si="365"/>
        <v>0</v>
      </c>
    </row>
    <row r="5929" spans="1:6" ht="12.75" customHeight="1" x14ac:dyDescent="0.2">
      <c r="A5929" s="6"/>
      <c r="B5929" s="421"/>
      <c r="C5929" s="114"/>
      <c r="D5929" s="758"/>
      <c r="E5929" s="85"/>
      <c r="F5929" s="59">
        <f t="shared" si="365"/>
        <v>0</v>
      </c>
    </row>
    <row r="5930" spans="1:6" ht="12.75" customHeight="1" x14ac:dyDescent="0.2">
      <c r="A5930" s="6"/>
      <c r="B5930" s="421"/>
      <c r="C5930" s="114"/>
      <c r="D5930" s="758"/>
      <c r="E5930" s="85"/>
      <c r="F5930" s="59">
        <f t="shared" si="365"/>
        <v>0</v>
      </c>
    </row>
    <row r="5931" spans="1:6" ht="12.75" customHeight="1" x14ac:dyDescent="0.2">
      <c r="A5931" s="3"/>
      <c r="C5931" s="114"/>
      <c r="D5931" s="759"/>
      <c r="E5931" s="85"/>
      <c r="F5931" s="59">
        <f t="shared" si="365"/>
        <v>0</v>
      </c>
    </row>
    <row r="5932" spans="1:6" ht="12.75" customHeight="1" x14ac:dyDescent="0.2">
      <c r="A5932" s="3"/>
      <c r="C5932" s="114"/>
      <c r="D5932" s="759"/>
      <c r="E5932" s="85"/>
      <c r="F5932" s="59">
        <f t="shared" si="365"/>
        <v>0</v>
      </c>
    </row>
    <row r="5933" spans="1:6" ht="12.75" customHeight="1" x14ac:dyDescent="0.2">
      <c r="A5933" s="3"/>
      <c r="B5933" s="86" t="s">
        <v>258</v>
      </c>
      <c r="C5933" s="87"/>
      <c r="D5933" s="88"/>
      <c r="E5933" s="89"/>
      <c r="F5933" s="90">
        <f>SUM(F5917:F5932)</f>
        <v>0</v>
      </c>
    </row>
    <row r="5934" spans="1:6" ht="12.75" customHeight="1" x14ac:dyDescent="0.2">
      <c r="A5934" s="3"/>
      <c r="B5934" s="91" t="s">
        <v>70</v>
      </c>
      <c r="C5934" s="15">
        <f>$D$8</f>
        <v>0</v>
      </c>
      <c r="D5934" s="92"/>
      <c r="E5934" s="93"/>
      <c r="F5934" s="94">
        <f>ROUND(F5933*C5934,2)</f>
        <v>0</v>
      </c>
    </row>
    <row r="5935" spans="1:6" ht="12.75" customHeight="1" x14ac:dyDescent="0.2">
      <c r="A5935" s="95"/>
      <c r="B5935" s="424" t="s">
        <v>259</v>
      </c>
      <c r="C5935" s="425"/>
      <c r="D5935" s="425"/>
      <c r="E5935" s="426"/>
      <c r="F5935" s="96">
        <f>F5933+F5934</f>
        <v>0</v>
      </c>
    </row>
    <row r="5936" spans="1:6" ht="12.75" customHeight="1" x14ac:dyDescent="0.2">
      <c r="A5936" s="1" t="s">
        <v>5</v>
      </c>
      <c r="B5936" s="418" t="s">
        <v>267</v>
      </c>
      <c r="C5936" s="419" t="s">
        <v>263</v>
      </c>
      <c r="D5936" s="419" t="s">
        <v>264</v>
      </c>
      <c r="E5936" s="420" t="s">
        <v>265</v>
      </c>
      <c r="F5936" s="57" t="s">
        <v>266</v>
      </c>
    </row>
    <row r="5937" spans="1:6" ht="12.75" customHeight="1" x14ac:dyDescent="0.2">
      <c r="A5937" s="3" t="str">
        <f>'A VII.'!$A$149</f>
        <v>2.7</v>
      </c>
      <c r="B5937" s="71" t="str">
        <f>VLOOKUP(A5937,'A VII.'!$A$10:$D$199,2,FALSE)</f>
        <v>BETONEIRA, CAPACIDADE NOMINAL DE 400L, MOTOR ELÉTRICO TRIFÁSICO DE  2CV - CHP</v>
      </c>
      <c r="C5937" s="114">
        <v>0.30599999999999999</v>
      </c>
      <c r="D5937" s="759" t="str">
        <f>VLOOKUP(A5937,'A VII.'!$A$10:$D$199,3,FALSE)</f>
        <v>CHP</v>
      </c>
      <c r="E5937" s="85">
        <f>'A VII.'!D149</f>
        <v>0</v>
      </c>
      <c r="F5937" s="59">
        <f t="shared" ref="F5937:F5946" si="366">ROUND(C5937*E5937,2)</f>
        <v>0</v>
      </c>
    </row>
    <row r="5938" spans="1:6" ht="12.75" customHeight="1" x14ac:dyDescent="0.2">
      <c r="A5938" s="3"/>
      <c r="C5938" s="114"/>
      <c r="D5938" s="759"/>
      <c r="E5938" s="85"/>
      <c r="F5938" s="59">
        <f t="shared" si="366"/>
        <v>0</v>
      </c>
    </row>
    <row r="5939" spans="1:6" ht="12.75" customHeight="1" x14ac:dyDescent="0.2">
      <c r="A5939" s="3"/>
      <c r="C5939" s="114"/>
      <c r="D5939" s="759"/>
      <c r="E5939" s="85"/>
      <c r="F5939" s="59">
        <f t="shared" si="366"/>
        <v>0</v>
      </c>
    </row>
    <row r="5940" spans="1:6" ht="12.75" customHeight="1" x14ac:dyDescent="0.2">
      <c r="A5940" s="3"/>
      <c r="C5940" s="114"/>
      <c r="D5940" s="759"/>
      <c r="E5940" s="85"/>
      <c r="F5940" s="59">
        <f t="shared" si="366"/>
        <v>0</v>
      </c>
    </row>
    <row r="5941" spans="1:6" ht="12.75" customHeight="1" x14ac:dyDescent="0.2">
      <c r="A5941" s="3"/>
      <c r="C5941" s="114"/>
      <c r="D5941" s="759"/>
      <c r="E5941" s="85"/>
      <c r="F5941" s="59">
        <f t="shared" si="366"/>
        <v>0</v>
      </c>
    </row>
    <row r="5942" spans="1:6" ht="12.75" customHeight="1" x14ac:dyDescent="0.2">
      <c r="A5942" s="3"/>
      <c r="C5942" s="114"/>
      <c r="D5942" s="759"/>
      <c r="E5942" s="85"/>
      <c r="F5942" s="59">
        <f t="shared" si="366"/>
        <v>0</v>
      </c>
    </row>
    <row r="5943" spans="1:6" ht="12.75" customHeight="1" x14ac:dyDescent="0.2">
      <c r="A5943" s="3"/>
      <c r="C5943" s="114"/>
      <c r="D5943" s="759"/>
      <c r="E5943" s="85"/>
      <c r="F5943" s="59">
        <f t="shared" si="366"/>
        <v>0</v>
      </c>
    </row>
    <row r="5944" spans="1:6" ht="12.75" customHeight="1" x14ac:dyDescent="0.2">
      <c r="A5944" s="3"/>
      <c r="C5944" s="114"/>
      <c r="D5944" s="759"/>
      <c r="E5944" s="85"/>
      <c r="F5944" s="59">
        <f t="shared" si="366"/>
        <v>0</v>
      </c>
    </row>
    <row r="5945" spans="1:6" ht="12.75" customHeight="1" x14ac:dyDescent="0.2">
      <c r="A5945" s="3"/>
      <c r="C5945" s="114"/>
      <c r="D5945" s="759"/>
      <c r="E5945" s="85"/>
      <c r="F5945" s="59">
        <f t="shared" si="366"/>
        <v>0</v>
      </c>
    </row>
    <row r="5946" spans="1:6" ht="12.75" customHeight="1" x14ac:dyDescent="0.2">
      <c r="A5946" s="3"/>
      <c r="C5946" s="114"/>
      <c r="D5946" s="759"/>
      <c r="E5946" s="85"/>
      <c r="F5946" s="59">
        <f t="shared" si="366"/>
        <v>0</v>
      </c>
    </row>
    <row r="5947" spans="1:6" ht="12.75" customHeight="1" x14ac:dyDescent="0.2">
      <c r="A5947" s="3"/>
      <c r="B5947" s="86" t="s">
        <v>258</v>
      </c>
      <c r="C5947" s="87"/>
      <c r="D5947" s="88"/>
      <c r="E5947" s="89"/>
      <c r="F5947" s="90">
        <f>SUM(F5937:F5946)</f>
        <v>0</v>
      </c>
    </row>
    <row r="5948" spans="1:6" ht="12.75" customHeight="1" x14ac:dyDescent="0.2">
      <c r="A5948" s="3"/>
      <c r="B5948" s="91" t="s">
        <v>70</v>
      </c>
      <c r="C5948" s="15">
        <f>$D$8</f>
        <v>0</v>
      </c>
      <c r="D5948" s="92"/>
      <c r="E5948" s="93"/>
      <c r="F5948" s="94">
        <f>ROUND(C5948*F5947,2)</f>
        <v>0</v>
      </c>
    </row>
    <row r="5949" spans="1:6" ht="12.75" customHeight="1" x14ac:dyDescent="0.2">
      <c r="A5949" s="95"/>
      <c r="B5949" s="424" t="s">
        <v>260</v>
      </c>
      <c r="C5949" s="425"/>
      <c r="D5949" s="425"/>
      <c r="E5949" s="426"/>
      <c r="F5949" s="96">
        <f>F5947+F5948</f>
        <v>0</v>
      </c>
    </row>
    <row r="5950" spans="1:6" ht="12.75" customHeight="1" x14ac:dyDescent="0.2">
      <c r="A5950" s="97" t="s">
        <v>54</v>
      </c>
      <c r="B5950" s="427" t="s">
        <v>268</v>
      </c>
      <c r="C5950" s="428" t="s">
        <v>263</v>
      </c>
      <c r="D5950" s="429" t="s">
        <v>264</v>
      </c>
      <c r="E5950" s="430" t="s">
        <v>265</v>
      </c>
      <c r="F5950" s="57" t="s">
        <v>266</v>
      </c>
    </row>
    <row r="5951" spans="1:6" ht="12.75" customHeight="1" x14ac:dyDescent="0.2">
      <c r="A5951" s="3" t="str">
        <f>'A VII.'!$A$192</f>
        <v>3.12</v>
      </c>
      <c r="B5951" s="74" t="str">
        <f>'A VII.'!$B$192</f>
        <v>PEDREIRO COM ENCARGOS COMPLEMENTARES</v>
      </c>
      <c r="C5951" s="114">
        <v>5.4450000000000003</v>
      </c>
      <c r="D5951" s="759" t="str">
        <f>VLOOKUP(A5951,'A VII.'!$A$10:$D$199,3,FALSE)</f>
        <v>H</v>
      </c>
      <c r="E5951" s="85">
        <f>'A VII.'!$D$192</f>
        <v>0</v>
      </c>
      <c r="F5951" s="59">
        <f t="shared" ref="F5951:F5957" si="367">ROUND(C5951*E5951,2)</f>
        <v>0</v>
      </c>
    </row>
    <row r="5952" spans="1:6" ht="12.75" customHeight="1" x14ac:dyDescent="0.2">
      <c r="A5952" s="3" t="str">
        <f>'A VII.'!$A$196</f>
        <v>3.16</v>
      </c>
      <c r="B5952" s="74" t="str">
        <f>'A VII.'!$B$196</f>
        <v>SERVENTE COM ENCARGOS COMPLEMENTARES</v>
      </c>
      <c r="C5952" s="114">
        <v>3.3450000000000002</v>
      </c>
      <c r="D5952" s="759" t="str">
        <f>VLOOKUP(A5952,'A VII.'!$A$10:$D$199,3,FALSE)</f>
        <v>H</v>
      </c>
      <c r="E5952" s="85">
        <f>'A VII.'!D196</f>
        <v>0</v>
      </c>
      <c r="F5952" s="59">
        <f>ROUND(C5952*E5952,2)</f>
        <v>0</v>
      </c>
    </row>
    <row r="5953" spans="1:6" ht="12.75" customHeight="1" x14ac:dyDescent="0.2">
      <c r="A5953" s="3"/>
      <c r="C5953" s="114"/>
      <c r="D5953" s="759"/>
      <c r="E5953" s="85"/>
      <c r="F5953" s="59">
        <f t="shared" si="367"/>
        <v>0</v>
      </c>
    </row>
    <row r="5954" spans="1:6" ht="12.75" customHeight="1" x14ac:dyDescent="0.2">
      <c r="A5954" s="3"/>
      <c r="C5954" s="114"/>
      <c r="D5954" s="759"/>
      <c r="E5954" s="85"/>
      <c r="F5954" s="59">
        <f t="shared" si="367"/>
        <v>0</v>
      </c>
    </row>
    <row r="5955" spans="1:6" ht="12.75" customHeight="1" x14ac:dyDescent="0.2">
      <c r="A5955" s="3"/>
      <c r="C5955" s="114"/>
      <c r="D5955" s="759"/>
      <c r="E5955" s="85"/>
      <c r="F5955" s="59">
        <f t="shared" si="367"/>
        <v>0</v>
      </c>
    </row>
    <row r="5956" spans="1:6" ht="12.75" customHeight="1" x14ac:dyDescent="0.2">
      <c r="A5956" s="3"/>
      <c r="C5956" s="114"/>
      <c r="D5956" s="759"/>
      <c r="E5956" s="85"/>
      <c r="F5956" s="59">
        <f t="shared" si="367"/>
        <v>0</v>
      </c>
    </row>
    <row r="5957" spans="1:6" ht="12.75" customHeight="1" x14ac:dyDescent="0.2">
      <c r="A5957" s="3"/>
      <c r="C5957" s="114"/>
      <c r="D5957" s="759"/>
      <c r="E5957" s="85"/>
      <c r="F5957" s="59">
        <f t="shared" si="367"/>
        <v>0</v>
      </c>
    </row>
    <row r="5958" spans="1:6" ht="12.75" customHeight="1" x14ac:dyDescent="0.2">
      <c r="A5958" s="3"/>
      <c r="B5958" s="86" t="s">
        <v>258</v>
      </c>
      <c r="C5958" s="87"/>
      <c r="D5958" s="88"/>
      <c r="E5958" s="89"/>
      <c r="F5958" s="90">
        <f>SUM(F5951:F5957)</f>
        <v>0</v>
      </c>
    </row>
    <row r="5959" spans="1:6" ht="12.75" customHeight="1" x14ac:dyDescent="0.2">
      <c r="A5959" s="3"/>
      <c r="B5959" s="91" t="s">
        <v>261</v>
      </c>
      <c r="C5959" s="15">
        <f>'A IX.'!$C$45</f>
        <v>0</v>
      </c>
      <c r="D5959" s="92"/>
      <c r="E5959" s="93"/>
      <c r="F5959" s="94">
        <f>ROUND(F5958*C5959,2)</f>
        <v>0</v>
      </c>
    </row>
    <row r="5960" spans="1:6" ht="12.75" customHeight="1" x14ac:dyDescent="0.2">
      <c r="A5960" s="3"/>
      <c r="B5960" s="91" t="s">
        <v>70</v>
      </c>
      <c r="C5960" s="15">
        <f>$D$8</f>
        <v>0</v>
      </c>
      <c r="D5960" s="92"/>
      <c r="E5960" s="93"/>
      <c r="F5960" s="94">
        <f>ROUND(SUM(F5958:F5959)*C5960,2)</f>
        <v>0</v>
      </c>
    </row>
    <row r="5961" spans="1:6" ht="12.75" customHeight="1" thickBot="1" x14ac:dyDescent="0.25">
      <c r="A5961" s="98"/>
      <c r="B5961" s="99" t="s">
        <v>262</v>
      </c>
      <c r="C5961" s="100"/>
      <c r="D5961" s="100"/>
      <c r="E5961" s="101"/>
      <c r="F5961" s="102">
        <f>SUM(F5958:F5960)</f>
        <v>0</v>
      </c>
    </row>
    <row r="5962" spans="1:6" ht="12.75" customHeight="1" x14ac:dyDescent="0.2">
      <c r="A5962" s="252"/>
      <c r="B5962" s="253"/>
      <c r="C5962" s="254"/>
      <c r="D5962" s="254"/>
      <c r="E5962" s="255"/>
      <c r="F5962" s="256"/>
    </row>
    <row r="5963" spans="1:6" ht="12.75" customHeight="1" x14ac:dyDescent="0.2">
      <c r="D5963" s="55"/>
    </row>
    <row r="5964" spans="1:6" ht="12.75" customHeight="1" x14ac:dyDescent="0.2">
      <c r="D5964" s="55"/>
    </row>
    <row r="5965" spans="1:6" ht="12.75" customHeight="1" x14ac:dyDescent="0.2">
      <c r="D5965" s="55"/>
    </row>
    <row r="5966" spans="1:6" ht="12.75" customHeight="1" x14ac:dyDescent="0.2">
      <c r="D5966" s="55"/>
    </row>
    <row r="5967" spans="1:6" ht="12.75" customHeight="1" x14ac:dyDescent="0.2">
      <c r="D5967" s="55"/>
    </row>
    <row r="5968" spans="1:6" ht="12.75" customHeight="1" x14ac:dyDescent="0.2">
      <c r="D5968" s="55"/>
    </row>
    <row r="5969" spans="1:4" ht="12.75" customHeight="1" x14ac:dyDescent="0.2">
      <c r="D5969" s="55"/>
    </row>
    <row r="5970" spans="1:4" ht="12.75" customHeight="1" x14ac:dyDescent="0.2">
      <c r="D5970" s="55"/>
    </row>
    <row r="5971" spans="1:4" ht="12.75" customHeight="1" x14ac:dyDescent="0.2">
      <c r="D5971" s="55"/>
    </row>
    <row r="5972" spans="1:4" ht="12.75" customHeight="1" x14ac:dyDescent="0.2">
      <c r="D5972" s="55"/>
    </row>
    <row r="5973" spans="1:4" ht="12.75" customHeight="1" x14ac:dyDescent="0.2">
      <c r="A5973" s="110"/>
      <c r="B5973" s="111"/>
      <c r="D5973" s="55"/>
    </row>
    <row r="5974" spans="1:4" ht="12.75" customHeight="1" x14ac:dyDescent="0.2">
      <c r="A5974" s="110"/>
      <c r="B5974" s="111"/>
      <c r="D5974" s="55"/>
    </row>
    <row r="5975" spans="1:4" ht="12.75" customHeight="1" x14ac:dyDescent="0.2">
      <c r="A5975" s="110"/>
      <c r="B5975" s="111"/>
      <c r="D5975" s="55"/>
    </row>
    <row r="5976" spans="1:4" ht="12.75" customHeight="1" x14ac:dyDescent="0.2">
      <c r="A5976" s="110"/>
      <c r="B5976" s="111"/>
      <c r="D5976" s="55"/>
    </row>
    <row r="5977" spans="1:4" ht="12.75" customHeight="1" x14ac:dyDescent="0.2">
      <c r="A5977" s="110"/>
      <c r="B5977" s="111"/>
      <c r="D5977" s="55"/>
    </row>
    <row r="5978" spans="1:4" ht="12.75" customHeight="1" x14ac:dyDescent="0.2">
      <c r="A5978" s="110"/>
      <c r="B5978" s="111"/>
      <c r="D5978" s="55"/>
    </row>
    <row r="5979" spans="1:4" ht="12.75" customHeight="1" x14ac:dyDescent="0.2">
      <c r="A5979" s="110"/>
      <c r="B5979" s="111"/>
      <c r="D5979" s="55"/>
    </row>
    <row r="5980" spans="1:4" ht="12.75" customHeight="1" x14ac:dyDescent="0.2">
      <c r="A5980" s="110"/>
      <c r="B5980" s="111"/>
      <c r="D5980" s="55"/>
    </row>
    <row r="5981" spans="1:4" ht="12.75" customHeight="1" x14ac:dyDescent="0.2">
      <c r="A5981" s="110"/>
      <c r="B5981" s="111"/>
      <c r="D5981" s="55"/>
    </row>
    <row r="5982" spans="1:4" ht="12.75" customHeight="1" x14ac:dyDescent="0.2">
      <c r="A5982" s="110"/>
      <c r="B5982" s="111"/>
      <c r="D5982" s="55"/>
    </row>
    <row r="5983" spans="1:4" ht="12.75" customHeight="1" x14ac:dyDescent="0.2">
      <c r="A5983" s="110"/>
      <c r="B5983" s="111"/>
      <c r="D5983" s="55"/>
    </row>
    <row r="5984" spans="1:4" ht="12.75" customHeight="1" x14ac:dyDescent="0.2">
      <c r="A5984" s="110"/>
      <c r="B5984" s="111"/>
      <c r="D5984" s="55"/>
    </row>
    <row r="5985" spans="1:4" ht="12.75" customHeight="1" x14ac:dyDescent="0.2">
      <c r="A5985" s="110"/>
      <c r="B5985" s="111"/>
      <c r="D5985" s="55"/>
    </row>
    <row r="5986" spans="1:4" ht="12.75" customHeight="1" x14ac:dyDescent="0.2">
      <c r="A5986" s="110"/>
      <c r="B5986" s="111"/>
      <c r="D5986" s="55"/>
    </row>
    <row r="5987" spans="1:4" ht="12.75" customHeight="1" x14ac:dyDescent="0.2">
      <c r="A5987" s="110"/>
      <c r="B5987" s="111"/>
      <c r="D5987" s="55"/>
    </row>
    <row r="5988" spans="1:4" ht="12.75" customHeight="1" x14ac:dyDescent="0.2">
      <c r="A5988" s="110"/>
      <c r="B5988" s="111"/>
      <c r="D5988" s="55"/>
    </row>
    <row r="5989" spans="1:4" ht="12.75" customHeight="1" x14ac:dyDescent="0.2">
      <c r="A5989" s="110"/>
      <c r="B5989" s="111"/>
      <c r="D5989" s="55"/>
    </row>
    <row r="5990" spans="1:4" ht="12.75" customHeight="1" x14ac:dyDescent="0.2">
      <c r="A5990" s="110"/>
      <c r="B5990" s="111"/>
      <c r="D5990" s="55"/>
    </row>
    <row r="5991" spans="1:4" ht="12.75" customHeight="1" x14ac:dyDescent="0.2">
      <c r="A5991" s="110"/>
      <c r="B5991" s="111"/>
      <c r="D5991" s="55"/>
    </row>
    <row r="5992" spans="1:4" ht="12.75" customHeight="1" x14ac:dyDescent="0.2">
      <c r="A5992" s="110"/>
      <c r="B5992" s="111"/>
      <c r="D5992" s="55"/>
    </row>
    <row r="5993" spans="1:4" ht="12.75" customHeight="1" x14ac:dyDescent="0.2">
      <c r="A5993" s="110"/>
      <c r="B5993" s="111"/>
      <c r="D5993" s="55"/>
    </row>
    <row r="5994" spans="1:4" ht="12.75" customHeight="1" x14ac:dyDescent="0.2">
      <c r="A5994" s="110"/>
      <c r="B5994" s="111"/>
      <c r="D5994" s="55"/>
    </row>
    <row r="5995" spans="1:4" ht="12.75" customHeight="1" x14ac:dyDescent="0.2">
      <c r="A5995" s="110"/>
      <c r="B5995" s="111"/>
      <c r="D5995" s="55"/>
    </row>
    <row r="5996" spans="1:4" ht="12.75" customHeight="1" x14ac:dyDescent="0.2">
      <c r="A5996" s="110"/>
      <c r="B5996" s="111"/>
      <c r="D5996" s="55"/>
    </row>
    <row r="5997" spans="1:4" ht="12.75" customHeight="1" x14ac:dyDescent="0.2">
      <c r="A5997" s="110"/>
      <c r="B5997" s="111"/>
      <c r="D5997" s="55"/>
    </row>
    <row r="5998" spans="1:4" ht="12.75" customHeight="1" x14ac:dyDescent="0.2">
      <c r="A5998" s="110"/>
      <c r="B5998" s="111"/>
      <c r="D5998" s="55"/>
    </row>
    <row r="5999" spans="1:4" ht="12.75" customHeight="1" x14ac:dyDescent="0.2">
      <c r="A5999" s="110"/>
      <c r="B5999" s="111"/>
      <c r="D5999" s="55"/>
    </row>
    <row r="6000" spans="1:4" ht="12.75" customHeight="1" x14ac:dyDescent="0.2">
      <c r="A6000" s="110"/>
      <c r="B6000" s="111"/>
      <c r="D6000" s="55"/>
    </row>
    <row r="6001" spans="1:4" ht="12.75" customHeight="1" x14ac:dyDescent="0.2">
      <c r="A6001" s="110"/>
      <c r="B6001" s="111"/>
      <c r="D6001" s="55"/>
    </row>
    <row r="6002" spans="1:4" ht="12.75" customHeight="1" x14ac:dyDescent="0.2">
      <c r="A6002" s="110"/>
      <c r="B6002" s="111"/>
      <c r="D6002" s="55"/>
    </row>
    <row r="6003" spans="1:4" ht="12.75" customHeight="1" x14ac:dyDescent="0.2">
      <c r="A6003" s="110"/>
      <c r="B6003" s="111"/>
      <c r="D6003" s="55"/>
    </row>
    <row r="6004" spans="1:4" ht="12.75" customHeight="1" x14ac:dyDescent="0.2">
      <c r="A6004" s="110"/>
      <c r="B6004" s="111"/>
      <c r="D6004" s="55"/>
    </row>
    <row r="6005" spans="1:4" ht="12.75" customHeight="1" x14ac:dyDescent="0.2">
      <c r="A6005" s="110"/>
      <c r="B6005" s="111"/>
      <c r="D6005" s="55"/>
    </row>
    <row r="6006" spans="1:4" ht="12.75" customHeight="1" x14ac:dyDescent="0.2">
      <c r="A6006" s="110"/>
      <c r="B6006" s="111"/>
      <c r="D6006" s="55"/>
    </row>
    <row r="6007" spans="1:4" ht="12.75" customHeight="1" x14ac:dyDescent="0.2">
      <c r="A6007" s="110"/>
      <c r="B6007" s="111"/>
      <c r="D6007" s="55"/>
    </row>
    <row r="6008" spans="1:4" ht="12.75" customHeight="1" x14ac:dyDescent="0.2">
      <c r="A6008" s="110"/>
      <c r="B6008" s="111"/>
      <c r="D6008" s="55"/>
    </row>
    <row r="6009" spans="1:4" ht="12.75" customHeight="1" x14ac:dyDescent="0.2">
      <c r="A6009" s="110"/>
      <c r="B6009" s="111"/>
      <c r="D6009" s="55"/>
    </row>
    <row r="6010" spans="1:4" ht="12.75" customHeight="1" x14ac:dyDescent="0.2">
      <c r="A6010" s="110"/>
      <c r="B6010" s="111"/>
      <c r="D6010" s="55"/>
    </row>
    <row r="6011" spans="1:4" ht="12.75" customHeight="1" x14ac:dyDescent="0.2">
      <c r="A6011" s="110"/>
      <c r="B6011" s="111"/>
      <c r="D6011" s="55"/>
    </row>
    <row r="6012" spans="1:4" ht="12.75" customHeight="1" x14ac:dyDescent="0.2">
      <c r="A6012" s="110"/>
      <c r="B6012" s="111"/>
      <c r="D6012" s="55"/>
    </row>
    <row r="6013" spans="1:4" ht="12.75" customHeight="1" x14ac:dyDescent="0.2">
      <c r="A6013" s="110"/>
      <c r="B6013" s="111"/>
      <c r="D6013" s="55"/>
    </row>
    <row r="6014" spans="1:4" ht="12.75" customHeight="1" x14ac:dyDescent="0.2">
      <c r="A6014" s="110"/>
      <c r="B6014" s="111"/>
      <c r="D6014" s="55"/>
    </row>
    <row r="6015" spans="1:4" ht="12.75" customHeight="1" x14ac:dyDescent="0.2">
      <c r="A6015" s="110"/>
      <c r="B6015" s="111"/>
      <c r="D6015" s="55"/>
    </row>
    <row r="6016" spans="1:4" ht="12.75" customHeight="1" x14ac:dyDescent="0.2">
      <c r="A6016" s="110"/>
      <c r="B6016" s="111"/>
      <c r="D6016" s="55"/>
    </row>
    <row r="6017" spans="1:4" ht="12.75" customHeight="1" x14ac:dyDescent="0.2">
      <c r="A6017" s="110"/>
      <c r="B6017" s="111"/>
      <c r="D6017" s="55"/>
    </row>
    <row r="6018" spans="1:4" ht="12.75" customHeight="1" x14ac:dyDescent="0.2">
      <c r="A6018" s="110"/>
      <c r="B6018" s="111"/>
      <c r="D6018" s="55"/>
    </row>
    <row r="6019" spans="1:4" ht="12.75" customHeight="1" x14ac:dyDescent="0.2">
      <c r="A6019" s="110"/>
      <c r="B6019" s="111"/>
      <c r="D6019" s="55"/>
    </row>
    <row r="6020" spans="1:4" ht="12.75" customHeight="1" x14ac:dyDescent="0.2">
      <c r="A6020" s="110"/>
      <c r="B6020" s="111"/>
      <c r="D6020" s="55"/>
    </row>
    <row r="6021" spans="1:4" ht="12.75" customHeight="1" x14ac:dyDescent="0.2">
      <c r="A6021" s="110"/>
      <c r="B6021" s="111"/>
      <c r="D6021" s="55"/>
    </row>
  </sheetData>
  <sheetProtection algorithmName="SHA-512" hashValue="4D9PL8S9k/5HhQTDw3UEP3JSH8lgK2TWdr3qOCP6z4molb1k+1yUNBTiCrO6DsQHqwfN01Y5+XmHUYSdNiwkwg==" saltValue="WrMsoeyWsuvJO6hO6Qvy9g==" spinCount="100000" sheet="1" objects="1" scenarios="1" selectLockedCells="1"/>
  <autoFilter ref="A12:F5961" xr:uid="{00000000-0009-0000-0000-000004000000}"/>
  <mergeCells count="134">
    <mergeCell ref="A1:F2"/>
    <mergeCell ref="C59:D59"/>
    <mergeCell ref="A4:F4"/>
    <mergeCell ref="A5:F5"/>
    <mergeCell ref="C11:D11"/>
    <mergeCell ref="A9:F9"/>
    <mergeCell ref="C251:D251"/>
    <mergeCell ref="C539:D539"/>
    <mergeCell ref="C299:D299"/>
    <mergeCell ref="C347:D347"/>
    <mergeCell ref="C395:D395"/>
    <mergeCell ref="C491:D491"/>
    <mergeCell ref="A3:F3"/>
    <mergeCell ref="F7:F8"/>
    <mergeCell ref="A6:F6"/>
    <mergeCell ref="E7:E8"/>
    <mergeCell ref="A7:C7"/>
    <mergeCell ref="A8:C8"/>
    <mergeCell ref="C443:D443"/>
    <mergeCell ref="C107:D107"/>
    <mergeCell ref="C155:D155"/>
    <mergeCell ref="C203:D203"/>
    <mergeCell ref="C5771:D5771"/>
    <mergeCell ref="C5723:D5723"/>
    <mergeCell ref="C3419:D3419"/>
    <mergeCell ref="C5579:D5579"/>
    <mergeCell ref="C3275:D3275"/>
    <mergeCell ref="C3323:D3323"/>
    <mergeCell ref="C3611:D3611"/>
    <mergeCell ref="C2171:D2171"/>
    <mergeCell ref="C2459:D2459"/>
    <mergeCell ref="C2219:D2219"/>
    <mergeCell ref="C2267:D2267"/>
    <mergeCell ref="C2555:D2555"/>
    <mergeCell ref="C2603:D2603"/>
    <mergeCell ref="C2651:D2651"/>
    <mergeCell ref="C2363:D2363"/>
    <mergeCell ref="C5099:D5099"/>
    <mergeCell ref="C4619:D4619"/>
    <mergeCell ref="C4715:D4715"/>
    <mergeCell ref="C3035:D3035"/>
    <mergeCell ref="C5051:D5051"/>
    <mergeCell ref="C3659:D3659"/>
    <mergeCell ref="C5003:D5003"/>
    <mergeCell ref="C5195:D5195"/>
    <mergeCell ref="C3755:D3755"/>
    <mergeCell ref="C1067:D1067"/>
    <mergeCell ref="C1163:D1163"/>
    <mergeCell ref="C875:D875"/>
    <mergeCell ref="C923:D923"/>
    <mergeCell ref="C1739:D1739"/>
    <mergeCell ref="C1787:D1787"/>
    <mergeCell ref="C1307:D1307"/>
    <mergeCell ref="C1547:D1547"/>
    <mergeCell ref="C3563:D3563"/>
    <mergeCell ref="C2843:D2843"/>
    <mergeCell ref="C1595:D1595"/>
    <mergeCell ref="C2507:D2507"/>
    <mergeCell ref="C2747:D2747"/>
    <mergeCell ref="C2411:D2411"/>
    <mergeCell ref="C3083:D3083"/>
    <mergeCell ref="C971:D971"/>
    <mergeCell ref="C1115:D1115"/>
    <mergeCell ref="C1643:D1643"/>
    <mergeCell ref="C1691:D1691"/>
    <mergeCell ref="C5867:D5867"/>
    <mergeCell ref="C2699:D2699"/>
    <mergeCell ref="C2891:D2891"/>
    <mergeCell ref="C2939:D2939"/>
    <mergeCell ref="C2987:D2987"/>
    <mergeCell ref="C3515:D3515"/>
    <mergeCell ref="C1499:D1499"/>
    <mergeCell ref="C1019:D1019"/>
    <mergeCell ref="C827:D827"/>
    <mergeCell ref="C683:D683"/>
    <mergeCell ref="C587:D587"/>
    <mergeCell ref="C635:D635"/>
    <mergeCell ref="C1211:D1211"/>
    <mergeCell ref="C1451:D1451"/>
    <mergeCell ref="C779:D779"/>
    <mergeCell ref="C731:D731"/>
    <mergeCell ref="C5819:D5819"/>
    <mergeCell ref="C2795:D2795"/>
    <mergeCell ref="C5243:D5243"/>
    <mergeCell ref="C5291:D5291"/>
    <mergeCell ref="C5339:D5339"/>
    <mergeCell ref="C5915:D5915"/>
    <mergeCell ref="C4955:D4955"/>
    <mergeCell ref="C1259:D1259"/>
    <mergeCell ref="C4811:D4811"/>
    <mergeCell ref="C4859:D4859"/>
    <mergeCell ref="C4907:D4907"/>
    <mergeCell ref="C3227:D3227"/>
    <mergeCell ref="C4667:D4667"/>
    <mergeCell ref="C1883:D1883"/>
    <mergeCell ref="C1355:D1355"/>
    <mergeCell ref="C2123:D2123"/>
    <mergeCell ref="C2315:D2315"/>
    <mergeCell ref="C1403:D1403"/>
    <mergeCell ref="C1931:D1931"/>
    <mergeCell ref="C1979:D1979"/>
    <mergeCell ref="C2027:D2027"/>
    <mergeCell ref="C2075:D2075"/>
    <mergeCell ref="C5483:D5483"/>
    <mergeCell ref="C3851:D3851"/>
    <mergeCell ref="C3707:D3707"/>
    <mergeCell ref="C4091:D4091"/>
    <mergeCell ref="C3899:D3899"/>
    <mergeCell ref="C5531:D5531"/>
    <mergeCell ref="C5147:D5147"/>
    <mergeCell ref="C4571:D4571"/>
    <mergeCell ref="C4763:D4763"/>
    <mergeCell ref="C5387:D5387"/>
    <mergeCell ref="C5435:D5435"/>
    <mergeCell ref="C4235:D4235"/>
    <mergeCell ref="C4523:D4523"/>
    <mergeCell ref="C5675:D5675"/>
    <mergeCell ref="C5627:D5627"/>
    <mergeCell ref="C1835:D1835"/>
    <mergeCell ref="C3179:D3179"/>
    <mergeCell ref="C3371:D3371"/>
    <mergeCell ref="C3467:D3467"/>
    <mergeCell ref="C3947:D3947"/>
    <mergeCell ref="C4187:D4187"/>
    <mergeCell ref="C4379:D4379"/>
    <mergeCell ref="C4331:D4331"/>
    <mergeCell ref="C4283:D4283"/>
    <mergeCell ref="C3131:D3131"/>
    <mergeCell ref="C4043:D4043"/>
    <mergeCell ref="C3995:D3995"/>
    <mergeCell ref="C4139:D4139"/>
    <mergeCell ref="C4475:D4475"/>
    <mergeCell ref="C4427:D4427"/>
    <mergeCell ref="C3803:D3803"/>
  </mergeCells>
  <phoneticPr fontId="26" type="noConversion"/>
  <printOptions horizontalCentered="1"/>
  <pageMargins left="0.19685039370078741" right="0.19685039370078741" top="0.47244094488188981" bottom="0.39370078740157483" header="0" footer="0"/>
  <pageSetup paperSize="9" scale="67" firstPageNumber="0" orientation="landscape" r:id="rId1"/>
  <headerFooter>
    <oddFooter>&amp;L&amp;G&amp;CPágina &amp;P&amp;R&amp;G</oddFooter>
  </headerFooter>
  <rowBreaks count="121" manualBreakCount="121">
    <brk id="57" max="5" man="1"/>
    <brk id="105" max="5" man="1"/>
    <brk id="153" max="5" man="1"/>
    <brk id="249" max="5" man="1"/>
    <brk id="297" max="5" man="1"/>
    <brk id="345" max="5" man="1"/>
    <brk id="393" max="5" man="1"/>
    <brk id="441" max="5" man="1"/>
    <brk id="489" max="5" man="1"/>
    <brk id="537" max="5" man="1"/>
    <brk id="585" max="5" man="1"/>
    <brk id="633" max="5" man="1"/>
    <brk id="681" max="5" man="1"/>
    <brk id="729" max="5" man="1"/>
    <brk id="777" max="5" man="1"/>
    <brk id="825" max="5" man="1"/>
    <brk id="873" max="5" man="1"/>
    <brk id="921" max="5" man="1"/>
    <brk id="969" max="5" man="1"/>
    <brk id="1017" max="5" man="1"/>
    <brk id="1065" max="5" man="1"/>
    <brk id="1113" max="5" man="1"/>
    <brk id="1161" max="5" man="1"/>
    <brk id="1209" max="5" man="1"/>
    <brk id="1257" max="5" man="1"/>
    <brk id="1305" max="5" man="1"/>
    <brk id="1353" max="5" man="1"/>
    <brk id="1401" max="5" man="1"/>
    <brk id="1449" max="5" man="1"/>
    <brk id="1497" max="5" man="1"/>
    <brk id="1545" max="5" man="1"/>
    <brk id="1593" max="5" man="1"/>
    <brk id="1641" max="5" man="1"/>
    <brk id="1689" max="5" man="1"/>
    <brk id="1737" max="5" man="1"/>
    <brk id="1785" max="5" man="1"/>
    <brk id="1833" max="5" man="1"/>
    <brk id="1881" max="5" man="1"/>
    <brk id="1929" max="5" man="1"/>
    <brk id="1977" max="5" man="1"/>
    <brk id="2025" max="5" man="1"/>
    <brk id="2073" max="5" man="1"/>
    <brk id="2121" max="5" man="1"/>
    <brk id="2169" max="5" man="1"/>
    <brk id="2217" max="5" man="1"/>
    <brk id="2265" max="5" man="1"/>
    <brk id="2313" max="5" man="1"/>
    <brk id="2361" max="5" man="1"/>
    <brk id="2409" max="5" man="1"/>
    <brk id="2457" max="5" man="1"/>
    <brk id="2505" max="5" man="1"/>
    <brk id="2553" max="5" man="1"/>
    <brk id="2601" max="5" man="1"/>
    <brk id="2649" max="5" man="1"/>
    <brk id="2697" max="5" man="1"/>
    <brk id="2745" max="5" man="1"/>
    <brk id="2793" max="5" man="1"/>
    <brk id="2841" max="5" man="1"/>
    <brk id="2889" max="5" man="1"/>
    <brk id="2937" max="5" man="1"/>
    <brk id="2985" max="5" man="1"/>
    <brk id="3033" max="5" man="1"/>
    <brk id="3081" max="5" man="1"/>
    <brk id="3129" max="5" man="1"/>
    <brk id="3177" max="5" man="1"/>
    <brk id="3225" max="5" man="1"/>
    <brk id="3273" max="5" man="1"/>
    <brk id="3321" max="5" man="1"/>
    <brk id="3369" max="5" man="1"/>
    <brk id="3417" max="5" man="1"/>
    <brk id="3465" max="5" man="1"/>
    <brk id="3513" max="5" man="1"/>
    <brk id="3561" max="5" man="1"/>
    <brk id="3609" max="5" man="1"/>
    <brk id="3657" max="5" man="1"/>
    <brk id="3705" max="5" man="1"/>
    <brk id="3753" max="5" man="1"/>
    <brk id="3801" max="5" man="1"/>
    <brk id="3849" max="5" man="1"/>
    <brk id="3897" max="5" man="1"/>
    <brk id="3945" max="5" man="1"/>
    <brk id="3993" max="5" man="1"/>
    <brk id="4041" max="5" man="1"/>
    <brk id="4089" max="5" man="1"/>
    <brk id="4137" max="5" man="1"/>
    <brk id="4185" max="5" man="1"/>
    <brk id="4281" max="5" man="1"/>
    <brk id="4329" max="5" man="1"/>
    <brk id="4377" max="5" man="1"/>
    <brk id="4473" max="5" man="1"/>
    <brk id="4521" max="5" man="1"/>
    <brk id="4569" max="5" man="1"/>
    <brk id="4617" max="5" man="1"/>
    <brk id="4665" max="5" man="1"/>
    <brk id="4713" max="5" man="1"/>
    <brk id="4761" max="5" man="1"/>
    <brk id="4809" max="5" man="1"/>
    <brk id="4857" max="5" man="1"/>
    <brk id="4905" max="5" man="1"/>
    <brk id="4953" max="5" man="1"/>
    <brk id="5001" max="5" man="1"/>
    <brk id="5049" max="5" man="1"/>
    <brk id="5097" max="5" man="1"/>
    <brk id="5145" max="5" man="1"/>
    <brk id="5193" max="5" man="1"/>
    <brk id="5241" max="5" man="1"/>
    <brk id="5289" max="5" man="1"/>
    <brk id="5337" max="5" man="1"/>
    <brk id="5385" max="5" man="1"/>
    <brk id="5433" max="5" man="1"/>
    <brk id="5481" max="5" man="1"/>
    <brk id="5529" max="5" man="1"/>
    <brk id="5577" max="5" man="1"/>
    <brk id="5625" max="5" man="1"/>
    <brk id="5673" max="5" man="1"/>
    <brk id="5721" max="5" man="1"/>
    <brk id="5769" max="5" man="1"/>
    <brk id="5817" max="5" man="1"/>
    <brk id="5865" max="5" man="1"/>
    <brk id="5913" max="5" man="1"/>
    <brk id="5961" max="5" man="1"/>
  </row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C219"/>
  <sheetViews>
    <sheetView showGridLines="0" view="pageBreakPreview" zoomScale="85" zoomScaleNormal="100" zoomScaleSheetLayoutView="85" workbookViewId="0">
      <selection activeCell="D15" sqref="D15"/>
    </sheetView>
  </sheetViews>
  <sheetFormatPr defaultColWidth="11.7109375" defaultRowHeight="12.75" x14ac:dyDescent="0.2"/>
  <cols>
    <col min="1" max="1" width="6.28515625" style="116" customWidth="1"/>
    <col min="2" max="2" width="100.140625" style="74" customWidth="1"/>
    <col min="3" max="3" width="9.28515625" style="72" bestFit="1" customWidth="1"/>
    <col min="4" max="4" width="14.7109375" style="73" bestFit="1" customWidth="1"/>
    <col min="5" max="236" width="11.7109375" style="62"/>
    <col min="237" max="16384" width="11.7109375" style="55"/>
  </cols>
  <sheetData>
    <row r="1" spans="1:236" customFormat="1" ht="20.25" x14ac:dyDescent="0.2">
      <c r="A1" s="753" t="str">
        <f>'A IV.A'!A1</f>
        <v>(TIMBRE DA LICITANTE)</v>
      </c>
      <c r="B1" s="753"/>
      <c r="C1" s="753"/>
      <c r="D1" s="753"/>
    </row>
    <row r="2" spans="1:236" customFormat="1" ht="20.25" x14ac:dyDescent="0.2">
      <c r="A2" s="754" t="str">
        <f>'A IV.A'!A3</f>
        <v xml:space="preserve">  </v>
      </c>
      <c r="B2" s="754"/>
      <c r="C2" s="754"/>
      <c r="D2" s="754"/>
    </row>
    <row r="3" spans="1:236" customFormat="1" ht="20.25" x14ac:dyDescent="0.2">
      <c r="A3" s="117"/>
      <c r="B3" s="118"/>
      <c r="C3" s="119"/>
      <c r="D3" s="120"/>
    </row>
    <row r="4" spans="1:236" customFormat="1" ht="20.25" x14ac:dyDescent="0.2">
      <c r="A4" s="51"/>
      <c r="B4" s="560" t="s">
        <v>1231</v>
      </c>
      <c r="C4" s="560"/>
      <c r="D4" s="560"/>
    </row>
    <row r="5" spans="1:236" customFormat="1" ht="22.5" customHeight="1" x14ac:dyDescent="0.2">
      <c r="A5" s="561" t="str">
        <f>'A IV.A'!$A$7</f>
        <v>EXECUÇÃO DE SERVIÇO DE REFORMA CIVIL, CONSTRUÇÕES E MANUTENÇÕES GERAIS  PARA MELHORIAS NAS ÁREAS DE PROPRIEDADE E/OU DE RESPONSABILIDADE DO SEMAE.</v>
      </c>
      <c r="B5" s="561"/>
      <c r="C5" s="561"/>
      <c r="D5" s="561"/>
    </row>
    <row r="6" spans="1:236" s="10" customFormat="1" ht="3.95" customHeight="1" x14ac:dyDescent="0.2">
      <c r="A6" s="561"/>
      <c r="B6" s="561"/>
      <c r="C6" s="561"/>
      <c r="D6" s="561"/>
    </row>
    <row r="7" spans="1:236" s="12" customFormat="1" ht="3" customHeight="1" x14ac:dyDescent="0.2">
      <c r="A7" s="561"/>
      <c r="B7" s="561"/>
      <c r="C7" s="561"/>
      <c r="D7" s="56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1"/>
      <c r="FN7" s="11"/>
      <c r="FO7" s="11"/>
      <c r="FP7" s="11"/>
      <c r="FQ7" s="11"/>
      <c r="FR7" s="11"/>
      <c r="FS7" s="11"/>
      <c r="FT7" s="11"/>
      <c r="FU7" s="11"/>
      <c r="FV7" s="11"/>
      <c r="FW7" s="11"/>
      <c r="FX7" s="11"/>
      <c r="FY7" s="11"/>
      <c r="FZ7" s="11"/>
      <c r="GA7" s="11"/>
      <c r="GB7" s="11"/>
      <c r="GC7" s="11"/>
      <c r="GD7" s="11"/>
      <c r="GE7" s="11"/>
      <c r="GF7" s="11"/>
      <c r="GG7" s="11"/>
      <c r="GH7" s="11"/>
      <c r="GI7" s="11"/>
      <c r="GJ7" s="11"/>
      <c r="GK7" s="11"/>
      <c r="GL7" s="11"/>
      <c r="GM7" s="11"/>
      <c r="GN7" s="11"/>
      <c r="GO7" s="11"/>
      <c r="GP7" s="11"/>
      <c r="GQ7" s="11"/>
      <c r="GR7" s="11"/>
      <c r="GS7" s="11"/>
      <c r="GT7" s="11"/>
      <c r="GU7" s="11"/>
      <c r="GV7" s="11"/>
      <c r="GW7" s="11"/>
      <c r="GX7" s="11"/>
      <c r="GY7" s="11"/>
      <c r="GZ7" s="11"/>
    </row>
    <row r="8" spans="1:236" s="9" customFormat="1" ht="3.95" customHeight="1" thickBot="1" x14ac:dyDescent="0.25">
      <c r="A8" s="562"/>
      <c r="B8" s="562"/>
      <c r="C8" s="562"/>
      <c r="D8" s="562"/>
    </row>
    <row r="9" spans="1:236" ht="20.100000000000001" customHeight="1" thickBot="1" x14ac:dyDescent="0.25">
      <c r="A9" s="373" t="s">
        <v>17</v>
      </c>
      <c r="B9" s="19" t="s">
        <v>222</v>
      </c>
      <c r="C9" s="20" t="s">
        <v>198</v>
      </c>
      <c r="D9" s="738" t="s">
        <v>1080</v>
      </c>
    </row>
    <row r="10" spans="1:236" ht="15" customHeight="1" x14ac:dyDescent="0.2">
      <c r="A10" s="374" t="s">
        <v>74</v>
      </c>
      <c r="B10" s="69" t="s">
        <v>201</v>
      </c>
      <c r="C10" s="47" t="s">
        <v>254</v>
      </c>
      <c r="D10" s="450"/>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c r="BF10" s="55"/>
      <c r="BG10" s="55"/>
      <c r="BH10" s="55"/>
      <c r="BI10" s="55"/>
      <c r="BJ10" s="55"/>
      <c r="BK10" s="55"/>
      <c r="BL10" s="55"/>
      <c r="BM10" s="55"/>
      <c r="BN10" s="55"/>
      <c r="BO10" s="55"/>
      <c r="BP10" s="55"/>
      <c r="BQ10" s="55"/>
      <c r="BR10" s="55"/>
      <c r="BS10" s="55"/>
      <c r="BT10" s="55"/>
      <c r="BU10" s="55"/>
      <c r="BV10" s="55"/>
      <c r="BW10" s="55"/>
      <c r="BX10" s="55"/>
      <c r="BY10" s="55"/>
      <c r="BZ10" s="55"/>
      <c r="CA10" s="55"/>
      <c r="CB10" s="55"/>
      <c r="CC10" s="55"/>
      <c r="CD10" s="55"/>
      <c r="CE10" s="55"/>
      <c r="CF10" s="55"/>
      <c r="CG10" s="55"/>
      <c r="CH10" s="55"/>
      <c r="CI10" s="55"/>
      <c r="CJ10" s="55"/>
      <c r="CK10" s="55"/>
      <c r="CL10" s="55"/>
      <c r="CM10" s="55"/>
      <c r="CN10" s="55"/>
      <c r="CO10" s="55"/>
      <c r="CP10" s="55"/>
      <c r="CQ10" s="55"/>
      <c r="CR10" s="55"/>
      <c r="CS10" s="55"/>
      <c r="CT10" s="55"/>
      <c r="CU10" s="55"/>
      <c r="CV10" s="55"/>
      <c r="CW10" s="55"/>
      <c r="CX10" s="55"/>
      <c r="CY10" s="55"/>
      <c r="CZ10" s="55"/>
      <c r="DA10" s="55"/>
      <c r="DB10" s="55"/>
      <c r="DC10" s="55"/>
      <c r="DD10" s="55"/>
      <c r="DE10" s="55"/>
      <c r="DF10" s="55"/>
      <c r="DG10" s="55"/>
      <c r="DH10" s="55"/>
      <c r="DI10" s="55"/>
      <c r="DJ10" s="55"/>
      <c r="DK10" s="55"/>
      <c r="DL10" s="55"/>
      <c r="DM10" s="55"/>
      <c r="DN10" s="55"/>
      <c r="DO10" s="55"/>
      <c r="DP10" s="55"/>
      <c r="DQ10" s="55"/>
      <c r="DR10" s="55"/>
      <c r="DS10" s="55"/>
      <c r="DT10" s="55"/>
      <c r="DU10" s="55"/>
      <c r="DV10" s="55"/>
      <c r="DW10" s="55"/>
      <c r="DX10" s="55"/>
      <c r="DY10" s="55"/>
      <c r="DZ10" s="55"/>
      <c r="EA10" s="55"/>
      <c r="EB10" s="55"/>
      <c r="EC10" s="55"/>
      <c r="ED10" s="55"/>
      <c r="EE10" s="55"/>
      <c r="EF10" s="55"/>
      <c r="EG10" s="55"/>
      <c r="EH10" s="55"/>
      <c r="EI10" s="55"/>
      <c r="EJ10" s="55"/>
      <c r="EK10" s="55"/>
      <c r="EL10" s="55"/>
      <c r="EM10" s="55"/>
      <c r="EN10" s="55"/>
      <c r="EO10" s="55"/>
      <c r="EP10" s="55"/>
      <c r="EQ10" s="55"/>
      <c r="ER10" s="55"/>
      <c r="ES10" s="55"/>
      <c r="ET10" s="55"/>
      <c r="EU10" s="55"/>
      <c r="EV10" s="55"/>
      <c r="EW10" s="55"/>
      <c r="EX10" s="55"/>
      <c r="EY10" s="55"/>
      <c r="EZ10" s="55"/>
      <c r="FA10" s="55"/>
      <c r="FB10" s="55"/>
      <c r="FC10" s="55"/>
      <c r="FD10" s="55"/>
      <c r="FE10" s="55"/>
      <c r="FF10" s="55"/>
      <c r="FG10" s="55"/>
      <c r="FH10" s="55"/>
      <c r="FI10" s="55"/>
      <c r="FJ10" s="55"/>
      <c r="FK10" s="55"/>
      <c r="FL10" s="55"/>
      <c r="FM10" s="55"/>
      <c r="FN10" s="55"/>
      <c r="FO10" s="55"/>
      <c r="FP10" s="55"/>
      <c r="FQ10" s="55"/>
      <c r="FR10" s="55"/>
      <c r="FS10" s="55"/>
      <c r="FT10" s="55"/>
      <c r="FU10" s="55"/>
      <c r="FV10" s="55"/>
      <c r="FW10" s="55"/>
      <c r="FX10" s="55"/>
      <c r="FY10" s="55"/>
      <c r="FZ10" s="55"/>
      <c r="GA10" s="55"/>
      <c r="GB10" s="55"/>
      <c r="GC10" s="55"/>
      <c r="GD10" s="55"/>
      <c r="GE10" s="55"/>
      <c r="GF10" s="55"/>
      <c r="GG10" s="55"/>
      <c r="GH10" s="55"/>
      <c r="GI10" s="55"/>
      <c r="GJ10" s="55"/>
      <c r="GK10" s="55"/>
      <c r="GL10" s="55"/>
      <c r="GM10" s="55"/>
      <c r="GN10" s="55"/>
      <c r="GO10" s="55"/>
      <c r="GP10" s="55"/>
      <c r="GQ10" s="55"/>
      <c r="GR10" s="55"/>
      <c r="GS10" s="55"/>
      <c r="GT10" s="55"/>
      <c r="GU10" s="55"/>
      <c r="GV10" s="55"/>
      <c r="GW10" s="55"/>
      <c r="GX10" s="55"/>
      <c r="GY10" s="55"/>
      <c r="GZ10" s="55"/>
      <c r="HA10" s="55"/>
      <c r="HB10" s="55"/>
      <c r="HC10" s="55"/>
      <c r="HD10" s="55"/>
      <c r="HE10" s="55"/>
      <c r="HF10" s="55"/>
      <c r="HG10" s="55"/>
      <c r="HH10" s="55"/>
      <c r="HI10" s="55"/>
      <c r="HJ10" s="55"/>
      <c r="HK10" s="55"/>
      <c r="HL10" s="55"/>
      <c r="HM10" s="55"/>
      <c r="HN10" s="55"/>
      <c r="HO10" s="55"/>
      <c r="HP10" s="55"/>
      <c r="HQ10" s="55"/>
      <c r="HR10" s="55"/>
      <c r="HS10" s="55"/>
      <c r="HT10" s="55"/>
      <c r="HU10" s="55"/>
      <c r="HV10" s="55"/>
      <c r="HW10" s="55"/>
      <c r="HX10" s="55"/>
      <c r="HY10" s="55"/>
      <c r="HZ10" s="55"/>
      <c r="IA10" s="55"/>
      <c r="IB10" s="55"/>
    </row>
    <row r="11" spans="1:236" ht="15" customHeight="1" x14ac:dyDescent="0.2">
      <c r="A11" s="63" t="s">
        <v>30</v>
      </c>
      <c r="B11" s="44" t="s">
        <v>202</v>
      </c>
      <c r="C11" s="45" t="s">
        <v>198</v>
      </c>
      <c r="D11" s="451"/>
      <c r="E11" s="55"/>
      <c r="F11" s="55"/>
      <c r="G11" s="55"/>
      <c r="H11" s="55"/>
      <c r="I11" s="55"/>
      <c r="J11" s="55"/>
      <c r="K11" s="55"/>
      <c r="L11" s="55"/>
      <c r="M11" s="55"/>
      <c r="N11" s="55"/>
      <c r="O11" s="55"/>
      <c r="P11" s="55"/>
      <c r="Q11" s="55"/>
      <c r="R11" s="55"/>
      <c r="S11" s="55"/>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c r="BF11" s="55"/>
      <c r="BG11" s="55"/>
      <c r="BH11" s="55"/>
      <c r="BI11" s="55"/>
      <c r="BJ11" s="55"/>
      <c r="BK11" s="55"/>
      <c r="BL11" s="55"/>
      <c r="BM11" s="55"/>
      <c r="BN11" s="55"/>
      <c r="BO11" s="55"/>
      <c r="BP11" s="55"/>
      <c r="BQ11" s="55"/>
      <c r="BR11" s="55"/>
      <c r="BS11" s="55"/>
      <c r="BT11" s="55"/>
      <c r="BU11" s="55"/>
      <c r="BV11" s="55"/>
      <c r="BW11" s="55"/>
      <c r="BX11" s="55"/>
      <c r="BY11" s="55"/>
      <c r="BZ11" s="55"/>
      <c r="CA11" s="55"/>
      <c r="CB11" s="55"/>
      <c r="CC11" s="55"/>
      <c r="CD11" s="55"/>
      <c r="CE11" s="55"/>
      <c r="CF11" s="55"/>
      <c r="CG11" s="55"/>
      <c r="CH11" s="55"/>
      <c r="CI11" s="55"/>
      <c r="CJ11" s="55"/>
      <c r="CK11" s="55"/>
      <c r="CL11" s="55"/>
      <c r="CM11" s="55"/>
      <c r="CN11" s="55"/>
      <c r="CO11" s="55"/>
      <c r="CP11" s="55"/>
      <c r="CQ11" s="55"/>
      <c r="CR11" s="55"/>
      <c r="CS11" s="55"/>
      <c r="CT11" s="55"/>
      <c r="CU11" s="55"/>
      <c r="CV11" s="55"/>
      <c r="CW11" s="55"/>
      <c r="CX11" s="55"/>
      <c r="CY11" s="55"/>
      <c r="CZ11" s="55"/>
      <c r="DA11" s="55"/>
      <c r="DB11" s="55"/>
      <c r="DC11" s="55"/>
      <c r="DD11" s="55"/>
      <c r="DE11" s="55"/>
      <c r="DF11" s="55"/>
      <c r="DG11" s="55"/>
      <c r="DH11" s="55"/>
      <c r="DI11" s="55"/>
      <c r="DJ11" s="55"/>
      <c r="DK11" s="55"/>
      <c r="DL11" s="55"/>
      <c r="DM11" s="55"/>
      <c r="DN11" s="55"/>
      <c r="DO11" s="55"/>
      <c r="DP11" s="55"/>
      <c r="DQ11" s="55"/>
      <c r="DR11" s="55"/>
      <c r="DS11" s="55"/>
      <c r="DT11" s="55"/>
      <c r="DU11" s="55"/>
      <c r="DV11" s="55"/>
      <c r="DW11" s="55"/>
      <c r="DX11" s="55"/>
      <c r="DY11" s="55"/>
      <c r="DZ11" s="55"/>
      <c r="EA11" s="55"/>
      <c r="EB11" s="55"/>
      <c r="EC11" s="55"/>
      <c r="ED11" s="55"/>
      <c r="EE11" s="55"/>
      <c r="EF11" s="55"/>
      <c r="EG11" s="55"/>
      <c r="EH11" s="55"/>
      <c r="EI11" s="55"/>
      <c r="EJ11" s="55"/>
      <c r="EK11" s="55"/>
      <c r="EL11" s="55"/>
      <c r="EM11" s="55"/>
      <c r="EN11" s="55"/>
      <c r="EO11" s="55"/>
      <c r="EP11" s="55"/>
      <c r="EQ11" s="55"/>
      <c r="ER11" s="55"/>
      <c r="ES11" s="55"/>
      <c r="ET11" s="55"/>
      <c r="EU11" s="55"/>
      <c r="EV11" s="55"/>
      <c r="EW11" s="55"/>
      <c r="EX11" s="55"/>
      <c r="EY11" s="55"/>
      <c r="EZ11" s="55"/>
      <c r="FA11" s="55"/>
      <c r="FB11" s="55"/>
      <c r="FC11" s="55"/>
      <c r="FD11" s="55"/>
      <c r="FE11" s="55"/>
      <c r="FF11" s="55"/>
      <c r="FG11" s="55"/>
      <c r="FH11" s="55"/>
      <c r="FI11" s="55"/>
      <c r="FJ11" s="55"/>
      <c r="FK11" s="55"/>
      <c r="FL11" s="55"/>
      <c r="FM11" s="55"/>
      <c r="FN11" s="55"/>
      <c r="FO11" s="55"/>
      <c r="FP11" s="55"/>
      <c r="FQ11" s="55"/>
      <c r="FR11" s="55"/>
      <c r="FS11" s="55"/>
      <c r="FT11" s="55"/>
      <c r="FU11" s="55"/>
      <c r="FV11" s="55"/>
      <c r="FW11" s="55"/>
      <c r="FX11" s="55"/>
      <c r="FY11" s="55"/>
      <c r="FZ11" s="55"/>
      <c r="GA11" s="55"/>
      <c r="GB11" s="55"/>
      <c r="GC11" s="55"/>
      <c r="GD11" s="55"/>
      <c r="GE11" s="55"/>
      <c r="GF11" s="55"/>
      <c r="GG11" s="55"/>
      <c r="GH11" s="55"/>
      <c r="GI11" s="55"/>
      <c r="GJ11" s="55"/>
      <c r="GK11" s="55"/>
      <c r="GL11" s="55"/>
      <c r="GM11" s="55"/>
      <c r="GN11" s="55"/>
      <c r="GO11" s="55"/>
      <c r="GP11" s="55"/>
      <c r="GQ11" s="55"/>
      <c r="GR11" s="55"/>
      <c r="GS11" s="55"/>
      <c r="GT11" s="55"/>
      <c r="GU11" s="55"/>
      <c r="GV11" s="55"/>
      <c r="GW11" s="55"/>
      <c r="GX11" s="55"/>
      <c r="GY11" s="55"/>
      <c r="GZ11" s="55"/>
      <c r="HA11" s="55"/>
      <c r="HB11" s="55"/>
      <c r="HC11" s="55"/>
      <c r="HD11" s="55"/>
      <c r="HE11" s="55"/>
      <c r="HF11" s="55"/>
      <c r="HG11" s="55"/>
      <c r="HH11" s="55"/>
      <c r="HI11" s="55"/>
      <c r="HJ11" s="55"/>
      <c r="HK11" s="55"/>
      <c r="HL11" s="55"/>
      <c r="HM11" s="55"/>
      <c r="HN11" s="55"/>
      <c r="HO11" s="55"/>
      <c r="HP11" s="55"/>
      <c r="HQ11" s="55"/>
      <c r="HR11" s="55"/>
      <c r="HS11" s="55"/>
      <c r="HT11" s="55"/>
      <c r="HU11" s="55"/>
      <c r="HV11" s="55"/>
      <c r="HW11" s="55"/>
      <c r="HX11" s="55"/>
      <c r="HY11" s="55"/>
      <c r="HZ11" s="55"/>
      <c r="IA11" s="55"/>
      <c r="IB11" s="55"/>
    </row>
    <row r="12" spans="1:236" ht="15" customHeight="1" x14ac:dyDescent="0.2">
      <c r="A12" s="63" t="s">
        <v>270</v>
      </c>
      <c r="B12" s="44" t="s">
        <v>428</v>
      </c>
      <c r="C12" s="45" t="s">
        <v>254</v>
      </c>
      <c r="D12" s="451"/>
      <c r="E12" s="55"/>
      <c r="F12" s="55"/>
      <c r="G12" s="55"/>
      <c r="H12" s="55"/>
      <c r="I12" s="55"/>
      <c r="J12" s="55"/>
      <c r="K12" s="55"/>
      <c r="L12" s="55"/>
      <c r="M12" s="55"/>
      <c r="N12" s="55"/>
      <c r="O12" s="55"/>
      <c r="P12" s="55"/>
      <c r="Q12" s="55"/>
      <c r="R12" s="55"/>
      <c r="S12" s="55"/>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c r="BF12" s="55"/>
      <c r="BG12" s="55"/>
      <c r="BH12" s="55"/>
      <c r="BI12" s="55"/>
      <c r="BJ12" s="55"/>
      <c r="BK12" s="55"/>
      <c r="BL12" s="55"/>
      <c r="BM12" s="55"/>
      <c r="BN12" s="55"/>
      <c r="BO12" s="55"/>
      <c r="BP12" s="55"/>
      <c r="BQ12" s="55"/>
      <c r="BR12" s="55"/>
      <c r="BS12" s="55"/>
      <c r="BT12" s="55"/>
      <c r="BU12" s="55"/>
      <c r="BV12" s="55"/>
      <c r="BW12" s="55"/>
      <c r="BX12" s="55"/>
      <c r="BY12" s="55"/>
      <c r="BZ12" s="55"/>
      <c r="CA12" s="55"/>
      <c r="CB12" s="55"/>
      <c r="CC12" s="55"/>
      <c r="CD12" s="55"/>
      <c r="CE12" s="55"/>
      <c r="CF12" s="55"/>
      <c r="CG12" s="55"/>
      <c r="CH12" s="55"/>
      <c r="CI12" s="55"/>
      <c r="CJ12" s="55"/>
      <c r="CK12" s="55"/>
      <c r="CL12" s="55"/>
      <c r="CM12" s="55"/>
      <c r="CN12" s="55"/>
      <c r="CO12" s="55"/>
      <c r="CP12" s="55"/>
      <c r="CQ12" s="55"/>
      <c r="CR12" s="55"/>
      <c r="CS12" s="55"/>
      <c r="CT12" s="55"/>
      <c r="CU12" s="55"/>
      <c r="CV12" s="55"/>
      <c r="CW12" s="55"/>
      <c r="CX12" s="55"/>
      <c r="CY12" s="55"/>
      <c r="CZ12" s="55"/>
      <c r="DA12" s="55"/>
      <c r="DB12" s="55"/>
      <c r="DC12" s="55"/>
      <c r="DD12" s="55"/>
      <c r="DE12" s="55"/>
      <c r="DF12" s="55"/>
      <c r="DG12" s="55"/>
      <c r="DH12" s="55"/>
      <c r="DI12" s="55"/>
      <c r="DJ12" s="55"/>
      <c r="DK12" s="55"/>
      <c r="DL12" s="55"/>
      <c r="DM12" s="55"/>
      <c r="DN12" s="55"/>
      <c r="DO12" s="55"/>
      <c r="DP12" s="55"/>
      <c r="DQ12" s="55"/>
      <c r="DR12" s="55"/>
      <c r="DS12" s="55"/>
      <c r="DT12" s="55"/>
      <c r="DU12" s="55"/>
      <c r="DV12" s="55"/>
      <c r="DW12" s="55"/>
      <c r="DX12" s="55"/>
      <c r="DY12" s="55"/>
      <c r="DZ12" s="55"/>
      <c r="EA12" s="55"/>
      <c r="EB12" s="55"/>
      <c r="EC12" s="55"/>
      <c r="ED12" s="55"/>
      <c r="EE12" s="55"/>
      <c r="EF12" s="55"/>
      <c r="EG12" s="55"/>
      <c r="EH12" s="55"/>
      <c r="EI12" s="55"/>
      <c r="EJ12" s="55"/>
      <c r="EK12" s="55"/>
      <c r="EL12" s="55"/>
      <c r="EM12" s="55"/>
      <c r="EN12" s="55"/>
      <c r="EO12" s="55"/>
      <c r="EP12" s="55"/>
      <c r="EQ12" s="55"/>
      <c r="ER12" s="55"/>
      <c r="ES12" s="55"/>
      <c r="ET12" s="55"/>
      <c r="EU12" s="55"/>
      <c r="EV12" s="55"/>
      <c r="EW12" s="55"/>
      <c r="EX12" s="55"/>
      <c r="EY12" s="55"/>
      <c r="EZ12" s="55"/>
      <c r="FA12" s="55"/>
      <c r="FB12" s="55"/>
      <c r="FC12" s="55"/>
      <c r="FD12" s="55"/>
      <c r="FE12" s="55"/>
      <c r="FF12" s="55"/>
      <c r="FG12" s="55"/>
      <c r="FH12" s="55"/>
      <c r="FI12" s="55"/>
      <c r="FJ12" s="55"/>
      <c r="FK12" s="55"/>
      <c r="FL12" s="55"/>
      <c r="FM12" s="55"/>
      <c r="FN12" s="55"/>
      <c r="FO12" s="55"/>
      <c r="FP12" s="55"/>
      <c r="FQ12" s="55"/>
      <c r="FR12" s="55"/>
      <c r="FS12" s="55"/>
      <c r="FT12" s="55"/>
      <c r="FU12" s="55"/>
      <c r="FV12" s="55"/>
      <c r="FW12" s="55"/>
      <c r="FX12" s="55"/>
      <c r="FY12" s="55"/>
      <c r="FZ12" s="55"/>
      <c r="GA12" s="55"/>
      <c r="GB12" s="55"/>
      <c r="GC12" s="55"/>
      <c r="GD12" s="55"/>
      <c r="GE12" s="55"/>
      <c r="GF12" s="55"/>
      <c r="GG12" s="55"/>
      <c r="GH12" s="55"/>
      <c r="GI12" s="55"/>
      <c r="GJ12" s="55"/>
      <c r="GK12" s="55"/>
      <c r="GL12" s="55"/>
      <c r="GM12" s="55"/>
      <c r="GN12" s="55"/>
      <c r="GO12" s="55"/>
      <c r="GP12" s="55"/>
      <c r="GQ12" s="55"/>
      <c r="GR12" s="55"/>
      <c r="GS12" s="55"/>
      <c r="GT12" s="55"/>
      <c r="GU12" s="55"/>
      <c r="GV12" s="55"/>
      <c r="GW12" s="55"/>
      <c r="GX12" s="55"/>
      <c r="GY12" s="55"/>
      <c r="GZ12" s="55"/>
      <c r="HA12" s="55"/>
      <c r="HB12" s="55"/>
      <c r="HC12" s="55"/>
      <c r="HD12" s="55"/>
      <c r="HE12" s="55"/>
      <c r="HF12" s="55"/>
      <c r="HG12" s="55"/>
      <c r="HH12" s="55"/>
      <c r="HI12" s="55"/>
      <c r="HJ12" s="55"/>
      <c r="HK12" s="55"/>
      <c r="HL12" s="55"/>
      <c r="HM12" s="55"/>
      <c r="HN12" s="55"/>
      <c r="HO12" s="55"/>
      <c r="HP12" s="55"/>
      <c r="HQ12" s="55"/>
      <c r="HR12" s="55"/>
      <c r="HS12" s="55"/>
      <c r="HT12" s="55"/>
      <c r="HU12" s="55"/>
      <c r="HV12" s="55"/>
      <c r="HW12" s="55"/>
      <c r="HX12" s="55"/>
      <c r="HY12" s="55"/>
      <c r="HZ12" s="55"/>
      <c r="IA12" s="55"/>
      <c r="IB12" s="55"/>
    </row>
    <row r="13" spans="1:236" ht="15" customHeight="1" x14ac:dyDescent="0.2">
      <c r="A13" s="63" t="s">
        <v>271</v>
      </c>
      <c r="B13" s="44" t="s">
        <v>203</v>
      </c>
      <c r="C13" s="45" t="s">
        <v>160</v>
      </c>
      <c r="D13" s="451"/>
      <c r="E13" s="55"/>
      <c r="F13" s="55"/>
      <c r="G13" s="55"/>
      <c r="H13" s="55"/>
      <c r="I13" s="55"/>
      <c r="J13" s="55"/>
      <c r="K13" s="55"/>
      <c r="L13" s="55"/>
      <c r="M13" s="55"/>
      <c r="N13" s="55"/>
      <c r="O13" s="55"/>
      <c r="P13" s="55"/>
      <c r="Q13" s="55"/>
      <c r="R13" s="55"/>
      <c r="S13" s="55"/>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c r="BF13" s="55"/>
      <c r="BG13" s="55"/>
      <c r="BH13" s="55"/>
      <c r="BI13" s="55"/>
      <c r="BJ13" s="55"/>
      <c r="BK13" s="55"/>
      <c r="BL13" s="55"/>
      <c r="BM13" s="55"/>
      <c r="BN13" s="55"/>
      <c r="BO13" s="55"/>
      <c r="BP13" s="55"/>
      <c r="BQ13" s="55"/>
      <c r="BR13" s="55"/>
      <c r="BS13" s="55"/>
      <c r="BT13" s="55"/>
      <c r="BU13" s="55"/>
      <c r="BV13" s="55"/>
      <c r="BW13" s="55"/>
      <c r="BX13" s="55"/>
      <c r="BY13" s="55"/>
      <c r="BZ13" s="55"/>
      <c r="CA13" s="55"/>
      <c r="CB13" s="55"/>
      <c r="CC13" s="55"/>
      <c r="CD13" s="55"/>
      <c r="CE13" s="55"/>
      <c r="CF13" s="55"/>
      <c r="CG13" s="55"/>
      <c r="CH13" s="55"/>
      <c r="CI13" s="55"/>
      <c r="CJ13" s="55"/>
      <c r="CK13" s="55"/>
      <c r="CL13" s="55"/>
      <c r="CM13" s="55"/>
      <c r="CN13" s="55"/>
      <c r="CO13" s="55"/>
      <c r="CP13" s="55"/>
      <c r="CQ13" s="55"/>
      <c r="CR13" s="55"/>
      <c r="CS13" s="55"/>
      <c r="CT13" s="55"/>
      <c r="CU13" s="55"/>
      <c r="CV13" s="55"/>
      <c r="CW13" s="55"/>
      <c r="CX13" s="55"/>
      <c r="CY13" s="55"/>
      <c r="CZ13" s="55"/>
      <c r="DA13" s="55"/>
      <c r="DB13" s="55"/>
      <c r="DC13" s="55"/>
      <c r="DD13" s="55"/>
      <c r="DE13" s="55"/>
      <c r="DF13" s="55"/>
      <c r="DG13" s="55"/>
      <c r="DH13" s="55"/>
      <c r="DI13" s="55"/>
      <c r="DJ13" s="55"/>
      <c r="DK13" s="55"/>
      <c r="DL13" s="55"/>
      <c r="DM13" s="55"/>
      <c r="DN13" s="55"/>
      <c r="DO13" s="55"/>
      <c r="DP13" s="55"/>
      <c r="DQ13" s="55"/>
      <c r="DR13" s="55"/>
      <c r="DS13" s="55"/>
      <c r="DT13" s="55"/>
      <c r="DU13" s="55"/>
      <c r="DV13" s="55"/>
      <c r="DW13" s="55"/>
      <c r="DX13" s="55"/>
      <c r="DY13" s="55"/>
      <c r="DZ13" s="55"/>
      <c r="EA13" s="55"/>
      <c r="EB13" s="55"/>
      <c r="EC13" s="55"/>
      <c r="ED13" s="55"/>
      <c r="EE13" s="55"/>
      <c r="EF13" s="55"/>
      <c r="EG13" s="55"/>
      <c r="EH13" s="55"/>
      <c r="EI13" s="55"/>
      <c r="EJ13" s="55"/>
      <c r="EK13" s="55"/>
      <c r="EL13" s="55"/>
      <c r="EM13" s="55"/>
      <c r="EN13" s="55"/>
      <c r="EO13" s="55"/>
      <c r="EP13" s="55"/>
      <c r="EQ13" s="55"/>
      <c r="ER13" s="55"/>
      <c r="ES13" s="55"/>
      <c r="ET13" s="55"/>
      <c r="EU13" s="55"/>
      <c r="EV13" s="55"/>
      <c r="EW13" s="55"/>
      <c r="EX13" s="55"/>
      <c r="EY13" s="55"/>
      <c r="EZ13" s="55"/>
      <c r="FA13" s="55"/>
      <c r="FB13" s="55"/>
      <c r="FC13" s="55"/>
      <c r="FD13" s="55"/>
      <c r="FE13" s="55"/>
      <c r="FF13" s="55"/>
      <c r="FG13" s="55"/>
      <c r="FH13" s="55"/>
      <c r="FI13" s="55"/>
      <c r="FJ13" s="55"/>
      <c r="FK13" s="55"/>
      <c r="FL13" s="55"/>
      <c r="FM13" s="55"/>
      <c r="FN13" s="55"/>
      <c r="FO13" s="55"/>
      <c r="FP13" s="55"/>
      <c r="FQ13" s="55"/>
      <c r="FR13" s="55"/>
      <c r="FS13" s="55"/>
      <c r="FT13" s="55"/>
      <c r="FU13" s="55"/>
      <c r="FV13" s="55"/>
      <c r="FW13" s="55"/>
      <c r="FX13" s="55"/>
      <c r="FY13" s="55"/>
      <c r="FZ13" s="55"/>
      <c r="GA13" s="55"/>
      <c r="GB13" s="55"/>
      <c r="GC13" s="55"/>
      <c r="GD13" s="55"/>
      <c r="GE13" s="55"/>
      <c r="GF13" s="55"/>
      <c r="GG13" s="55"/>
      <c r="GH13" s="55"/>
      <c r="GI13" s="55"/>
      <c r="GJ13" s="55"/>
      <c r="GK13" s="55"/>
      <c r="GL13" s="55"/>
      <c r="GM13" s="55"/>
      <c r="GN13" s="55"/>
      <c r="GO13" s="55"/>
      <c r="GP13" s="55"/>
      <c r="GQ13" s="55"/>
      <c r="GR13" s="55"/>
      <c r="GS13" s="55"/>
      <c r="GT13" s="55"/>
      <c r="GU13" s="55"/>
      <c r="GV13" s="55"/>
      <c r="GW13" s="55"/>
      <c r="GX13" s="55"/>
      <c r="GY13" s="55"/>
      <c r="GZ13" s="55"/>
      <c r="HA13" s="55"/>
      <c r="HB13" s="55"/>
      <c r="HC13" s="55"/>
      <c r="HD13" s="55"/>
      <c r="HE13" s="55"/>
      <c r="HF13" s="55"/>
      <c r="HG13" s="55"/>
      <c r="HH13" s="55"/>
      <c r="HI13" s="55"/>
      <c r="HJ13" s="55"/>
      <c r="HK13" s="55"/>
      <c r="HL13" s="55"/>
      <c r="HM13" s="55"/>
      <c r="HN13" s="55"/>
      <c r="HO13" s="55"/>
      <c r="HP13" s="55"/>
      <c r="HQ13" s="55"/>
      <c r="HR13" s="55"/>
      <c r="HS13" s="55"/>
      <c r="HT13" s="55"/>
      <c r="HU13" s="55"/>
      <c r="HV13" s="55"/>
      <c r="HW13" s="55"/>
      <c r="HX13" s="55"/>
      <c r="HY13" s="55"/>
      <c r="HZ13" s="55"/>
      <c r="IA13" s="55"/>
      <c r="IB13" s="55"/>
    </row>
    <row r="14" spans="1:236" ht="15" customHeight="1" x14ac:dyDescent="0.2">
      <c r="A14" s="63" t="s">
        <v>272</v>
      </c>
      <c r="B14" s="44" t="s">
        <v>429</v>
      </c>
      <c r="C14" s="45" t="s">
        <v>160</v>
      </c>
      <c r="D14" s="451"/>
      <c r="E14" s="55"/>
      <c r="F14" s="55"/>
      <c r="G14" s="55"/>
      <c r="H14" s="55"/>
      <c r="I14" s="55"/>
      <c r="J14" s="55"/>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5"/>
      <c r="BL14" s="55"/>
      <c r="BM14" s="55"/>
      <c r="BN14" s="55"/>
      <c r="BO14" s="55"/>
      <c r="BP14" s="55"/>
      <c r="BQ14" s="55"/>
      <c r="BR14" s="55"/>
      <c r="BS14" s="55"/>
      <c r="BT14" s="55"/>
      <c r="BU14" s="55"/>
      <c r="BV14" s="55"/>
      <c r="BW14" s="55"/>
      <c r="BX14" s="55"/>
      <c r="BY14" s="55"/>
      <c r="BZ14" s="55"/>
      <c r="CA14" s="55"/>
      <c r="CB14" s="55"/>
      <c r="CC14" s="55"/>
      <c r="CD14" s="55"/>
      <c r="CE14" s="55"/>
      <c r="CF14" s="55"/>
      <c r="CG14" s="55"/>
      <c r="CH14" s="55"/>
      <c r="CI14" s="55"/>
      <c r="CJ14" s="55"/>
      <c r="CK14" s="55"/>
      <c r="CL14" s="55"/>
      <c r="CM14" s="55"/>
      <c r="CN14" s="55"/>
      <c r="CO14" s="55"/>
      <c r="CP14" s="55"/>
      <c r="CQ14" s="55"/>
      <c r="CR14" s="55"/>
      <c r="CS14" s="55"/>
      <c r="CT14" s="55"/>
      <c r="CU14" s="55"/>
      <c r="CV14" s="55"/>
      <c r="CW14" s="55"/>
      <c r="CX14" s="55"/>
      <c r="CY14" s="55"/>
      <c r="CZ14" s="55"/>
      <c r="DA14" s="55"/>
      <c r="DB14" s="55"/>
      <c r="DC14" s="55"/>
      <c r="DD14" s="55"/>
      <c r="DE14" s="55"/>
      <c r="DF14" s="55"/>
      <c r="DG14" s="55"/>
      <c r="DH14" s="55"/>
      <c r="DI14" s="55"/>
      <c r="DJ14" s="55"/>
      <c r="DK14" s="55"/>
      <c r="DL14" s="55"/>
      <c r="DM14" s="55"/>
      <c r="DN14" s="55"/>
      <c r="DO14" s="55"/>
      <c r="DP14" s="55"/>
      <c r="DQ14" s="55"/>
      <c r="DR14" s="55"/>
      <c r="DS14" s="55"/>
      <c r="DT14" s="55"/>
      <c r="DU14" s="55"/>
      <c r="DV14" s="55"/>
      <c r="DW14" s="55"/>
      <c r="DX14" s="55"/>
      <c r="DY14" s="55"/>
      <c r="DZ14" s="55"/>
      <c r="EA14" s="55"/>
      <c r="EB14" s="55"/>
      <c r="EC14" s="55"/>
      <c r="ED14" s="55"/>
      <c r="EE14" s="55"/>
      <c r="EF14" s="55"/>
      <c r="EG14" s="55"/>
      <c r="EH14" s="55"/>
      <c r="EI14" s="55"/>
      <c r="EJ14" s="55"/>
      <c r="EK14" s="55"/>
      <c r="EL14" s="55"/>
      <c r="EM14" s="55"/>
      <c r="EN14" s="55"/>
      <c r="EO14" s="55"/>
      <c r="EP14" s="55"/>
      <c r="EQ14" s="55"/>
      <c r="ER14" s="55"/>
      <c r="ES14" s="55"/>
      <c r="ET14" s="55"/>
      <c r="EU14" s="55"/>
      <c r="EV14" s="55"/>
      <c r="EW14" s="55"/>
      <c r="EX14" s="55"/>
      <c r="EY14" s="55"/>
      <c r="EZ14" s="55"/>
      <c r="FA14" s="55"/>
      <c r="FB14" s="55"/>
      <c r="FC14" s="55"/>
      <c r="FD14" s="55"/>
      <c r="FE14" s="55"/>
      <c r="FF14" s="55"/>
      <c r="FG14" s="55"/>
      <c r="FH14" s="55"/>
      <c r="FI14" s="55"/>
      <c r="FJ14" s="55"/>
      <c r="FK14" s="55"/>
      <c r="FL14" s="55"/>
      <c r="FM14" s="55"/>
      <c r="FN14" s="55"/>
      <c r="FO14" s="55"/>
      <c r="FP14" s="55"/>
      <c r="FQ14" s="55"/>
      <c r="FR14" s="55"/>
      <c r="FS14" s="55"/>
      <c r="FT14" s="55"/>
      <c r="FU14" s="55"/>
      <c r="FV14" s="55"/>
      <c r="FW14" s="55"/>
      <c r="FX14" s="55"/>
      <c r="FY14" s="55"/>
      <c r="FZ14" s="55"/>
      <c r="GA14" s="55"/>
      <c r="GB14" s="55"/>
      <c r="GC14" s="55"/>
      <c r="GD14" s="55"/>
      <c r="GE14" s="55"/>
      <c r="GF14" s="55"/>
      <c r="GG14" s="55"/>
      <c r="GH14" s="55"/>
      <c r="GI14" s="55"/>
      <c r="GJ14" s="55"/>
      <c r="GK14" s="55"/>
      <c r="GL14" s="55"/>
      <c r="GM14" s="55"/>
      <c r="GN14" s="55"/>
      <c r="GO14" s="55"/>
      <c r="GP14" s="55"/>
      <c r="GQ14" s="55"/>
      <c r="GR14" s="55"/>
      <c r="GS14" s="55"/>
      <c r="GT14" s="55"/>
      <c r="GU14" s="55"/>
      <c r="GV14" s="55"/>
      <c r="GW14" s="55"/>
      <c r="GX14" s="55"/>
      <c r="GY14" s="55"/>
      <c r="GZ14" s="55"/>
      <c r="HA14" s="55"/>
      <c r="HB14" s="55"/>
      <c r="HC14" s="55"/>
      <c r="HD14" s="55"/>
      <c r="HE14" s="55"/>
      <c r="HF14" s="55"/>
      <c r="HG14" s="55"/>
      <c r="HH14" s="55"/>
      <c r="HI14" s="55"/>
      <c r="HJ14" s="55"/>
      <c r="HK14" s="55"/>
      <c r="HL14" s="55"/>
      <c r="HM14" s="55"/>
      <c r="HN14" s="55"/>
      <c r="HO14" s="55"/>
      <c r="HP14" s="55"/>
      <c r="HQ14" s="55"/>
      <c r="HR14" s="55"/>
      <c r="HS14" s="55"/>
      <c r="HT14" s="55"/>
      <c r="HU14" s="55"/>
      <c r="HV14" s="55"/>
      <c r="HW14" s="55"/>
      <c r="HX14" s="55"/>
      <c r="HY14" s="55"/>
      <c r="HZ14" s="55"/>
      <c r="IA14" s="55"/>
      <c r="IB14" s="55"/>
    </row>
    <row r="15" spans="1:236" ht="15" customHeight="1" x14ac:dyDescent="0.2">
      <c r="A15" s="63" t="s">
        <v>273</v>
      </c>
      <c r="B15" s="44" t="s">
        <v>204</v>
      </c>
      <c r="C15" s="45" t="s">
        <v>196</v>
      </c>
      <c r="D15" s="451"/>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5"/>
      <c r="BK15" s="55"/>
      <c r="BL15" s="55"/>
      <c r="BM15" s="55"/>
      <c r="BN15" s="55"/>
      <c r="BO15" s="55"/>
      <c r="BP15" s="55"/>
      <c r="BQ15" s="55"/>
      <c r="BR15" s="55"/>
      <c r="BS15" s="55"/>
      <c r="BT15" s="55"/>
      <c r="BU15" s="55"/>
      <c r="BV15" s="55"/>
      <c r="BW15" s="55"/>
      <c r="BX15" s="55"/>
      <c r="BY15" s="55"/>
      <c r="BZ15" s="55"/>
      <c r="CA15" s="55"/>
      <c r="CB15" s="55"/>
      <c r="CC15" s="55"/>
      <c r="CD15" s="55"/>
      <c r="CE15" s="55"/>
      <c r="CF15" s="55"/>
      <c r="CG15" s="55"/>
      <c r="CH15" s="55"/>
      <c r="CI15" s="55"/>
      <c r="CJ15" s="55"/>
      <c r="CK15" s="55"/>
      <c r="CL15" s="55"/>
      <c r="CM15" s="55"/>
      <c r="CN15" s="55"/>
      <c r="CO15" s="55"/>
      <c r="CP15" s="55"/>
      <c r="CQ15" s="55"/>
      <c r="CR15" s="55"/>
      <c r="CS15" s="55"/>
      <c r="CT15" s="55"/>
      <c r="CU15" s="55"/>
      <c r="CV15" s="55"/>
      <c r="CW15" s="55"/>
      <c r="CX15" s="55"/>
      <c r="CY15" s="55"/>
      <c r="CZ15" s="55"/>
      <c r="DA15" s="55"/>
      <c r="DB15" s="55"/>
      <c r="DC15" s="55"/>
      <c r="DD15" s="55"/>
      <c r="DE15" s="55"/>
      <c r="DF15" s="55"/>
      <c r="DG15" s="55"/>
      <c r="DH15" s="55"/>
      <c r="DI15" s="55"/>
      <c r="DJ15" s="55"/>
      <c r="DK15" s="55"/>
      <c r="DL15" s="55"/>
      <c r="DM15" s="55"/>
      <c r="DN15" s="55"/>
      <c r="DO15" s="55"/>
      <c r="DP15" s="55"/>
      <c r="DQ15" s="55"/>
      <c r="DR15" s="55"/>
      <c r="DS15" s="55"/>
      <c r="DT15" s="55"/>
      <c r="DU15" s="55"/>
      <c r="DV15" s="55"/>
      <c r="DW15" s="55"/>
      <c r="DX15" s="55"/>
      <c r="DY15" s="55"/>
      <c r="DZ15" s="55"/>
      <c r="EA15" s="55"/>
      <c r="EB15" s="55"/>
      <c r="EC15" s="55"/>
      <c r="ED15" s="55"/>
      <c r="EE15" s="55"/>
      <c r="EF15" s="55"/>
      <c r="EG15" s="55"/>
      <c r="EH15" s="55"/>
      <c r="EI15" s="55"/>
      <c r="EJ15" s="55"/>
      <c r="EK15" s="55"/>
      <c r="EL15" s="55"/>
      <c r="EM15" s="55"/>
      <c r="EN15" s="55"/>
      <c r="EO15" s="55"/>
      <c r="EP15" s="55"/>
      <c r="EQ15" s="55"/>
      <c r="ER15" s="55"/>
      <c r="ES15" s="55"/>
      <c r="ET15" s="55"/>
      <c r="EU15" s="55"/>
      <c r="EV15" s="55"/>
      <c r="EW15" s="55"/>
      <c r="EX15" s="55"/>
      <c r="EY15" s="55"/>
      <c r="EZ15" s="55"/>
      <c r="FA15" s="55"/>
      <c r="FB15" s="55"/>
      <c r="FC15" s="55"/>
      <c r="FD15" s="55"/>
      <c r="FE15" s="55"/>
      <c r="FF15" s="55"/>
      <c r="FG15" s="55"/>
      <c r="FH15" s="55"/>
      <c r="FI15" s="55"/>
      <c r="FJ15" s="55"/>
      <c r="FK15" s="55"/>
      <c r="FL15" s="55"/>
      <c r="FM15" s="55"/>
      <c r="FN15" s="55"/>
      <c r="FO15" s="55"/>
      <c r="FP15" s="55"/>
      <c r="FQ15" s="55"/>
      <c r="FR15" s="55"/>
      <c r="FS15" s="55"/>
      <c r="FT15" s="55"/>
      <c r="FU15" s="55"/>
      <c r="FV15" s="55"/>
      <c r="FW15" s="55"/>
      <c r="FX15" s="55"/>
      <c r="FY15" s="55"/>
      <c r="FZ15" s="55"/>
      <c r="GA15" s="55"/>
      <c r="GB15" s="55"/>
      <c r="GC15" s="55"/>
      <c r="GD15" s="55"/>
      <c r="GE15" s="55"/>
      <c r="GF15" s="55"/>
      <c r="GG15" s="55"/>
      <c r="GH15" s="55"/>
      <c r="GI15" s="55"/>
      <c r="GJ15" s="55"/>
      <c r="GK15" s="55"/>
      <c r="GL15" s="55"/>
      <c r="GM15" s="55"/>
      <c r="GN15" s="55"/>
      <c r="GO15" s="55"/>
      <c r="GP15" s="55"/>
      <c r="GQ15" s="55"/>
      <c r="GR15" s="55"/>
      <c r="GS15" s="55"/>
      <c r="GT15" s="55"/>
      <c r="GU15" s="55"/>
      <c r="GV15" s="55"/>
      <c r="GW15" s="55"/>
      <c r="GX15" s="55"/>
      <c r="GY15" s="55"/>
      <c r="GZ15" s="55"/>
      <c r="HA15" s="55"/>
      <c r="HB15" s="55"/>
      <c r="HC15" s="55"/>
      <c r="HD15" s="55"/>
      <c r="HE15" s="55"/>
      <c r="HF15" s="55"/>
      <c r="HG15" s="55"/>
      <c r="HH15" s="55"/>
      <c r="HI15" s="55"/>
      <c r="HJ15" s="55"/>
      <c r="HK15" s="55"/>
      <c r="HL15" s="55"/>
      <c r="HM15" s="55"/>
      <c r="HN15" s="55"/>
      <c r="HO15" s="55"/>
      <c r="HP15" s="55"/>
      <c r="HQ15" s="55"/>
      <c r="HR15" s="55"/>
      <c r="HS15" s="55"/>
      <c r="HT15" s="55"/>
      <c r="HU15" s="55"/>
      <c r="HV15" s="55"/>
      <c r="HW15" s="55"/>
      <c r="HX15" s="55"/>
      <c r="HY15" s="55"/>
      <c r="HZ15" s="55"/>
      <c r="IA15" s="55"/>
      <c r="IB15" s="55"/>
    </row>
    <row r="16" spans="1:236" ht="15" customHeight="1" x14ac:dyDescent="0.2">
      <c r="A16" s="63" t="s">
        <v>274</v>
      </c>
      <c r="B16" s="44" t="s">
        <v>205</v>
      </c>
      <c r="C16" s="45" t="s">
        <v>254</v>
      </c>
      <c r="D16" s="451"/>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c r="BF16" s="55"/>
      <c r="BG16" s="55"/>
      <c r="BH16" s="55"/>
      <c r="BI16" s="55"/>
      <c r="BJ16" s="55"/>
      <c r="BK16" s="55"/>
      <c r="BL16" s="55"/>
      <c r="BM16" s="55"/>
      <c r="BN16" s="55"/>
      <c r="BO16" s="55"/>
      <c r="BP16" s="55"/>
      <c r="BQ16" s="55"/>
      <c r="BR16" s="55"/>
      <c r="BS16" s="55"/>
      <c r="BT16" s="55"/>
      <c r="BU16" s="55"/>
      <c r="BV16" s="55"/>
      <c r="BW16" s="55"/>
      <c r="BX16" s="55"/>
      <c r="BY16" s="55"/>
      <c r="BZ16" s="55"/>
      <c r="CA16" s="55"/>
      <c r="CB16" s="55"/>
      <c r="CC16" s="55"/>
      <c r="CD16" s="55"/>
      <c r="CE16" s="55"/>
      <c r="CF16" s="55"/>
      <c r="CG16" s="55"/>
      <c r="CH16" s="55"/>
      <c r="CI16" s="55"/>
      <c r="CJ16" s="55"/>
      <c r="CK16" s="55"/>
      <c r="CL16" s="55"/>
      <c r="CM16" s="55"/>
      <c r="CN16" s="55"/>
      <c r="CO16" s="55"/>
      <c r="CP16" s="55"/>
      <c r="CQ16" s="55"/>
      <c r="CR16" s="55"/>
      <c r="CS16" s="55"/>
      <c r="CT16" s="55"/>
      <c r="CU16" s="55"/>
      <c r="CV16" s="55"/>
      <c r="CW16" s="55"/>
      <c r="CX16" s="55"/>
      <c r="CY16" s="55"/>
      <c r="CZ16" s="55"/>
      <c r="DA16" s="55"/>
      <c r="DB16" s="55"/>
      <c r="DC16" s="55"/>
      <c r="DD16" s="55"/>
      <c r="DE16" s="55"/>
      <c r="DF16" s="55"/>
      <c r="DG16" s="55"/>
      <c r="DH16" s="55"/>
      <c r="DI16" s="55"/>
      <c r="DJ16" s="55"/>
      <c r="DK16" s="55"/>
      <c r="DL16" s="55"/>
      <c r="DM16" s="55"/>
      <c r="DN16" s="55"/>
      <c r="DO16" s="55"/>
      <c r="DP16" s="55"/>
      <c r="DQ16" s="55"/>
      <c r="DR16" s="55"/>
      <c r="DS16" s="55"/>
      <c r="DT16" s="55"/>
      <c r="DU16" s="55"/>
      <c r="DV16" s="55"/>
      <c r="DW16" s="55"/>
      <c r="DX16" s="55"/>
      <c r="DY16" s="55"/>
      <c r="DZ16" s="55"/>
      <c r="EA16" s="55"/>
      <c r="EB16" s="55"/>
      <c r="EC16" s="55"/>
      <c r="ED16" s="55"/>
      <c r="EE16" s="55"/>
      <c r="EF16" s="55"/>
      <c r="EG16" s="55"/>
      <c r="EH16" s="55"/>
      <c r="EI16" s="55"/>
      <c r="EJ16" s="55"/>
      <c r="EK16" s="55"/>
      <c r="EL16" s="55"/>
      <c r="EM16" s="55"/>
      <c r="EN16" s="55"/>
      <c r="EO16" s="55"/>
      <c r="EP16" s="55"/>
      <c r="EQ16" s="55"/>
      <c r="ER16" s="55"/>
      <c r="ES16" s="55"/>
      <c r="ET16" s="55"/>
      <c r="EU16" s="55"/>
      <c r="EV16" s="55"/>
      <c r="EW16" s="55"/>
      <c r="EX16" s="55"/>
      <c r="EY16" s="55"/>
      <c r="EZ16" s="55"/>
      <c r="FA16" s="55"/>
      <c r="FB16" s="55"/>
      <c r="FC16" s="55"/>
      <c r="FD16" s="55"/>
      <c r="FE16" s="55"/>
      <c r="FF16" s="55"/>
      <c r="FG16" s="55"/>
      <c r="FH16" s="55"/>
      <c r="FI16" s="55"/>
      <c r="FJ16" s="55"/>
      <c r="FK16" s="55"/>
      <c r="FL16" s="55"/>
      <c r="FM16" s="55"/>
      <c r="FN16" s="55"/>
      <c r="FO16" s="55"/>
      <c r="FP16" s="55"/>
      <c r="FQ16" s="55"/>
      <c r="FR16" s="55"/>
      <c r="FS16" s="55"/>
      <c r="FT16" s="55"/>
      <c r="FU16" s="55"/>
      <c r="FV16" s="55"/>
      <c r="FW16" s="55"/>
      <c r="FX16" s="55"/>
      <c r="FY16" s="55"/>
      <c r="FZ16" s="55"/>
      <c r="GA16" s="55"/>
      <c r="GB16" s="55"/>
      <c r="GC16" s="55"/>
      <c r="GD16" s="55"/>
      <c r="GE16" s="55"/>
      <c r="GF16" s="55"/>
      <c r="GG16" s="55"/>
      <c r="GH16" s="55"/>
      <c r="GI16" s="55"/>
      <c r="GJ16" s="55"/>
      <c r="GK16" s="55"/>
      <c r="GL16" s="55"/>
      <c r="GM16" s="55"/>
      <c r="GN16" s="55"/>
      <c r="GO16" s="55"/>
      <c r="GP16" s="55"/>
      <c r="GQ16" s="55"/>
      <c r="GR16" s="55"/>
      <c r="GS16" s="55"/>
      <c r="GT16" s="55"/>
      <c r="GU16" s="55"/>
      <c r="GV16" s="55"/>
      <c r="GW16" s="55"/>
      <c r="GX16" s="55"/>
      <c r="GY16" s="55"/>
      <c r="GZ16" s="55"/>
      <c r="HA16" s="55"/>
      <c r="HB16" s="55"/>
      <c r="HC16" s="55"/>
      <c r="HD16" s="55"/>
      <c r="HE16" s="55"/>
      <c r="HF16" s="55"/>
      <c r="HG16" s="55"/>
      <c r="HH16" s="55"/>
      <c r="HI16" s="55"/>
      <c r="HJ16" s="55"/>
      <c r="HK16" s="55"/>
      <c r="HL16" s="55"/>
      <c r="HM16" s="55"/>
      <c r="HN16" s="55"/>
      <c r="HO16" s="55"/>
      <c r="HP16" s="55"/>
      <c r="HQ16" s="55"/>
      <c r="HR16" s="55"/>
      <c r="HS16" s="55"/>
      <c r="HT16" s="55"/>
      <c r="HU16" s="55"/>
      <c r="HV16" s="55"/>
      <c r="HW16" s="55"/>
      <c r="HX16" s="55"/>
      <c r="HY16" s="55"/>
      <c r="HZ16" s="55"/>
      <c r="IA16" s="55"/>
      <c r="IB16" s="55"/>
    </row>
    <row r="17" spans="1:236" ht="15" customHeight="1" x14ac:dyDescent="0.2">
      <c r="A17" s="63" t="s">
        <v>275</v>
      </c>
      <c r="B17" s="44" t="s">
        <v>206</v>
      </c>
      <c r="C17" s="45" t="s">
        <v>254</v>
      </c>
      <c r="D17" s="451"/>
      <c r="E17" s="55"/>
      <c r="F17" s="55"/>
      <c r="G17" s="55"/>
      <c r="H17" s="55"/>
      <c r="I17" s="55"/>
      <c r="J17" s="55"/>
      <c r="K17" s="55"/>
      <c r="L17" s="55"/>
      <c r="M17" s="55"/>
      <c r="N17" s="55"/>
      <c r="O17" s="55"/>
      <c r="P17" s="55"/>
      <c r="Q17" s="55"/>
      <c r="R17" s="55"/>
      <c r="S17" s="55"/>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c r="BF17" s="55"/>
      <c r="BG17" s="55"/>
      <c r="BH17" s="55"/>
      <c r="BI17" s="55"/>
      <c r="BJ17" s="55"/>
      <c r="BK17" s="55"/>
      <c r="BL17" s="55"/>
      <c r="BM17" s="55"/>
      <c r="BN17" s="55"/>
      <c r="BO17" s="55"/>
      <c r="BP17" s="55"/>
      <c r="BQ17" s="55"/>
      <c r="BR17" s="55"/>
      <c r="BS17" s="55"/>
      <c r="BT17" s="55"/>
      <c r="BU17" s="55"/>
      <c r="BV17" s="55"/>
      <c r="BW17" s="55"/>
      <c r="BX17" s="55"/>
      <c r="BY17" s="55"/>
      <c r="BZ17" s="55"/>
      <c r="CA17" s="55"/>
      <c r="CB17" s="55"/>
      <c r="CC17" s="55"/>
      <c r="CD17" s="55"/>
      <c r="CE17" s="55"/>
      <c r="CF17" s="55"/>
      <c r="CG17" s="55"/>
      <c r="CH17" s="55"/>
      <c r="CI17" s="55"/>
      <c r="CJ17" s="55"/>
      <c r="CK17" s="55"/>
      <c r="CL17" s="55"/>
      <c r="CM17" s="55"/>
      <c r="CN17" s="55"/>
      <c r="CO17" s="55"/>
      <c r="CP17" s="55"/>
      <c r="CQ17" s="55"/>
      <c r="CR17" s="55"/>
      <c r="CS17" s="55"/>
      <c r="CT17" s="55"/>
      <c r="CU17" s="55"/>
      <c r="CV17" s="55"/>
      <c r="CW17" s="55"/>
      <c r="CX17" s="55"/>
      <c r="CY17" s="55"/>
      <c r="CZ17" s="55"/>
      <c r="DA17" s="55"/>
      <c r="DB17" s="55"/>
      <c r="DC17" s="55"/>
      <c r="DD17" s="55"/>
      <c r="DE17" s="55"/>
      <c r="DF17" s="55"/>
      <c r="DG17" s="55"/>
      <c r="DH17" s="55"/>
      <c r="DI17" s="55"/>
      <c r="DJ17" s="55"/>
      <c r="DK17" s="55"/>
      <c r="DL17" s="55"/>
      <c r="DM17" s="55"/>
      <c r="DN17" s="55"/>
      <c r="DO17" s="55"/>
      <c r="DP17" s="55"/>
      <c r="DQ17" s="55"/>
      <c r="DR17" s="55"/>
      <c r="DS17" s="55"/>
      <c r="DT17" s="55"/>
      <c r="DU17" s="55"/>
      <c r="DV17" s="55"/>
      <c r="DW17" s="55"/>
      <c r="DX17" s="55"/>
      <c r="DY17" s="55"/>
      <c r="DZ17" s="55"/>
      <c r="EA17" s="55"/>
      <c r="EB17" s="55"/>
      <c r="EC17" s="55"/>
      <c r="ED17" s="55"/>
      <c r="EE17" s="55"/>
      <c r="EF17" s="55"/>
      <c r="EG17" s="55"/>
      <c r="EH17" s="55"/>
      <c r="EI17" s="55"/>
      <c r="EJ17" s="55"/>
      <c r="EK17" s="55"/>
      <c r="EL17" s="55"/>
      <c r="EM17" s="55"/>
      <c r="EN17" s="55"/>
      <c r="EO17" s="55"/>
      <c r="EP17" s="55"/>
      <c r="EQ17" s="55"/>
      <c r="ER17" s="55"/>
      <c r="ES17" s="55"/>
      <c r="ET17" s="55"/>
      <c r="EU17" s="55"/>
      <c r="EV17" s="55"/>
      <c r="EW17" s="55"/>
      <c r="EX17" s="55"/>
      <c r="EY17" s="55"/>
      <c r="EZ17" s="55"/>
      <c r="FA17" s="55"/>
      <c r="FB17" s="55"/>
      <c r="FC17" s="55"/>
      <c r="FD17" s="55"/>
      <c r="FE17" s="55"/>
      <c r="FF17" s="55"/>
      <c r="FG17" s="55"/>
      <c r="FH17" s="55"/>
      <c r="FI17" s="55"/>
      <c r="FJ17" s="55"/>
      <c r="FK17" s="55"/>
      <c r="FL17" s="55"/>
      <c r="FM17" s="55"/>
      <c r="FN17" s="55"/>
      <c r="FO17" s="55"/>
      <c r="FP17" s="55"/>
      <c r="FQ17" s="55"/>
      <c r="FR17" s="55"/>
      <c r="FS17" s="55"/>
      <c r="FT17" s="55"/>
      <c r="FU17" s="55"/>
      <c r="FV17" s="55"/>
      <c r="FW17" s="55"/>
      <c r="FX17" s="55"/>
      <c r="FY17" s="55"/>
      <c r="FZ17" s="55"/>
      <c r="GA17" s="55"/>
      <c r="GB17" s="55"/>
      <c r="GC17" s="55"/>
      <c r="GD17" s="55"/>
      <c r="GE17" s="55"/>
      <c r="GF17" s="55"/>
      <c r="GG17" s="55"/>
      <c r="GH17" s="55"/>
      <c r="GI17" s="55"/>
      <c r="GJ17" s="55"/>
      <c r="GK17" s="55"/>
      <c r="GL17" s="55"/>
      <c r="GM17" s="55"/>
      <c r="GN17" s="55"/>
      <c r="GO17" s="55"/>
      <c r="GP17" s="55"/>
      <c r="GQ17" s="55"/>
      <c r="GR17" s="55"/>
      <c r="GS17" s="55"/>
      <c r="GT17" s="55"/>
      <c r="GU17" s="55"/>
      <c r="GV17" s="55"/>
      <c r="GW17" s="55"/>
      <c r="GX17" s="55"/>
      <c r="GY17" s="55"/>
      <c r="GZ17" s="55"/>
      <c r="HA17" s="55"/>
      <c r="HB17" s="55"/>
      <c r="HC17" s="55"/>
      <c r="HD17" s="55"/>
      <c r="HE17" s="55"/>
      <c r="HF17" s="55"/>
      <c r="HG17" s="55"/>
      <c r="HH17" s="55"/>
      <c r="HI17" s="55"/>
      <c r="HJ17" s="55"/>
      <c r="HK17" s="55"/>
      <c r="HL17" s="55"/>
      <c r="HM17" s="55"/>
      <c r="HN17" s="55"/>
      <c r="HO17" s="55"/>
      <c r="HP17" s="55"/>
      <c r="HQ17" s="55"/>
      <c r="HR17" s="55"/>
      <c r="HS17" s="55"/>
      <c r="HT17" s="55"/>
      <c r="HU17" s="55"/>
      <c r="HV17" s="55"/>
      <c r="HW17" s="55"/>
      <c r="HX17" s="55"/>
      <c r="HY17" s="55"/>
      <c r="HZ17" s="55"/>
      <c r="IA17" s="55"/>
      <c r="IB17" s="55"/>
    </row>
    <row r="18" spans="1:236" ht="15" customHeight="1" x14ac:dyDescent="0.2">
      <c r="A18" s="63" t="s">
        <v>276</v>
      </c>
      <c r="B18" s="44" t="s">
        <v>207</v>
      </c>
      <c r="C18" s="45" t="s">
        <v>254</v>
      </c>
      <c r="D18" s="451"/>
      <c r="E18" s="55"/>
      <c r="F18" s="55"/>
      <c r="G18" s="55"/>
      <c r="H18" s="55"/>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c r="BM18" s="55"/>
      <c r="BN18" s="55"/>
      <c r="BO18" s="55"/>
      <c r="BP18" s="55"/>
      <c r="BQ18" s="55"/>
      <c r="BR18" s="55"/>
      <c r="BS18" s="55"/>
      <c r="BT18" s="55"/>
      <c r="BU18" s="55"/>
      <c r="BV18" s="55"/>
      <c r="BW18" s="55"/>
      <c r="BX18" s="55"/>
      <c r="BY18" s="55"/>
      <c r="BZ18" s="55"/>
      <c r="CA18" s="55"/>
      <c r="CB18" s="55"/>
      <c r="CC18" s="55"/>
      <c r="CD18" s="55"/>
      <c r="CE18" s="55"/>
      <c r="CF18" s="55"/>
      <c r="CG18" s="55"/>
      <c r="CH18" s="55"/>
      <c r="CI18" s="55"/>
      <c r="CJ18" s="55"/>
      <c r="CK18" s="55"/>
      <c r="CL18" s="55"/>
      <c r="CM18" s="55"/>
      <c r="CN18" s="55"/>
      <c r="CO18" s="55"/>
      <c r="CP18" s="55"/>
      <c r="CQ18" s="55"/>
      <c r="CR18" s="55"/>
      <c r="CS18" s="55"/>
      <c r="CT18" s="55"/>
      <c r="CU18" s="55"/>
      <c r="CV18" s="55"/>
      <c r="CW18" s="55"/>
      <c r="CX18" s="55"/>
      <c r="CY18" s="55"/>
      <c r="CZ18" s="55"/>
      <c r="DA18" s="55"/>
      <c r="DB18" s="55"/>
      <c r="DC18" s="55"/>
      <c r="DD18" s="55"/>
      <c r="DE18" s="55"/>
      <c r="DF18" s="55"/>
      <c r="DG18" s="55"/>
      <c r="DH18" s="55"/>
      <c r="DI18" s="55"/>
      <c r="DJ18" s="55"/>
      <c r="DK18" s="55"/>
      <c r="DL18" s="55"/>
      <c r="DM18" s="55"/>
      <c r="DN18" s="55"/>
      <c r="DO18" s="55"/>
      <c r="DP18" s="55"/>
      <c r="DQ18" s="55"/>
      <c r="DR18" s="55"/>
      <c r="DS18" s="55"/>
      <c r="DT18" s="55"/>
      <c r="DU18" s="55"/>
      <c r="DV18" s="55"/>
      <c r="DW18" s="55"/>
      <c r="DX18" s="55"/>
      <c r="DY18" s="55"/>
      <c r="DZ18" s="55"/>
      <c r="EA18" s="55"/>
      <c r="EB18" s="55"/>
      <c r="EC18" s="55"/>
      <c r="ED18" s="55"/>
      <c r="EE18" s="55"/>
      <c r="EF18" s="55"/>
      <c r="EG18" s="55"/>
      <c r="EH18" s="55"/>
      <c r="EI18" s="55"/>
      <c r="EJ18" s="55"/>
      <c r="EK18" s="55"/>
      <c r="EL18" s="55"/>
      <c r="EM18" s="55"/>
      <c r="EN18" s="55"/>
      <c r="EO18" s="55"/>
      <c r="EP18" s="55"/>
      <c r="EQ18" s="55"/>
      <c r="ER18" s="55"/>
      <c r="ES18" s="55"/>
      <c r="ET18" s="55"/>
      <c r="EU18" s="55"/>
      <c r="EV18" s="55"/>
      <c r="EW18" s="55"/>
      <c r="EX18" s="55"/>
      <c r="EY18" s="55"/>
      <c r="EZ18" s="55"/>
      <c r="FA18" s="55"/>
      <c r="FB18" s="55"/>
      <c r="FC18" s="55"/>
      <c r="FD18" s="55"/>
      <c r="FE18" s="55"/>
      <c r="FF18" s="55"/>
      <c r="FG18" s="55"/>
      <c r="FH18" s="55"/>
      <c r="FI18" s="55"/>
      <c r="FJ18" s="55"/>
      <c r="FK18" s="55"/>
      <c r="FL18" s="55"/>
      <c r="FM18" s="55"/>
      <c r="FN18" s="55"/>
      <c r="FO18" s="55"/>
      <c r="FP18" s="55"/>
      <c r="FQ18" s="55"/>
      <c r="FR18" s="55"/>
      <c r="FS18" s="55"/>
      <c r="FT18" s="55"/>
      <c r="FU18" s="55"/>
      <c r="FV18" s="55"/>
      <c r="FW18" s="55"/>
      <c r="FX18" s="55"/>
      <c r="FY18" s="55"/>
      <c r="FZ18" s="55"/>
      <c r="GA18" s="55"/>
      <c r="GB18" s="55"/>
      <c r="GC18" s="55"/>
      <c r="GD18" s="55"/>
      <c r="GE18" s="55"/>
      <c r="GF18" s="55"/>
      <c r="GG18" s="55"/>
      <c r="GH18" s="55"/>
      <c r="GI18" s="55"/>
      <c r="GJ18" s="55"/>
      <c r="GK18" s="55"/>
      <c r="GL18" s="55"/>
      <c r="GM18" s="55"/>
      <c r="GN18" s="55"/>
      <c r="GO18" s="55"/>
      <c r="GP18" s="55"/>
      <c r="GQ18" s="55"/>
      <c r="GR18" s="55"/>
      <c r="GS18" s="55"/>
      <c r="GT18" s="55"/>
      <c r="GU18" s="55"/>
      <c r="GV18" s="55"/>
      <c r="GW18" s="55"/>
      <c r="GX18" s="55"/>
      <c r="GY18" s="55"/>
      <c r="GZ18" s="55"/>
      <c r="HA18" s="55"/>
      <c r="HB18" s="55"/>
      <c r="HC18" s="55"/>
      <c r="HD18" s="55"/>
      <c r="HE18" s="55"/>
      <c r="HF18" s="55"/>
      <c r="HG18" s="55"/>
      <c r="HH18" s="55"/>
      <c r="HI18" s="55"/>
      <c r="HJ18" s="55"/>
      <c r="HK18" s="55"/>
      <c r="HL18" s="55"/>
      <c r="HM18" s="55"/>
      <c r="HN18" s="55"/>
      <c r="HO18" s="55"/>
      <c r="HP18" s="55"/>
      <c r="HQ18" s="55"/>
      <c r="HR18" s="55"/>
      <c r="HS18" s="55"/>
      <c r="HT18" s="55"/>
      <c r="HU18" s="55"/>
      <c r="HV18" s="55"/>
      <c r="HW18" s="55"/>
      <c r="HX18" s="55"/>
      <c r="HY18" s="55"/>
      <c r="HZ18" s="55"/>
      <c r="IA18" s="55"/>
      <c r="IB18" s="55"/>
    </row>
    <row r="19" spans="1:236" ht="15" customHeight="1" x14ac:dyDescent="0.2">
      <c r="A19" s="63" t="s">
        <v>277</v>
      </c>
      <c r="B19" s="44" t="s">
        <v>430</v>
      </c>
      <c r="C19" s="45" t="s">
        <v>255</v>
      </c>
      <c r="D19" s="451"/>
      <c r="E19" s="55"/>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5"/>
      <c r="BY19" s="55"/>
      <c r="BZ19" s="55"/>
      <c r="CA19" s="55"/>
      <c r="CB19" s="55"/>
      <c r="CC19" s="55"/>
      <c r="CD19" s="55"/>
      <c r="CE19" s="55"/>
      <c r="CF19" s="55"/>
      <c r="CG19" s="55"/>
      <c r="CH19" s="55"/>
      <c r="CI19" s="55"/>
      <c r="CJ19" s="55"/>
      <c r="CK19" s="55"/>
      <c r="CL19" s="55"/>
      <c r="CM19" s="55"/>
      <c r="CN19" s="55"/>
      <c r="CO19" s="55"/>
      <c r="CP19" s="55"/>
      <c r="CQ19" s="55"/>
      <c r="CR19" s="55"/>
      <c r="CS19" s="55"/>
      <c r="CT19" s="55"/>
      <c r="CU19" s="55"/>
      <c r="CV19" s="55"/>
      <c r="CW19" s="55"/>
      <c r="CX19" s="55"/>
      <c r="CY19" s="55"/>
      <c r="CZ19" s="55"/>
      <c r="DA19" s="55"/>
      <c r="DB19" s="55"/>
      <c r="DC19" s="55"/>
      <c r="DD19" s="55"/>
      <c r="DE19" s="55"/>
      <c r="DF19" s="55"/>
      <c r="DG19" s="55"/>
      <c r="DH19" s="55"/>
      <c r="DI19" s="55"/>
      <c r="DJ19" s="55"/>
      <c r="DK19" s="55"/>
      <c r="DL19" s="55"/>
      <c r="DM19" s="55"/>
      <c r="DN19" s="55"/>
      <c r="DO19" s="55"/>
      <c r="DP19" s="55"/>
      <c r="DQ19" s="55"/>
      <c r="DR19" s="55"/>
      <c r="DS19" s="55"/>
      <c r="DT19" s="55"/>
      <c r="DU19" s="55"/>
      <c r="DV19" s="55"/>
      <c r="DW19" s="55"/>
      <c r="DX19" s="55"/>
      <c r="DY19" s="55"/>
      <c r="DZ19" s="55"/>
      <c r="EA19" s="55"/>
      <c r="EB19" s="55"/>
      <c r="EC19" s="55"/>
      <c r="ED19" s="55"/>
      <c r="EE19" s="55"/>
      <c r="EF19" s="55"/>
      <c r="EG19" s="55"/>
      <c r="EH19" s="55"/>
      <c r="EI19" s="55"/>
      <c r="EJ19" s="55"/>
      <c r="EK19" s="55"/>
      <c r="EL19" s="55"/>
      <c r="EM19" s="55"/>
      <c r="EN19" s="55"/>
      <c r="EO19" s="55"/>
      <c r="EP19" s="55"/>
      <c r="EQ19" s="55"/>
      <c r="ER19" s="55"/>
      <c r="ES19" s="55"/>
      <c r="ET19" s="55"/>
      <c r="EU19" s="55"/>
      <c r="EV19" s="55"/>
      <c r="EW19" s="55"/>
      <c r="EX19" s="55"/>
      <c r="EY19" s="55"/>
      <c r="EZ19" s="55"/>
      <c r="FA19" s="55"/>
      <c r="FB19" s="55"/>
      <c r="FC19" s="55"/>
      <c r="FD19" s="55"/>
      <c r="FE19" s="55"/>
      <c r="FF19" s="55"/>
      <c r="FG19" s="55"/>
      <c r="FH19" s="55"/>
      <c r="FI19" s="55"/>
      <c r="FJ19" s="55"/>
      <c r="FK19" s="55"/>
      <c r="FL19" s="55"/>
      <c r="FM19" s="55"/>
      <c r="FN19" s="55"/>
      <c r="FO19" s="55"/>
      <c r="FP19" s="55"/>
      <c r="FQ19" s="55"/>
      <c r="FR19" s="55"/>
      <c r="FS19" s="55"/>
      <c r="FT19" s="55"/>
      <c r="FU19" s="55"/>
      <c r="FV19" s="55"/>
      <c r="FW19" s="55"/>
      <c r="FX19" s="55"/>
      <c r="FY19" s="55"/>
      <c r="FZ19" s="55"/>
      <c r="GA19" s="55"/>
      <c r="GB19" s="55"/>
      <c r="GC19" s="55"/>
      <c r="GD19" s="55"/>
      <c r="GE19" s="55"/>
      <c r="GF19" s="55"/>
      <c r="GG19" s="55"/>
      <c r="GH19" s="55"/>
      <c r="GI19" s="55"/>
      <c r="GJ19" s="55"/>
      <c r="GK19" s="55"/>
      <c r="GL19" s="55"/>
      <c r="GM19" s="55"/>
      <c r="GN19" s="55"/>
      <c r="GO19" s="55"/>
      <c r="GP19" s="55"/>
      <c r="GQ19" s="55"/>
      <c r="GR19" s="55"/>
      <c r="GS19" s="55"/>
      <c r="GT19" s="55"/>
      <c r="GU19" s="55"/>
      <c r="GV19" s="55"/>
      <c r="GW19" s="55"/>
      <c r="GX19" s="55"/>
      <c r="GY19" s="55"/>
      <c r="GZ19" s="55"/>
      <c r="HA19" s="55"/>
      <c r="HB19" s="55"/>
      <c r="HC19" s="55"/>
      <c r="HD19" s="55"/>
      <c r="HE19" s="55"/>
      <c r="HF19" s="55"/>
      <c r="HG19" s="55"/>
      <c r="HH19" s="55"/>
      <c r="HI19" s="55"/>
      <c r="HJ19" s="55"/>
      <c r="HK19" s="55"/>
      <c r="HL19" s="55"/>
      <c r="HM19" s="55"/>
      <c r="HN19" s="55"/>
      <c r="HO19" s="55"/>
      <c r="HP19" s="55"/>
      <c r="HQ19" s="55"/>
      <c r="HR19" s="55"/>
      <c r="HS19" s="55"/>
      <c r="HT19" s="55"/>
      <c r="HU19" s="55"/>
      <c r="HV19" s="55"/>
      <c r="HW19" s="55"/>
      <c r="HX19" s="55"/>
      <c r="HY19" s="55"/>
      <c r="HZ19" s="55"/>
      <c r="IA19" s="55"/>
      <c r="IB19" s="55"/>
    </row>
    <row r="20" spans="1:236" ht="15" customHeight="1" x14ac:dyDescent="0.2">
      <c r="A20" s="63" t="s">
        <v>278</v>
      </c>
      <c r="B20" s="46" t="s">
        <v>208</v>
      </c>
      <c r="C20" s="45" t="s">
        <v>254</v>
      </c>
      <c r="D20" s="451"/>
      <c r="E20" s="55"/>
      <c r="F20" s="55"/>
      <c r="G20" s="55"/>
      <c r="H20" s="55"/>
      <c r="I20" s="55"/>
      <c r="J20" s="55"/>
      <c r="K20" s="55"/>
      <c r="L20" s="55"/>
      <c r="M20" s="55"/>
      <c r="N20" s="55"/>
      <c r="O20" s="55"/>
      <c r="P20" s="55"/>
      <c r="Q20" s="55"/>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c r="DM20" s="55"/>
      <c r="DN20" s="55"/>
      <c r="DO20" s="55"/>
      <c r="DP20" s="55"/>
      <c r="DQ20" s="55"/>
      <c r="DR20" s="55"/>
      <c r="DS20" s="55"/>
      <c r="DT20" s="55"/>
      <c r="DU20" s="55"/>
      <c r="DV20" s="55"/>
      <c r="DW20" s="55"/>
      <c r="DX20" s="55"/>
      <c r="DY20" s="55"/>
      <c r="DZ20" s="55"/>
      <c r="EA20" s="55"/>
      <c r="EB20" s="55"/>
      <c r="EC20" s="55"/>
      <c r="ED20" s="55"/>
      <c r="EE20" s="55"/>
      <c r="EF20" s="55"/>
      <c r="EG20" s="55"/>
      <c r="EH20" s="55"/>
      <c r="EI20" s="55"/>
      <c r="EJ20" s="55"/>
      <c r="EK20" s="55"/>
      <c r="EL20" s="55"/>
      <c r="EM20" s="55"/>
      <c r="EN20" s="55"/>
      <c r="EO20" s="55"/>
      <c r="EP20" s="55"/>
      <c r="EQ20" s="55"/>
      <c r="ER20" s="55"/>
      <c r="ES20" s="55"/>
      <c r="ET20" s="55"/>
      <c r="EU20" s="55"/>
      <c r="EV20" s="55"/>
      <c r="EW20" s="55"/>
      <c r="EX20" s="55"/>
      <c r="EY20" s="55"/>
      <c r="EZ20" s="55"/>
      <c r="FA20" s="55"/>
      <c r="FB20" s="55"/>
      <c r="FC20" s="55"/>
      <c r="FD20" s="55"/>
      <c r="FE20" s="55"/>
      <c r="FF20" s="55"/>
      <c r="FG20" s="55"/>
      <c r="FH20" s="55"/>
      <c r="FI20" s="55"/>
      <c r="FJ20" s="55"/>
      <c r="FK20" s="55"/>
      <c r="FL20" s="55"/>
      <c r="FM20" s="55"/>
      <c r="FN20" s="55"/>
      <c r="FO20" s="55"/>
      <c r="FP20" s="55"/>
      <c r="FQ20" s="55"/>
      <c r="FR20" s="55"/>
      <c r="FS20" s="55"/>
      <c r="FT20" s="55"/>
      <c r="FU20" s="55"/>
      <c r="FV20" s="55"/>
      <c r="FW20" s="55"/>
      <c r="FX20" s="55"/>
      <c r="FY20" s="55"/>
      <c r="FZ20" s="55"/>
      <c r="GA20" s="55"/>
      <c r="GB20" s="55"/>
      <c r="GC20" s="55"/>
      <c r="GD20" s="55"/>
      <c r="GE20" s="55"/>
      <c r="GF20" s="55"/>
      <c r="GG20" s="55"/>
      <c r="GH20" s="55"/>
      <c r="GI20" s="55"/>
      <c r="GJ20" s="55"/>
      <c r="GK20" s="55"/>
      <c r="GL20" s="55"/>
      <c r="GM20" s="55"/>
      <c r="GN20" s="55"/>
      <c r="GO20" s="55"/>
      <c r="GP20" s="55"/>
      <c r="GQ20" s="55"/>
      <c r="GR20" s="55"/>
      <c r="GS20" s="55"/>
      <c r="GT20" s="55"/>
      <c r="GU20" s="55"/>
      <c r="GV20" s="55"/>
      <c r="GW20" s="55"/>
      <c r="GX20" s="55"/>
      <c r="GY20" s="55"/>
      <c r="GZ20" s="55"/>
      <c r="HA20" s="55"/>
      <c r="HB20" s="55"/>
      <c r="HC20" s="55"/>
      <c r="HD20" s="55"/>
      <c r="HE20" s="55"/>
      <c r="HF20" s="55"/>
      <c r="HG20" s="55"/>
      <c r="HH20" s="55"/>
      <c r="HI20" s="55"/>
      <c r="HJ20" s="55"/>
      <c r="HK20" s="55"/>
      <c r="HL20" s="55"/>
      <c r="HM20" s="55"/>
      <c r="HN20" s="55"/>
      <c r="HO20" s="55"/>
      <c r="HP20" s="55"/>
      <c r="HQ20" s="55"/>
      <c r="HR20" s="55"/>
      <c r="HS20" s="55"/>
      <c r="HT20" s="55"/>
      <c r="HU20" s="55"/>
      <c r="HV20" s="55"/>
      <c r="HW20" s="55"/>
      <c r="HX20" s="55"/>
      <c r="HY20" s="55"/>
      <c r="HZ20" s="55"/>
      <c r="IA20" s="55"/>
      <c r="IB20" s="55"/>
    </row>
    <row r="21" spans="1:236" ht="15" customHeight="1" x14ac:dyDescent="0.2">
      <c r="A21" s="63" t="s">
        <v>504</v>
      </c>
      <c r="B21" s="46" t="s">
        <v>1060</v>
      </c>
      <c r="C21" s="45" t="s">
        <v>197</v>
      </c>
      <c r="D21" s="451"/>
      <c r="E21" s="55"/>
      <c r="F21" s="55"/>
      <c r="G21" s="55"/>
      <c r="H21" s="55"/>
      <c r="I21" s="55"/>
      <c r="J21" s="55"/>
      <c r="K21" s="55"/>
      <c r="L21" s="55"/>
      <c r="M21" s="55"/>
      <c r="N21" s="55"/>
      <c r="O21" s="55"/>
      <c r="P21" s="55"/>
      <c r="Q21" s="55"/>
      <c r="R21" s="55"/>
      <c r="S21" s="55"/>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c r="BF21" s="55"/>
      <c r="BG21" s="55"/>
      <c r="BH21" s="55"/>
      <c r="BI21" s="55"/>
      <c r="BJ21" s="55"/>
      <c r="BK21" s="55"/>
      <c r="BL21" s="55"/>
      <c r="BM21" s="55"/>
      <c r="BN21" s="55"/>
      <c r="BO21" s="55"/>
      <c r="BP21" s="55"/>
      <c r="BQ21" s="55"/>
      <c r="BR21" s="55"/>
      <c r="BS21" s="55"/>
      <c r="BT21" s="55"/>
      <c r="BU21" s="55"/>
      <c r="BV21" s="55"/>
      <c r="BW21" s="55"/>
      <c r="BX21" s="55"/>
      <c r="BY21" s="55"/>
      <c r="BZ21" s="55"/>
      <c r="CA21" s="55"/>
      <c r="CB21" s="55"/>
      <c r="CC21" s="55"/>
      <c r="CD21" s="55"/>
      <c r="CE21" s="55"/>
      <c r="CF21" s="55"/>
      <c r="CG21" s="55"/>
      <c r="CH21" s="55"/>
      <c r="CI21" s="55"/>
      <c r="CJ21" s="55"/>
      <c r="CK21" s="55"/>
      <c r="CL21" s="55"/>
      <c r="CM21" s="55"/>
      <c r="CN21" s="55"/>
      <c r="CO21" s="55"/>
      <c r="CP21" s="55"/>
      <c r="CQ21" s="55"/>
      <c r="CR21" s="55"/>
      <c r="CS21" s="55"/>
      <c r="CT21" s="55"/>
      <c r="CU21" s="55"/>
      <c r="CV21" s="55"/>
      <c r="CW21" s="55"/>
      <c r="CX21" s="55"/>
      <c r="CY21" s="55"/>
      <c r="CZ21" s="55"/>
      <c r="DA21" s="55"/>
      <c r="DB21" s="55"/>
      <c r="DC21" s="55"/>
      <c r="DD21" s="55"/>
      <c r="DE21" s="55"/>
      <c r="DF21" s="55"/>
      <c r="DG21" s="55"/>
      <c r="DH21" s="55"/>
      <c r="DI21" s="55"/>
      <c r="DJ21" s="55"/>
      <c r="DK21" s="55"/>
      <c r="DL21" s="55"/>
      <c r="DM21" s="55"/>
      <c r="DN21" s="55"/>
      <c r="DO21" s="55"/>
      <c r="DP21" s="55"/>
      <c r="DQ21" s="55"/>
      <c r="DR21" s="55"/>
      <c r="DS21" s="55"/>
      <c r="DT21" s="55"/>
      <c r="DU21" s="55"/>
      <c r="DV21" s="55"/>
      <c r="DW21" s="55"/>
      <c r="DX21" s="55"/>
      <c r="DY21" s="55"/>
      <c r="DZ21" s="55"/>
      <c r="EA21" s="55"/>
      <c r="EB21" s="55"/>
      <c r="EC21" s="55"/>
      <c r="ED21" s="55"/>
      <c r="EE21" s="55"/>
      <c r="EF21" s="55"/>
      <c r="EG21" s="55"/>
      <c r="EH21" s="55"/>
      <c r="EI21" s="55"/>
      <c r="EJ21" s="55"/>
      <c r="EK21" s="55"/>
      <c r="EL21" s="55"/>
      <c r="EM21" s="55"/>
      <c r="EN21" s="55"/>
      <c r="EO21" s="55"/>
      <c r="EP21" s="55"/>
      <c r="EQ21" s="55"/>
      <c r="ER21" s="55"/>
      <c r="ES21" s="55"/>
      <c r="ET21" s="55"/>
      <c r="EU21" s="55"/>
      <c r="EV21" s="55"/>
      <c r="EW21" s="55"/>
      <c r="EX21" s="55"/>
      <c r="EY21" s="55"/>
      <c r="EZ21" s="55"/>
      <c r="FA21" s="55"/>
      <c r="FB21" s="55"/>
      <c r="FC21" s="55"/>
      <c r="FD21" s="55"/>
      <c r="FE21" s="55"/>
      <c r="FF21" s="55"/>
      <c r="FG21" s="55"/>
      <c r="FH21" s="55"/>
      <c r="FI21" s="55"/>
      <c r="FJ21" s="55"/>
      <c r="FK21" s="55"/>
      <c r="FL21" s="55"/>
      <c r="FM21" s="55"/>
      <c r="FN21" s="55"/>
      <c r="FO21" s="55"/>
      <c r="FP21" s="55"/>
      <c r="FQ21" s="55"/>
      <c r="FR21" s="55"/>
      <c r="FS21" s="55"/>
      <c r="FT21" s="55"/>
      <c r="FU21" s="55"/>
      <c r="FV21" s="55"/>
      <c r="FW21" s="55"/>
      <c r="FX21" s="55"/>
      <c r="FY21" s="55"/>
      <c r="FZ21" s="55"/>
      <c r="GA21" s="55"/>
      <c r="GB21" s="55"/>
      <c r="GC21" s="55"/>
      <c r="GD21" s="55"/>
      <c r="GE21" s="55"/>
      <c r="GF21" s="55"/>
      <c r="GG21" s="55"/>
      <c r="GH21" s="55"/>
      <c r="GI21" s="55"/>
      <c r="GJ21" s="55"/>
      <c r="GK21" s="55"/>
      <c r="GL21" s="55"/>
      <c r="GM21" s="55"/>
      <c r="GN21" s="55"/>
      <c r="GO21" s="55"/>
      <c r="GP21" s="55"/>
      <c r="GQ21" s="55"/>
      <c r="GR21" s="55"/>
      <c r="GS21" s="55"/>
      <c r="GT21" s="55"/>
      <c r="GU21" s="55"/>
      <c r="GV21" s="55"/>
      <c r="GW21" s="55"/>
      <c r="GX21" s="55"/>
      <c r="GY21" s="55"/>
      <c r="GZ21" s="55"/>
      <c r="HA21" s="55"/>
      <c r="HB21" s="55"/>
      <c r="HC21" s="55"/>
      <c r="HD21" s="55"/>
      <c r="HE21" s="55"/>
      <c r="HF21" s="55"/>
      <c r="HG21" s="55"/>
      <c r="HH21" s="55"/>
      <c r="HI21" s="55"/>
      <c r="HJ21" s="55"/>
      <c r="HK21" s="55"/>
      <c r="HL21" s="55"/>
      <c r="HM21" s="55"/>
      <c r="HN21" s="55"/>
      <c r="HO21" s="55"/>
      <c r="HP21" s="55"/>
      <c r="HQ21" s="55"/>
      <c r="HR21" s="55"/>
      <c r="HS21" s="55"/>
      <c r="HT21" s="55"/>
      <c r="HU21" s="55"/>
      <c r="HV21" s="55"/>
      <c r="HW21" s="55"/>
      <c r="HX21" s="55"/>
      <c r="HY21" s="55"/>
      <c r="HZ21" s="55"/>
      <c r="IA21" s="55"/>
      <c r="IB21" s="55"/>
    </row>
    <row r="22" spans="1:236" ht="15" customHeight="1" x14ac:dyDescent="0.2">
      <c r="A22" s="63" t="s">
        <v>505</v>
      </c>
      <c r="B22" s="46" t="s">
        <v>1199</v>
      </c>
      <c r="C22" s="45" t="s">
        <v>479</v>
      </c>
      <c r="D22" s="451"/>
      <c r="E22" s="55"/>
      <c r="F22" s="55"/>
      <c r="G22" s="55"/>
      <c r="H22" s="55"/>
      <c r="I22" s="55"/>
      <c r="J22" s="55"/>
      <c r="K22" s="55"/>
      <c r="L22" s="55"/>
      <c r="M22" s="55"/>
      <c r="N22" s="55"/>
      <c r="O22" s="55"/>
      <c r="P22" s="55"/>
      <c r="Q22" s="55"/>
      <c r="R22" s="55"/>
      <c r="S22" s="55"/>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c r="BF22" s="55"/>
      <c r="BG22" s="55"/>
      <c r="BH22" s="55"/>
      <c r="BI22" s="55"/>
      <c r="BJ22" s="55"/>
      <c r="BK22" s="55"/>
      <c r="BL22" s="55"/>
      <c r="BM22" s="55"/>
      <c r="BN22" s="55"/>
      <c r="BO22" s="55"/>
      <c r="BP22" s="55"/>
      <c r="BQ22" s="55"/>
      <c r="BR22" s="55"/>
      <c r="BS22" s="55"/>
      <c r="BT22" s="55"/>
      <c r="BU22" s="55"/>
      <c r="BV22" s="55"/>
      <c r="BW22" s="55"/>
      <c r="BX22" s="55"/>
      <c r="BY22" s="55"/>
      <c r="BZ22" s="55"/>
      <c r="CA22" s="55"/>
      <c r="CB22" s="55"/>
      <c r="CC22" s="55"/>
      <c r="CD22" s="55"/>
      <c r="CE22" s="55"/>
      <c r="CF22" s="55"/>
      <c r="CG22" s="55"/>
      <c r="CH22" s="55"/>
      <c r="CI22" s="55"/>
      <c r="CJ22" s="55"/>
      <c r="CK22" s="55"/>
      <c r="CL22" s="55"/>
      <c r="CM22" s="55"/>
      <c r="CN22" s="55"/>
      <c r="CO22" s="55"/>
      <c r="CP22" s="55"/>
      <c r="CQ22" s="55"/>
      <c r="CR22" s="55"/>
      <c r="CS22" s="55"/>
      <c r="CT22" s="55"/>
      <c r="CU22" s="55"/>
      <c r="CV22" s="55"/>
      <c r="CW22" s="55"/>
      <c r="CX22" s="55"/>
      <c r="CY22" s="55"/>
      <c r="CZ22" s="55"/>
      <c r="DA22" s="55"/>
      <c r="DB22" s="55"/>
      <c r="DC22" s="55"/>
      <c r="DD22" s="55"/>
      <c r="DE22" s="55"/>
      <c r="DF22" s="55"/>
      <c r="DG22" s="55"/>
      <c r="DH22" s="55"/>
      <c r="DI22" s="55"/>
      <c r="DJ22" s="55"/>
      <c r="DK22" s="55"/>
      <c r="DL22" s="55"/>
      <c r="DM22" s="55"/>
      <c r="DN22" s="55"/>
      <c r="DO22" s="55"/>
      <c r="DP22" s="55"/>
      <c r="DQ22" s="55"/>
      <c r="DR22" s="55"/>
      <c r="DS22" s="55"/>
      <c r="DT22" s="55"/>
      <c r="DU22" s="55"/>
      <c r="DV22" s="55"/>
      <c r="DW22" s="55"/>
      <c r="DX22" s="55"/>
      <c r="DY22" s="55"/>
      <c r="DZ22" s="55"/>
      <c r="EA22" s="55"/>
      <c r="EB22" s="55"/>
      <c r="EC22" s="55"/>
      <c r="ED22" s="55"/>
      <c r="EE22" s="55"/>
      <c r="EF22" s="55"/>
      <c r="EG22" s="55"/>
      <c r="EH22" s="55"/>
      <c r="EI22" s="55"/>
      <c r="EJ22" s="55"/>
      <c r="EK22" s="55"/>
      <c r="EL22" s="55"/>
      <c r="EM22" s="55"/>
      <c r="EN22" s="55"/>
      <c r="EO22" s="55"/>
      <c r="EP22" s="55"/>
      <c r="EQ22" s="55"/>
      <c r="ER22" s="55"/>
      <c r="ES22" s="55"/>
      <c r="ET22" s="55"/>
      <c r="EU22" s="55"/>
      <c r="EV22" s="55"/>
      <c r="EW22" s="55"/>
      <c r="EX22" s="55"/>
      <c r="EY22" s="55"/>
      <c r="EZ22" s="55"/>
      <c r="FA22" s="55"/>
      <c r="FB22" s="55"/>
      <c r="FC22" s="55"/>
      <c r="FD22" s="55"/>
      <c r="FE22" s="55"/>
      <c r="FF22" s="55"/>
      <c r="FG22" s="55"/>
      <c r="FH22" s="55"/>
      <c r="FI22" s="55"/>
      <c r="FJ22" s="55"/>
      <c r="FK22" s="55"/>
      <c r="FL22" s="55"/>
      <c r="FM22" s="55"/>
      <c r="FN22" s="55"/>
      <c r="FO22" s="55"/>
      <c r="FP22" s="55"/>
      <c r="FQ22" s="55"/>
      <c r="FR22" s="55"/>
      <c r="FS22" s="55"/>
      <c r="FT22" s="55"/>
      <c r="FU22" s="55"/>
      <c r="FV22" s="55"/>
      <c r="FW22" s="55"/>
      <c r="FX22" s="55"/>
      <c r="FY22" s="55"/>
      <c r="FZ22" s="55"/>
      <c r="GA22" s="55"/>
      <c r="GB22" s="55"/>
      <c r="GC22" s="55"/>
      <c r="GD22" s="55"/>
      <c r="GE22" s="55"/>
      <c r="GF22" s="55"/>
      <c r="GG22" s="55"/>
      <c r="GH22" s="55"/>
      <c r="GI22" s="55"/>
      <c r="GJ22" s="55"/>
      <c r="GK22" s="55"/>
      <c r="GL22" s="55"/>
      <c r="GM22" s="55"/>
      <c r="GN22" s="55"/>
      <c r="GO22" s="55"/>
      <c r="GP22" s="55"/>
      <c r="GQ22" s="55"/>
      <c r="GR22" s="55"/>
      <c r="GS22" s="55"/>
      <c r="GT22" s="55"/>
      <c r="GU22" s="55"/>
      <c r="GV22" s="55"/>
      <c r="GW22" s="55"/>
      <c r="GX22" s="55"/>
      <c r="GY22" s="55"/>
      <c r="GZ22" s="55"/>
      <c r="HA22" s="55"/>
      <c r="HB22" s="55"/>
      <c r="HC22" s="55"/>
      <c r="HD22" s="55"/>
      <c r="HE22" s="55"/>
      <c r="HF22" s="55"/>
      <c r="HG22" s="55"/>
      <c r="HH22" s="55"/>
      <c r="HI22" s="55"/>
      <c r="HJ22" s="55"/>
      <c r="HK22" s="55"/>
      <c r="HL22" s="55"/>
      <c r="HM22" s="55"/>
      <c r="HN22" s="55"/>
      <c r="HO22" s="55"/>
      <c r="HP22" s="55"/>
      <c r="HQ22" s="55"/>
      <c r="HR22" s="55"/>
      <c r="HS22" s="55"/>
      <c r="HT22" s="55"/>
      <c r="HU22" s="55"/>
      <c r="HV22" s="55"/>
      <c r="HW22" s="55"/>
      <c r="HX22" s="55"/>
      <c r="HY22" s="55"/>
      <c r="HZ22" s="55"/>
      <c r="IA22" s="55"/>
      <c r="IB22" s="55"/>
    </row>
    <row r="23" spans="1:236" ht="15" customHeight="1" x14ac:dyDescent="0.2">
      <c r="A23" s="63" t="s">
        <v>279</v>
      </c>
      <c r="B23" s="46" t="s">
        <v>823</v>
      </c>
      <c r="C23" s="45" t="s">
        <v>254</v>
      </c>
      <c r="D23" s="451"/>
      <c r="E23" s="55"/>
      <c r="F23" s="55"/>
      <c r="G23" s="55"/>
      <c r="H23" s="55"/>
      <c r="I23" s="55"/>
      <c r="J23" s="55"/>
      <c r="K23" s="55"/>
      <c r="L23" s="55"/>
      <c r="M23" s="55"/>
      <c r="N23" s="55"/>
      <c r="O23" s="55"/>
      <c r="P23" s="55"/>
      <c r="Q23" s="55"/>
      <c r="R23" s="55"/>
      <c r="S23" s="55"/>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c r="BF23" s="55"/>
      <c r="BG23" s="55"/>
      <c r="BH23" s="55"/>
      <c r="BI23" s="55"/>
      <c r="BJ23" s="55"/>
      <c r="BK23" s="55"/>
      <c r="BL23" s="55"/>
      <c r="BM23" s="55"/>
      <c r="BN23" s="55"/>
      <c r="BO23" s="55"/>
      <c r="BP23" s="55"/>
      <c r="BQ23" s="55"/>
      <c r="BR23" s="55"/>
      <c r="BS23" s="55"/>
      <c r="BT23" s="55"/>
      <c r="BU23" s="55"/>
      <c r="BV23" s="55"/>
      <c r="BW23" s="55"/>
      <c r="BX23" s="55"/>
      <c r="BY23" s="55"/>
      <c r="BZ23" s="55"/>
      <c r="CA23" s="55"/>
      <c r="CB23" s="55"/>
      <c r="CC23" s="55"/>
      <c r="CD23" s="55"/>
      <c r="CE23" s="55"/>
      <c r="CF23" s="55"/>
      <c r="CG23" s="55"/>
      <c r="CH23" s="55"/>
      <c r="CI23" s="55"/>
      <c r="CJ23" s="55"/>
      <c r="CK23" s="55"/>
      <c r="CL23" s="55"/>
      <c r="CM23" s="55"/>
      <c r="CN23" s="55"/>
      <c r="CO23" s="55"/>
      <c r="CP23" s="55"/>
      <c r="CQ23" s="55"/>
      <c r="CR23" s="55"/>
      <c r="CS23" s="55"/>
      <c r="CT23" s="55"/>
      <c r="CU23" s="55"/>
      <c r="CV23" s="55"/>
      <c r="CW23" s="55"/>
      <c r="CX23" s="55"/>
      <c r="CY23" s="55"/>
      <c r="CZ23" s="55"/>
      <c r="DA23" s="55"/>
      <c r="DB23" s="55"/>
      <c r="DC23" s="55"/>
      <c r="DD23" s="55"/>
      <c r="DE23" s="55"/>
      <c r="DF23" s="55"/>
      <c r="DG23" s="55"/>
      <c r="DH23" s="55"/>
      <c r="DI23" s="55"/>
      <c r="DJ23" s="55"/>
      <c r="DK23" s="55"/>
      <c r="DL23" s="55"/>
      <c r="DM23" s="55"/>
      <c r="DN23" s="55"/>
      <c r="DO23" s="55"/>
      <c r="DP23" s="55"/>
      <c r="DQ23" s="55"/>
      <c r="DR23" s="55"/>
      <c r="DS23" s="55"/>
      <c r="DT23" s="55"/>
      <c r="DU23" s="55"/>
      <c r="DV23" s="55"/>
      <c r="DW23" s="55"/>
      <c r="DX23" s="55"/>
      <c r="DY23" s="55"/>
      <c r="DZ23" s="55"/>
      <c r="EA23" s="55"/>
      <c r="EB23" s="55"/>
      <c r="EC23" s="55"/>
      <c r="ED23" s="55"/>
      <c r="EE23" s="55"/>
      <c r="EF23" s="55"/>
      <c r="EG23" s="55"/>
      <c r="EH23" s="55"/>
      <c r="EI23" s="55"/>
      <c r="EJ23" s="55"/>
      <c r="EK23" s="55"/>
      <c r="EL23" s="55"/>
      <c r="EM23" s="55"/>
      <c r="EN23" s="55"/>
      <c r="EO23" s="55"/>
      <c r="EP23" s="55"/>
      <c r="EQ23" s="55"/>
      <c r="ER23" s="55"/>
      <c r="ES23" s="55"/>
      <c r="ET23" s="55"/>
      <c r="EU23" s="55"/>
      <c r="EV23" s="55"/>
      <c r="EW23" s="55"/>
      <c r="EX23" s="55"/>
      <c r="EY23" s="55"/>
      <c r="EZ23" s="55"/>
      <c r="FA23" s="55"/>
      <c r="FB23" s="55"/>
      <c r="FC23" s="55"/>
      <c r="FD23" s="55"/>
      <c r="FE23" s="55"/>
      <c r="FF23" s="55"/>
      <c r="FG23" s="55"/>
      <c r="FH23" s="55"/>
      <c r="FI23" s="55"/>
      <c r="FJ23" s="55"/>
      <c r="FK23" s="55"/>
      <c r="FL23" s="55"/>
      <c r="FM23" s="55"/>
      <c r="FN23" s="55"/>
      <c r="FO23" s="55"/>
      <c r="FP23" s="55"/>
      <c r="FQ23" s="55"/>
      <c r="FR23" s="55"/>
      <c r="FS23" s="55"/>
      <c r="FT23" s="55"/>
      <c r="FU23" s="55"/>
      <c r="FV23" s="55"/>
      <c r="FW23" s="55"/>
      <c r="FX23" s="55"/>
      <c r="FY23" s="55"/>
      <c r="FZ23" s="55"/>
      <c r="GA23" s="55"/>
      <c r="GB23" s="55"/>
      <c r="GC23" s="55"/>
      <c r="GD23" s="55"/>
      <c r="GE23" s="55"/>
      <c r="GF23" s="55"/>
      <c r="GG23" s="55"/>
      <c r="GH23" s="55"/>
      <c r="GI23" s="55"/>
      <c r="GJ23" s="55"/>
      <c r="GK23" s="55"/>
      <c r="GL23" s="55"/>
      <c r="GM23" s="55"/>
      <c r="GN23" s="55"/>
      <c r="GO23" s="55"/>
      <c r="GP23" s="55"/>
      <c r="GQ23" s="55"/>
      <c r="GR23" s="55"/>
      <c r="GS23" s="55"/>
      <c r="GT23" s="55"/>
      <c r="GU23" s="55"/>
      <c r="GV23" s="55"/>
      <c r="GW23" s="55"/>
      <c r="GX23" s="55"/>
      <c r="GY23" s="55"/>
      <c r="GZ23" s="55"/>
      <c r="HA23" s="55"/>
      <c r="HB23" s="55"/>
      <c r="HC23" s="55"/>
      <c r="HD23" s="55"/>
      <c r="HE23" s="55"/>
      <c r="HF23" s="55"/>
      <c r="HG23" s="55"/>
      <c r="HH23" s="55"/>
      <c r="HI23" s="55"/>
      <c r="HJ23" s="55"/>
      <c r="HK23" s="55"/>
      <c r="HL23" s="55"/>
      <c r="HM23" s="55"/>
      <c r="HN23" s="55"/>
      <c r="HO23" s="55"/>
      <c r="HP23" s="55"/>
      <c r="HQ23" s="55"/>
      <c r="HR23" s="55"/>
      <c r="HS23" s="55"/>
      <c r="HT23" s="55"/>
      <c r="HU23" s="55"/>
      <c r="HV23" s="55"/>
      <c r="HW23" s="55"/>
      <c r="HX23" s="55"/>
      <c r="HY23" s="55"/>
      <c r="HZ23" s="55"/>
      <c r="IA23" s="55"/>
      <c r="IB23" s="55"/>
    </row>
    <row r="24" spans="1:236" ht="15" customHeight="1" x14ac:dyDescent="0.2">
      <c r="A24" s="63" t="s">
        <v>280</v>
      </c>
      <c r="B24" s="44" t="s">
        <v>431</v>
      </c>
      <c r="C24" s="45" t="s">
        <v>198</v>
      </c>
      <c r="D24" s="451"/>
      <c r="E24" s="55"/>
      <c r="F24" s="55"/>
      <c r="G24" s="55"/>
      <c r="H24" s="55"/>
      <c r="I24" s="55"/>
      <c r="J24" s="55"/>
      <c r="K24" s="55"/>
      <c r="L24" s="55"/>
      <c r="M24" s="55"/>
      <c r="N24" s="55"/>
      <c r="O24" s="55"/>
      <c r="P24" s="55"/>
      <c r="Q24" s="55"/>
      <c r="R24" s="55"/>
      <c r="S24" s="55"/>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c r="BF24" s="55"/>
      <c r="BG24" s="55"/>
      <c r="BH24" s="55"/>
      <c r="BI24" s="55"/>
      <c r="BJ24" s="55"/>
      <c r="BK24" s="55"/>
      <c r="BL24" s="55"/>
      <c r="BM24" s="55"/>
      <c r="BN24" s="55"/>
      <c r="BO24" s="55"/>
      <c r="BP24" s="55"/>
      <c r="BQ24" s="55"/>
      <c r="BR24" s="55"/>
      <c r="BS24" s="55"/>
      <c r="BT24" s="55"/>
      <c r="BU24" s="55"/>
      <c r="BV24" s="55"/>
      <c r="BW24" s="55"/>
      <c r="BX24" s="55"/>
      <c r="BY24" s="55"/>
      <c r="BZ24" s="55"/>
      <c r="CA24" s="55"/>
      <c r="CB24" s="55"/>
      <c r="CC24" s="55"/>
      <c r="CD24" s="55"/>
      <c r="CE24" s="55"/>
      <c r="CF24" s="55"/>
      <c r="CG24" s="55"/>
      <c r="CH24" s="55"/>
      <c r="CI24" s="55"/>
      <c r="CJ24" s="55"/>
      <c r="CK24" s="55"/>
      <c r="CL24" s="55"/>
      <c r="CM24" s="55"/>
      <c r="CN24" s="55"/>
      <c r="CO24" s="55"/>
      <c r="CP24" s="55"/>
      <c r="CQ24" s="55"/>
      <c r="CR24" s="55"/>
      <c r="CS24" s="55"/>
      <c r="CT24" s="55"/>
      <c r="CU24" s="55"/>
      <c r="CV24" s="55"/>
      <c r="CW24" s="55"/>
      <c r="CX24" s="55"/>
      <c r="CY24" s="55"/>
      <c r="CZ24" s="55"/>
      <c r="DA24" s="55"/>
      <c r="DB24" s="55"/>
      <c r="DC24" s="55"/>
      <c r="DD24" s="55"/>
      <c r="DE24" s="55"/>
      <c r="DF24" s="55"/>
      <c r="DG24" s="55"/>
      <c r="DH24" s="55"/>
      <c r="DI24" s="55"/>
      <c r="DJ24" s="55"/>
      <c r="DK24" s="55"/>
      <c r="DL24" s="55"/>
      <c r="DM24" s="55"/>
      <c r="DN24" s="55"/>
      <c r="DO24" s="55"/>
      <c r="DP24" s="55"/>
      <c r="DQ24" s="55"/>
      <c r="DR24" s="55"/>
      <c r="DS24" s="55"/>
      <c r="DT24" s="55"/>
      <c r="DU24" s="55"/>
      <c r="DV24" s="55"/>
      <c r="DW24" s="55"/>
      <c r="DX24" s="55"/>
      <c r="DY24" s="55"/>
      <c r="DZ24" s="55"/>
      <c r="EA24" s="55"/>
      <c r="EB24" s="55"/>
      <c r="EC24" s="55"/>
      <c r="ED24" s="55"/>
      <c r="EE24" s="55"/>
      <c r="EF24" s="55"/>
      <c r="EG24" s="55"/>
      <c r="EH24" s="55"/>
      <c r="EI24" s="55"/>
      <c r="EJ24" s="55"/>
      <c r="EK24" s="55"/>
      <c r="EL24" s="55"/>
      <c r="EM24" s="55"/>
      <c r="EN24" s="55"/>
      <c r="EO24" s="55"/>
      <c r="EP24" s="55"/>
      <c r="EQ24" s="55"/>
      <c r="ER24" s="55"/>
      <c r="ES24" s="55"/>
      <c r="ET24" s="55"/>
      <c r="EU24" s="55"/>
      <c r="EV24" s="55"/>
      <c r="EW24" s="55"/>
      <c r="EX24" s="55"/>
      <c r="EY24" s="55"/>
      <c r="EZ24" s="55"/>
      <c r="FA24" s="55"/>
      <c r="FB24" s="55"/>
      <c r="FC24" s="55"/>
      <c r="FD24" s="55"/>
      <c r="FE24" s="55"/>
      <c r="FF24" s="55"/>
      <c r="FG24" s="55"/>
      <c r="FH24" s="55"/>
      <c r="FI24" s="55"/>
      <c r="FJ24" s="55"/>
      <c r="FK24" s="55"/>
      <c r="FL24" s="55"/>
      <c r="FM24" s="55"/>
      <c r="FN24" s="55"/>
      <c r="FO24" s="55"/>
      <c r="FP24" s="55"/>
      <c r="FQ24" s="55"/>
      <c r="FR24" s="55"/>
      <c r="FS24" s="55"/>
      <c r="FT24" s="55"/>
      <c r="FU24" s="55"/>
      <c r="FV24" s="55"/>
      <c r="FW24" s="55"/>
      <c r="FX24" s="55"/>
      <c r="FY24" s="55"/>
      <c r="FZ24" s="55"/>
      <c r="GA24" s="55"/>
      <c r="GB24" s="55"/>
      <c r="GC24" s="55"/>
      <c r="GD24" s="55"/>
      <c r="GE24" s="55"/>
      <c r="GF24" s="55"/>
      <c r="GG24" s="55"/>
      <c r="GH24" s="55"/>
      <c r="GI24" s="55"/>
      <c r="GJ24" s="55"/>
      <c r="GK24" s="55"/>
      <c r="GL24" s="55"/>
      <c r="GM24" s="55"/>
      <c r="GN24" s="55"/>
      <c r="GO24" s="55"/>
      <c r="GP24" s="55"/>
      <c r="GQ24" s="55"/>
      <c r="GR24" s="55"/>
      <c r="GS24" s="55"/>
      <c r="GT24" s="55"/>
      <c r="GU24" s="55"/>
      <c r="GV24" s="55"/>
      <c r="GW24" s="55"/>
      <c r="GX24" s="55"/>
      <c r="GY24" s="55"/>
      <c r="GZ24" s="55"/>
      <c r="HA24" s="55"/>
      <c r="HB24" s="55"/>
      <c r="HC24" s="55"/>
      <c r="HD24" s="55"/>
      <c r="HE24" s="55"/>
      <c r="HF24" s="55"/>
      <c r="HG24" s="55"/>
      <c r="HH24" s="55"/>
      <c r="HI24" s="55"/>
      <c r="HJ24" s="55"/>
      <c r="HK24" s="55"/>
      <c r="HL24" s="55"/>
      <c r="HM24" s="55"/>
      <c r="HN24" s="55"/>
      <c r="HO24" s="55"/>
      <c r="HP24" s="55"/>
      <c r="HQ24" s="55"/>
      <c r="HR24" s="55"/>
      <c r="HS24" s="55"/>
      <c r="HT24" s="55"/>
      <c r="HU24" s="55"/>
      <c r="HV24" s="55"/>
      <c r="HW24" s="55"/>
      <c r="HX24" s="55"/>
      <c r="HY24" s="55"/>
      <c r="HZ24" s="55"/>
      <c r="IA24" s="55"/>
      <c r="IB24" s="55"/>
    </row>
    <row r="25" spans="1:236" ht="15" customHeight="1" x14ac:dyDescent="0.2">
      <c r="A25" s="63" t="s">
        <v>281</v>
      </c>
      <c r="B25" s="44" t="s">
        <v>249</v>
      </c>
      <c r="C25" s="45" t="s">
        <v>198</v>
      </c>
      <c r="D25" s="451"/>
      <c r="E25" s="55"/>
      <c r="F25" s="55"/>
      <c r="G25" s="55"/>
      <c r="H25" s="55"/>
      <c r="I25" s="55"/>
      <c r="J25" s="55"/>
      <c r="K25" s="55"/>
      <c r="L25" s="55"/>
      <c r="M25" s="55"/>
      <c r="N25" s="55"/>
      <c r="O25" s="55"/>
      <c r="P25" s="55"/>
      <c r="Q25" s="55"/>
      <c r="R25" s="55"/>
      <c r="S25" s="55"/>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c r="BF25" s="55"/>
      <c r="BG25" s="55"/>
      <c r="BH25" s="55"/>
      <c r="BI25" s="55"/>
      <c r="BJ25" s="55"/>
      <c r="BK25" s="55"/>
      <c r="BL25" s="55"/>
      <c r="BM25" s="55"/>
      <c r="BN25" s="55"/>
      <c r="BO25" s="55"/>
      <c r="BP25" s="55"/>
      <c r="BQ25" s="55"/>
      <c r="BR25" s="55"/>
      <c r="BS25" s="55"/>
      <c r="BT25" s="55"/>
      <c r="BU25" s="55"/>
      <c r="BV25" s="55"/>
      <c r="BW25" s="55"/>
      <c r="BX25" s="55"/>
      <c r="BY25" s="55"/>
      <c r="BZ25" s="55"/>
      <c r="CA25" s="55"/>
      <c r="CB25" s="55"/>
      <c r="CC25" s="55"/>
      <c r="CD25" s="55"/>
      <c r="CE25" s="55"/>
      <c r="CF25" s="55"/>
      <c r="CG25" s="55"/>
      <c r="CH25" s="55"/>
      <c r="CI25" s="55"/>
      <c r="CJ25" s="55"/>
      <c r="CK25" s="55"/>
      <c r="CL25" s="55"/>
      <c r="CM25" s="55"/>
      <c r="CN25" s="55"/>
      <c r="CO25" s="55"/>
      <c r="CP25" s="55"/>
      <c r="CQ25" s="55"/>
      <c r="CR25" s="55"/>
      <c r="CS25" s="55"/>
      <c r="CT25" s="55"/>
      <c r="CU25" s="55"/>
      <c r="CV25" s="55"/>
      <c r="CW25" s="55"/>
      <c r="CX25" s="55"/>
      <c r="CY25" s="55"/>
      <c r="CZ25" s="55"/>
      <c r="DA25" s="55"/>
      <c r="DB25" s="55"/>
      <c r="DC25" s="55"/>
      <c r="DD25" s="55"/>
      <c r="DE25" s="55"/>
      <c r="DF25" s="55"/>
      <c r="DG25" s="55"/>
      <c r="DH25" s="55"/>
      <c r="DI25" s="55"/>
      <c r="DJ25" s="55"/>
      <c r="DK25" s="55"/>
      <c r="DL25" s="55"/>
      <c r="DM25" s="55"/>
      <c r="DN25" s="55"/>
      <c r="DO25" s="55"/>
      <c r="DP25" s="55"/>
      <c r="DQ25" s="55"/>
      <c r="DR25" s="55"/>
      <c r="DS25" s="55"/>
      <c r="DT25" s="55"/>
      <c r="DU25" s="55"/>
      <c r="DV25" s="55"/>
      <c r="DW25" s="55"/>
      <c r="DX25" s="55"/>
      <c r="DY25" s="55"/>
      <c r="DZ25" s="55"/>
      <c r="EA25" s="55"/>
      <c r="EB25" s="55"/>
      <c r="EC25" s="55"/>
      <c r="ED25" s="55"/>
      <c r="EE25" s="55"/>
      <c r="EF25" s="55"/>
      <c r="EG25" s="55"/>
      <c r="EH25" s="55"/>
      <c r="EI25" s="55"/>
      <c r="EJ25" s="55"/>
      <c r="EK25" s="55"/>
      <c r="EL25" s="55"/>
      <c r="EM25" s="55"/>
      <c r="EN25" s="55"/>
      <c r="EO25" s="55"/>
      <c r="EP25" s="55"/>
      <c r="EQ25" s="55"/>
      <c r="ER25" s="55"/>
      <c r="ES25" s="55"/>
      <c r="ET25" s="55"/>
      <c r="EU25" s="55"/>
      <c r="EV25" s="55"/>
      <c r="EW25" s="55"/>
      <c r="EX25" s="55"/>
      <c r="EY25" s="55"/>
      <c r="EZ25" s="55"/>
      <c r="FA25" s="55"/>
      <c r="FB25" s="55"/>
      <c r="FC25" s="55"/>
      <c r="FD25" s="55"/>
      <c r="FE25" s="55"/>
      <c r="FF25" s="55"/>
      <c r="FG25" s="55"/>
      <c r="FH25" s="55"/>
      <c r="FI25" s="55"/>
      <c r="FJ25" s="55"/>
      <c r="FK25" s="55"/>
      <c r="FL25" s="55"/>
      <c r="FM25" s="55"/>
      <c r="FN25" s="55"/>
      <c r="FO25" s="55"/>
      <c r="FP25" s="55"/>
      <c r="FQ25" s="55"/>
      <c r="FR25" s="55"/>
      <c r="FS25" s="55"/>
      <c r="FT25" s="55"/>
      <c r="FU25" s="55"/>
      <c r="FV25" s="55"/>
      <c r="FW25" s="55"/>
      <c r="FX25" s="55"/>
      <c r="FY25" s="55"/>
      <c r="FZ25" s="55"/>
      <c r="GA25" s="55"/>
      <c r="GB25" s="55"/>
      <c r="GC25" s="55"/>
      <c r="GD25" s="55"/>
      <c r="GE25" s="55"/>
      <c r="GF25" s="55"/>
      <c r="GG25" s="55"/>
      <c r="GH25" s="55"/>
      <c r="GI25" s="55"/>
      <c r="GJ25" s="55"/>
      <c r="GK25" s="55"/>
      <c r="GL25" s="55"/>
      <c r="GM25" s="55"/>
      <c r="GN25" s="55"/>
      <c r="GO25" s="55"/>
      <c r="GP25" s="55"/>
      <c r="GQ25" s="55"/>
      <c r="GR25" s="55"/>
      <c r="GS25" s="55"/>
      <c r="GT25" s="55"/>
      <c r="GU25" s="55"/>
      <c r="GV25" s="55"/>
      <c r="GW25" s="55"/>
      <c r="GX25" s="55"/>
      <c r="GY25" s="55"/>
      <c r="GZ25" s="55"/>
      <c r="HA25" s="55"/>
      <c r="HB25" s="55"/>
      <c r="HC25" s="55"/>
      <c r="HD25" s="55"/>
      <c r="HE25" s="55"/>
      <c r="HF25" s="55"/>
      <c r="HG25" s="55"/>
      <c r="HH25" s="55"/>
      <c r="HI25" s="55"/>
      <c r="HJ25" s="55"/>
      <c r="HK25" s="55"/>
      <c r="HL25" s="55"/>
      <c r="HM25" s="55"/>
      <c r="HN25" s="55"/>
      <c r="HO25" s="55"/>
      <c r="HP25" s="55"/>
      <c r="HQ25" s="55"/>
      <c r="HR25" s="55"/>
      <c r="HS25" s="55"/>
      <c r="HT25" s="55"/>
      <c r="HU25" s="55"/>
      <c r="HV25" s="55"/>
      <c r="HW25" s="55"/>
      <c r="HX25" s="55"/>
      <c r="HY25" s="55"/>
      <c r="HZ25" s="55"/>
      <c r="IA25" s="55"/>
      <c r="IB25" s="55"/>
    </row>
    <row r="26" spans="1:236" ht="25.5" x14ac:dyDescent="0.2">
      <c r="A26" s="63" t="s">
        <v>1192</v>
      </c>
      <c r="B26" s="44" t="s">
        <v>1196</v>
      </c>
      <c r="C26" s="45" t="s">
        <v>198</v>
      </c>
      <c r="D26" s="451"/>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c r="CG26" s="55"/>
      <c r="CH26" s="55"/>
      <c r="CI26" s="55"/>
      <c r="CJ26" s="55"/>
      <c r="CK26" s="55"/>
      <c r="CL26" s="55"/>
      <c r="CM26" s="55"/>
      <c r="CN26" s="55"/>
      <c r="CO26" s="55"/>
      <c r="CP26" s="55"/>
      <c r="CQ26" s="55"/>
      <c r="CR26" s="55"/>
      <c r="CS26" s="55"/>
      <c r="CT26" s="55"/>
      <c r="CU26" s="55"/>
      <c r="CV26" s="55"/>
      <c r="CW26" s="55"/>
      <c r="CX26" s="55"/>
      <c r="CY26" s="55"/>
      <c r="CZ26" s="55"/>
      <c r="DA26" s="55"/>
      <c r="DB26" s="55"/>
      <c r="DC26" s="55"/>
      <c r="DD26" s="55"/>
      <c r="DE26" s="55"/>
      <c r="DF26" s="55"/>
      <c r="DG26" s="55"/>
      <c r="DH26" s="55"/>
      <c r="DI26" s="55"/>
      <c r="DJ26" s="55"/>
      <c r="DK26" s="55"/>
      <c r="DL26" s="55"/>
      <c r="DM26" s="55"/>
      <c r="DN26" s="55"/>
      <c r="DO26" s="55"/>
      <c r="DP26" s="55"/>
      <c r="DQ26" s="55"/>
      <c r="DR26" s="55"/>
      <c r="DS26" s="55"/>
      <c r="DT26" s="55"/>
      <c r="DU26" s="55"/>
      <c r="DV26" s="55"/>
      <c r="DW26" s="55"/>
      <c r="DX26" s="55"/>
      <c r="DY26" s="55"/>
      <c r="DZ26" s="55"/>
      <c r="EA26" s="55"/>
      <c r="EB26" s="55"/>
      <c r="EC26" s="55"/>
      <c r="ED26" s="55"/>
      <c r="EE26" s="55"/>
      <c r="EF26" s="55"/>
      <c r="EG26" s="55"/>
      <c r="EH26" s="55"/>
      <c r="EI26" s="55"/>
      <c r="EJ26" s="55"/>
      <c r="EK26" s="55"/>
      <c r="EL26" s="55"/>
      <c r="EM26" s="55"/>
      <c r="EN26" s="55"/>
      <c r="EO26" s="55"/>
      <c r="EP26" s="55"/>
      <c r="EQ26" s="55"/>
      <c r="ER26" s="55"/>
      <c r="ES26" s="55"/>
      <c r="ET26" s="55"/>
      <c r="EU26" s="55"/>
      <c r="EV26" s="55"/>
      <c r="EW26" s="55"/>
      <c r="EX26" s="55"/>
      <c r="EY26" s="55"/>
      <c r="EZ26" s="55"/>
      <c r="FA26" s="55"/>
      <c r="FB26" s="55"/>
      <c r="FC26" s="55"/>
      <c r="FD26" s="55"/>
      <c r="FE26" s="55"/>
      <c r="FF26" s="55"/>
      <c r="FG26" s="55"/>
      <c r="FH26" s="55"/>
      <c r="FI26" s="55"/>
      <c r="FJ26" s="55"/>
      <c r="FK26" s="55"/>
      <c r="FL26" s="55"/>
      <c r="FM26" s="55"/>
      <c r="FN26" s="55"/>
      <c r="FO26" s="55"/>
      <c r="FP26" s="55"/>
      <c r="FQ26" s="55"/>
      <c r="FR26" s="55"/>
      <c r="FS26" s="55"/>
      <c r="FT26" s="55"/>
      <c r="FU26" s="55"/>
      <c r="FV26" s="55"/>
      <c r="FW26" s="55"/>
      <c r="FX26" s="55"/>
      <c r="FY26" s="55"/>
      <c r="FZ26" s="55"/>
      <c r="GA26" s="55"/>
      <c r="GB26" s="55"/>
      <c r="GC26" s="55"/>
      <c r="GD26" s="55"/>
      <c r="GE26" s="55"/>
      <c r="GF26" s="55"/>
      <c r="GG26" s="55"/>
      <c r="GH26" s="55"/>
      <c r="GI26" s="55"/>
      <c r="GJ26" s="55"/>
      <c r="GK26" s="55"/>
      <c r="GL26" s="55"/>
      <c r="GM26" s="55"/>
      <c r="GN26" s="55"/>
      <c r="GO26" s="55"/>
      <c r="GP26" s="55"/>
      <c r="GQ26" s="55"/>
      <c r="GR26" s="55"/>
      <c r="GS26" s="55"/>
      <c r="GT26" s="55"/>
      <c r="GU26" s="55"/>
      <c r="GV26" s="55"/>
      <c r="GW26" s="55"/>
      <c r="GX26" s="55"/>
      <c r="GY26" s="55"/>
      <c r="GZ26" s="55"/>
      <c r="HA26" s="55"/>
      <c r="HB26" s="55"/>
      <c r="HC26" s="55"/>
      <c r="HD26" s="55"/>
      <c r="HE26" s="55"/>
      <c r="HF26" s="55"/>
      <c r="HG26" s="55"/>
      <c r="HH26" s="55"/>
      <c r="HI26" s="55"/>
      <c r="HJ26" s="55"/>
      <c r="HK26" s="55"/>
      <c r="HL26" s="55"/>
      <c r="HM26" s="55"/>
      <c r="HN26" s="55"/>
      <c r="HO26" s="55"/>
      <c r="HP26" s="55"/>
      <c r="HQ26" s="55"/>
      <c r="HR26" s="55"/>
      <c r="HS26" s="55"/>
      <c r="HT26" s="55"/>
      <c r="HU26" s="55"/>
      <c r="HV26" s="55"/>
      <c r="HW26" s="55"/>
      <c r="HX26" s="55"/>
      <c r="HY26" s="55"/>
      <c r="HZ26" s="55"/>
      <c r="IA26" s="55"/>
      <c r="IB26" s="55"/>
    </row>
    <row r="27" spans="1:236" ht="15" customHeight="1" x14ac:dyDescent="0.2">
      <c r="A27" s="63" t="s">
        <v>282</v>
      </c>
      <c r="B27" s="44" t="s">
        <v>521</v>
      </c>
      <c r="C27" s="45" t="s">
        <v>198</v>
      </c>
      <c r="D27" s="451"/>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c r="BF27" s="55"/>
      <c r="BG27" s="55"/>
      <c r="BH27" s="55"/>
      <c r="BI27" s="55"/>
      <c r="BJ27" s="55"/>
      <c r="BK27" s="55"/>
      <c r="BL27" s="55"/>
      <c r="BM27" s="55"/>
      <c r="BN27" s="55"/>
      <c r="BO27" s="55"/>
      <c r="BP27" s="55"/>
      <c r="BQ27" s="55"/>
      <c r="BR27" s="55"/>
      <c r="BS27" s="55"/>
      <c r="BT27" s="55"/>
      <c r="BU27" s="55"/>
      <c r="BV27" s="55"/>
      <c r="BW27" s="55"/>
      <c r="BX27" s="55"/>
      <c r="BY27" s="55"/>
      <c r="BZ27" s="55"/>
      <c r="CA27" s="55"/>
      <c r="CB27" s="55"/>
      <c r="CC27" s="55"/>
      <c r="CD27" s="55"/>
      <c r="CE27" s="55"/>
      <c r="CF27" s="55"/>
      <c r="CG27" s="55"/>
      <c r="CH27" s="55"/>
      <c r="CI27" s="55"/>
      <c r="CJ27" s="55"/>
      <c r="CK27" s="55"/>
      <c r="CL27" s="55"/>
      <c r="CM27" s="55"/>
      <c r="CN27" s="55"/>
      <c r="CO27" s="55"/>
      <c r="CP27" s="55"/>
      <c r="CQ27" s="55"/>
      <c r="CR27" s="55"/>
      <c r="CS27" s="55"/>
      <c r="CT27" s="55"/>
      <c r="CU27" s="55"/>
      <c r="CV27" s="55"/>
      <c r="CW27" s="55"/>
      <c r="CX27" s="55"/>
      <c r="CY27" s="55"/>
      <c r="CZ27" s="55"/>
      <c r="DA27" s="55"/>
      <c r="DB27" s="55"/>
      <c r="DC27" s="55"/>
      <c r="DD27" s="55"/>
      <c r="DE27" s="55"/>
      <c r="DF27" s="55"/>
      <c r="DG27" s="55"/>
      <c r="DH27" s="55"/>
      <c r="DI27" s="55"/>
      <c r="DJ27" s="55"/>
      <c r="DK27" s="55"/>
      <c r="DL27" s="55"/>
      <c r="DM27" s="55"/>
      <c r="DN27" s="55"/>
      <c r="DO27" s="55"/>
      <c r="DP27" s="55"/>
      <c r="DQ27" s="55"/>
      <c r="DR27" s="55"/>
      <c r="DS27" s="55"/>
      <c r="DT27" s="55"/>
      <c r="DU27" s="55"/>
      <c r="DV27" s="55"/>
      <c r="DW27" s="55"/>
      <c r="DX27" s="55"/>
      <c r="DY27" s="55"/>
      <c r="DZ27" s="55"/>
      <c r="EA27" s="55"/>
      <c r="EB27" s="55"/>
      <c r="EC27" s="55"/>
      <c r="ED27" s="55"/>
      <c r="EE27" s="55"/>
      <c r="EF27" s="55"/>
      <c r="EG27" s="55"/>
      <c r="EH27" s="55"/>
      <c r="EI27" s="55"/>
      <c r="EJ27" s="55"/>
      <c r="EK27" s="55"/>
      <c r="EL27" s="55"/>
      <c r="EM27" s="55"/>
      <c r="EN27" s="55"/>
      <c r="EO27" s="55"/>
      <c r="EP27" s="55"/>
      <c r="EQ27" s="55"/>
      <c r="ER27" s="55"/>
      <c r="ES27" s="55"/>
      <c r="ET27" s="55"/>
      <c r="EU27" s="55"/>
      <c r="EV27" s="55"/>
      <c r="EW27" s="55"/>
      <c r="EX27" s="55"/>
      <c r="EY27" s="55"/>
      <c r="EZ27" s="55"/>
      <c r="FA27" s="55"/>
      <c r="FB27" s="55"/>
      <c r="FC27" s="55"/>
      <c r="FD27" s="55"/>
      <c r="FE27" s="55"/>
      <c r="FF27" s="55"/>
      <c r="FG27" s="55"/>
      <c r="FH27" s="55"/>
      <c r="FI27" s="55"/>
      <c r="FJ27" s="55"/>
      <c r="FK27" s="55"/>
      <c r="FL27" s="55"/>
      <c r="FM27" s="55"/>
      <c r="FN27" s="55"/>
      <c r="FO27" s="55"/>
      <c r="FP27" s="55"/>
      <c r="FQ27" s="55"/>
      <c r="FR27" s="55"/>
      <c r="FS27" s="55"/>
      <c r="FT27" s="55"/>
      <c r="FU27" s="55"/>
      <c r="FV27" s="55"/>
      <c r="FW27" s="55"/>
      <c r="FX27" s="55"/>
      <c r="FY27" s="55"/>
      <c r="FZ27" s="55"/>
      <c r="GA27" s="55"/>
      <c r="GB27" s="55"/>
      <c r="GC27" s="55"/>
      <c r="GD27" s="55"/>
      <c r="GE27" s="55"/>
      <c r="GF27" s="55"/>
      <c r="GG27" s="55"/>
      <c r="GH27" s="55"/>
      <c r="GI27" s="55"/>
      <c r="GJ27" s="55"/>
      <c r="GK27" s="55"/>
      <c r="GL27" s="55"/>
      <c r="GM27" s="55"/>
      <c r="GN27" s="55"/>
      <c r="GO27" s="55"/>
      <c r="GP27" s="55"/>
      <c r="GQ27" s="55"/>
      <c r="GR27" s="55"/>
      <c r="GS27" s="55"/>
      <c r="GT27" s="55"/>
      <c r="GU27" s="55"/>
      <c r="GV27" s="55"/>
      <c r="GW27" s="55"/>
      <c r="GX27" s="55"/>
      <c r="GY27" s="55"/>
      <c r="GZ27" s="55"/>
      <c r="HA27" s="55"/>
      <c r="HB27" s="55"/>
      <c r="HC27" s="55"/>
      <c r="HD27" s="55"/>
      <c r="HE27" s="55"/>
      <c r="HF27" s="55"/>
      <c r="HG27" s="55"/>
      <c r="HH27" s="55"/>
      <c r="HI27" s="55"/>
      <c r="HJ27" s="55"/>
      <c r="HK27" s="55"/>
      <c r="HL27" s="55"/>
      <c r="HM27" s="55"/>
      <c r="HN27" s="55"/>
      <c r="HO27" s="55"/>
      <c r="HP27" s="55"/>
      <c r="HQ27" s="55"/>
      <c r="HR27" s="55"/>
      <c r="HS27" s="55"/>
      <c r="HT27" s="55"/>
      <c r="HU27" s="55"/>
      <c r="HV27" s="55"/>
      <c r="HW27" s="55"/>
      <c r="HX27" s="55"/>
      <c r="HY27" s="55"/>
      <c r="HZ27" s="55"/>
      <c r="IA27" s="55"/>
      <c r="IB27" s="55"/>
    </row>
    <row r="28" spans="1:236" ht="15" customHeight="1" x14ac:dyDescent="0.2">
      <c r="A28" s="63" t="s">
        <v>283</v>
      </c>
      <c r="B28" s="44" t="s">
        <v>581</v>
      </c>
      <c r="C28" s="45" t="s">
        <v>198</v>
      </c>
      <c r="D28" s="451"/>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c r="BF28" s="55"/>
      <c r="BG28" s="55"/>
      <c r="BH28" s="55"/>
      <c r="BI28" s="55"/>
      <c r="BJ28" s="55"/>
      <c r="BK28" s="55"/>
      <c r="BL28" s="55"/>
      <c r="BM28" s="55"/>
      <c r="BN28" s="55"/>
      <c r="BO28" s="55"/>
      <c r="BP28" s="55"/>
      <c r="BQ28" s="55"/>
      <c r="BR28" s="55"/>
      <c r="BS28" s="55"/>
      <c r="BT28" s="55"/>
      <c r="BU28" s="55"/>
      <c r="BV28" s="55"/>
      <c r="BW28" s="55"/>
      <c r="BX28" s="55"/>
      <c r="BY28" s="55"/>
      <c r="BZ28" s="55"/>
      <c r="CA28" s="55"/>
      <c r="CB28" s="55"/>
      <c r="CC28" s="55"/>
      <c r="CD28" s="55"/>
      <c r="CE28" s="55"/>
      <c r="CF28" s="55"/>
      <c r="CG28" s="55"/>
      <c r="CH28" s="55"/>
      <c r="CI28" s="55"/>
      <c r="CJ28" s="55"/>
      <c r="CK28" s="55"/>
      <c r="CL28" s="55"/>
      <c r="CM28" s="55"/>
      <c r="CN28" s="55"/>
      <c r="CO28" s="55"/>
      <c r="CP28" s="55"/>
      <c r="CQ28" s="55"/>
      <c r="CR28" s="55"/>
      <c r="CS28" s="55"/>
      <c r="CT28" s="55"/>
      <c r="CU28" s="55"/>
      <c r="CV28" s="55"/>
      <c r="CW28" s="55"/>
      <c r="CX28" s="55"/>
      <c r="CY28" s="55"/>
      <c r="CZ28" s="55"/>
      <c r="DA28" s="55"/>
      <c r="DB28" s="55"/>
      <c r="DC28" s="55"/>
      <c r="DD28" s="55"/>
      <c r="DE28" s="55"/>
      <c r="DF28" s="55"/>
      <c r="DG28" s="55"/>
      <c r="DH28" s="55"/>
      <c r="DI28" s="55"/>
      <c r="DJ28" s="55"/>
      <c r="DK28" s="55"/>
      <c r="DL28" s="55"/>
      <c r="DM28" s="55"/>
      <c r="DN28" s="55"/>
      <c r="DO28" s="55"/>
      <c r="DP28" s="55"/>
      <c r="DQ28" s="55"/>
      <c r="DR28" s="55"/>
      <c r="DS28" s="55"/>
      <c r="DT28" s="55"/>
      <c r="DU28" s="55"/>
      <c r="DV28" s="55"/>
      <c r="DW28" s="55"/>
      <c r="DX28" s="55"/>
      <c r="DY28" s="55"/>
      <c r="DZ28" s="55"/>
      <c r="EA28" s="55"/>
      <c r="EB28" s="55"/>
      <c r="EC28" s="55"/>
      <c r="ED28" s="55"/>
      <c r="EE28" s="55"/>
      <c r="EF28" s="55"/>
      <c r="EG28" s="55"/>
      <c r="EH28" s="55"/>
      <c r="EI28" s="55"/>
      <c r="EJ28" s="55"/>
      <c r="EK28" s="55"/>
      <c r="EL28" s="55"/>
      <c r="EM28" s="55"/>
      <c r="EN28" s="55"/>
      <c r="EO28" s="55"/>
      <c r="EP28" s="55"/>
      <c r="EQ28" s="55"/>
      <c r="ER28" s="55"/>
      <c r="ES28" s="55"/>
      <c r="ET28" s="55"/>
      <c r="EU28" s="55"/>
      <c r="EV28" s="55"/>
      <c r="EW28" s="55"/>
      <c r="EX28" s="55"/>
      <c r="EY28" s="55"/>
      <c r="EZ28" s="55"/>
      <c r="FA28" s="55"/>
      <c r="FB28" s="55"/>
      <c r="FC28" s="55"/>
      <c r="FD28" s="55"/>
      <c r="FE28" s="55"/>
      <c r="FF28" s="55"/>
      <c r="FG28" s="55"/>
      <c r="FH28" s="55"/>
      <c r="FI28" s="55"/>
      <c r="FJ28" s="55"/>
      <c r="FK28" s="55"/>
      <c r="FL28" s="55"/>
      <c r="FM28" s="55"/>
      <c r="FN28" s="55"/>
      <c r="FO28" s="55"/>
      <c r="FP28" s="55"/>
      <c r="FQ28" s="55"/>
      <c r="FR28" s="55"/>
      <c r="FS28" s="55"/>
      <c r="FT28" s="55"/>
      <c r="FU28" s="55"/>
      <c r="FV28" s="55"/>
      <c r="FW28" s="55"/>
      <c r="FX28" s="55"/>
      <c r="FY28" s="55"/>
      <c r="FZ28" s="55"/>
      <c r="GA28" s="55"/>
      <c r="GB28" s="55"/>
      <c r="GC28" s="55"/>
      <c r="GD28" s="55"/>
      <c r="GE28" s="55"/>
      <c r="GF28" s="55"/>
      <c r="GG28" s="55"/>
      <c r="GH28" s="55"/>
      <c r="GI28" s="55"/>
      <c r="GJ28" s="55"/>
      <c r="GK28" s="55"/>
      <c r="GL28" s="55"/>
      <c r="GM28" s="55"/>
      <c r="GN28" s="55"/>
      <c r="GO28" s="55"/>
      <c r="GP28" s="55"/>
      <c r="GQ28" s="55"/>
      <c r="GR28" s="55"/>
      <c r="GS28" s="55"/>
      <c r="GT28" s="55"/>
      <c r="GU28" s="55"/>
      <c r="GV28" s="55"/>
      <c r="GW28" s="55"/>
      <c r="GX28" s="55"/>
      <c r="GY28" s="55"/>
      <c r="GZ28" s="55"/>
      <c r="HA28" s="55"/>
      <c r="HB28" s="55"/>
      <c r="HC28" s="55"/>
      <c r="HD28" s="55"/>
      <c r="HE28" s="55"/>
      <c r="HF28" s="55"/>
      <c r="HG28" s="55"/>
      <c r="HH28" s="55"/>
      <c r="HI28" s="55"/>
      <c r="HJ28" s="55"/>
      <c r="HK28" s="55"/>
      <c r="HL28" s="55"/>
      <c r="HM28" s="55"/>
      <c r="HN28" s="55"/>
      <c r="HO28" s="55"/>
      <c r="HP28" s="55"/>
      <c r="HQ28" s="55"/>
      <c r="HR28" s="55"/>
      <c r="HS28" s="55"/>
      <c r="HT28" s="55"/>
      <c r="HU28" s="55"/>
      <c r="HV28" s="55"/>
      <c r="HW28" s="55"/>
      <c r="HX28" s="55"/>
      <c r="HY28" s="55"/>
      <c r="HZ28" s="55"/>
      <c r="IA28" s="55"/>
      <c r="IB28" s="55"/>
    </row>
    <row r="29" spans="1:236" ht="15" customHeight="1" x14ac:dyDescent="0.2">
      <c r="A29" s="63" t="s">
        <v>284</v>
      </c>
      <c r="B29" s="44" t="s">
        <v>486</v>
      </c>
      <c r="C29" s="45" t="s">
        <v>254</v>
      </c>
      <c r="D29" s="451"/>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c r="BF29" s="55"/>
      <c r="BG29" s="55"/>
      <c r="BH29" s="55"/>
      <c r="BI29" s="55"/>
      <c r="BJ29" s="55"/>
      <c r="BK29" s="55"/>
      <c r="BL29" s="55"/>
      <c r="BM29" s="55"/>
      <c r="BN29" s="55"/>
      <c r="BO29" s="55"/>
      <c r="BP29" s="55"/>
      <c r="BQ29" s="55"/>
      <c r="BR29" s="55"/>
      <c r="BS29" s="55"/>
      <c r="BT29" s="55"/>
      <c r="BU29" s="55"/>
      <c r="BV29" s="55"/>
      <c r="BW29" s="55"/>
      <c r="BX29" s="55"/>
      <c r="BY29" s="55"/>
      <c r="BZ29" s="55"/>
      <c r="CA29" s="55"/>
      <c r="CB29" s="55"/>
      <c r="CC29" s="55"/>
      <c r="CD29" s="55"/>
      <c r="CE29" s="55"/>
      <c r="CF29" s="55"/>
      <c r="CG29" s="55"/>
      <c r="CH29" s="55"/>
      <c r="CI29" s="55"/>
      <c r="CJ29" s="55"/>
      <c r="CK29" s="55"/>
      <c r="CL29" s="55"/>
      <c r="CM29" s="55"/>
      <c r="CN29" s="55"/>
      <c r="CO29" s="55"/>
      <c r="CP29" s="55"/>
      <c r="CQ29" s="55"/>
      <c r="CR29" s="55"/>
      <c r="CS29" s="55"/>
      <c r="CT29" s="55"/>
      <c r="CU29" s="55"/>
      <c r="CV29" s="55"/>
      <c r="CW29" s="55"/>
      <c r="CX29" s="55"/>
      <c r="CY29" s="55"/>
      <c r="CZ29" s="55"/>
      <c r="DA29" s="55"/>
      <c r="DB29" s="55"/>
      <c r="DC29" s="55"/>
      <c r="DD29" s="55"/>
      <c r="DE29" s="55"/>
      <c r="DF29" s="55"/>
      <c r="DG29" s="55"/>
      <c r="DH29" s="55"/>
      <c r="DI29" s="55"/>
      <c r="DJ29" s="55"/>
      <c r="DK29" s="55"/>
      <c r="DL29" s="55"/>
      <c r="DM29" s="55"/>
      <c r="DN29" s="55"/>
      <c r="DO29" s="55"/>
      <c r="DP29" s="55"/>
      <c r="DQ29" s="55"/>
      <c r="DR29" s="55"/>
      <c r="DS29" s="55"/>
      <c r="DT29" s="55"/>
      <c r="DU29" s="55"/>
      <c r="DV29" s="55"/>
      <c r="DW29" s="55"/>
      <c r="DX29" s="55"/>
      <c r="DY29" s="55"/>
      <c r="DZ29" s="55"/>
      <c r="EA29" s="55"/>
      <c r="EB29" s="55"/>
      <c r="EC29" s="55"/>
      <c r="ED29" s="55"/>
      <c r="EE29" s="55"/>
      <c r="EF29" s="55"/>
      <c r="EG29" s="55"/>
      <c r="EH29" s="55"/>
      <c r="EI29" s="55"/>
      <c r="EJ29" s="55"/>
      <c r="EK29" s="55"/>
      <c r="EL29" s="55"/>
      <c r="EM29" s="55"/>
      <c r="EN29" s="55"/>
      <c r="EO29" s="55"/>
      <c r="EP29" s="55"/>
      <c r="EQ29" s="55"/>
      <c r="ER29" s="55"/>
      <c r="ES29" s="55"/>
      <c r="ET29" s="55"/>
      <c r="EU29" s="55"/>
      <c r="EV29" s="55"/>
      <c r="EW29" s="55"/>
      <c r="EX29" s="55"/>
      <c r="EY29" s="55"/>
      <c r="EZ29" s="55"/>
      <c r="FA29" s="55"/>
      <c r="FB29" s="55"/>
      <c r="FC29" s="55"/>
      <c r="FD29" s="55"/>
      <c r="FE29" s="55"/>
      <c r="FF29" s="55"/>
      <c r="FG29" s="55"/>
      <c r="FH29" s="55"/>
      <c r="FI29" s="55"/>
      <c r="FJ29" s="55"/>
      <c r="FK29" s="55"/>
      <c r="FL29" s="55"/>
      <c r="FM29" s="55"/>
      <c r="FN29" s="55"/>
      <c r="FO29" s="55"/>
      <c r="FP29" s="55"/>
      <c r="FQ29" s="55"/>
      <c r="FR29" s="55"/>
      <c r="FS29" s="55"/>
      <c r="FT29" s="55"/>
      <c r="FU29" s="55"/>
      <c r="FV29" s="55"/>
      <c r="FW29" s="55"/>
      <c r="FX29" s="55"/>
      <c r="FY29" s="55"/>
      <c r="FZ29" s="55"/>
      <c r="GA29" s="55"/>
      <c r="GB29" s="55"/>
      <c r="GC29" s="55"/>
      <c r="GD29" s="55"/>
      <c r="GE29" s="55"/>
      <c r="GF29" s="55"/>
      <c r="GG29" s="55"/>
      <c r="GH29" s="55"/>
      <c r="GI29" s="55"/>
      <c r="GJ29" s="55"/>
      <c r="GK29" s="55"/>
      <c r="GL29" s="55"/>
      <c r="GM29" s="55"/>
      <c r="GN29" s="55"/>
      <c r="GO29" s="55"/>
      <c r="GP29" s="55"/>
      <c r="GQ29" s="55"/>
      <c r="GR29" s="55"/>
      <c r="GS29" s="55"/>
      <c r="GT29" s="55"/>
      <c r="GU29" s="55"/>
      <c r="GV29" s="55"/>
      <c r="GW29" s="55"/>
      <c r="GX29" s="55"/>
      <c r="GY29" s="55"/>
      <c r="GZ29" s="55"/>
      <c r="HA29" s="55"/>
      <c r="HB29" s="55"/>
      <c r="HC29" s="55"/>
      <c r="HD29" s="55"/>
      <c r="HE29" s="55"/>
      <c r="HF29" s="55"/>
      <c r="HG29" s="55"/>
      <c r="HH29" s="55"/>
      <c r="HI29" s="55"/>
      <c r="HJ29" s="55"/>
      <c r="HK29" s="55"/>
      <c r="HL29" s="55"/>
      <c r="HM29" s="55"/>
      <c r="HN29" s="55"/>
      <c r="HO29" s="55"/>
      <c r="HP29" s="55"/>
      <c r="HQ29" s="55"/>
      <c r="HR29" s="55"/>
      <c r="HS29" s="55"/>
      <c r="HT29" s="55"/>
      <c r="HU29" s="55"/>
      <c r="HV29" s="55"/>
      <c r="HW29" s="55"/>
      <c r="HX29" s="55"/>
      <c r="HY29" s="55"/>
      <c r="HZ29" s="55"/>
      <c r="IA29" s="55"/>
      <c r="IB29" s="55"/>
    </row>
    <row r="30" spans="1:236" ht="15" customHeight="1" x14ac:dyDescent="0.2">
      <c r="A30" s="63" t="s">
        <v>285</v>
      </c>
      <c r="B30" s="44" t="s">
        <v>209</v>
      </c>
      <c r="C30" s="45" t="s">
        <v>196</v>
      </c>
      <c r="D30" s="451"/>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c r="BF30" s="55"/>
      <c r="BG30" s="55"/>
      <c r="BH30" s="55"/>
      <c r="BI30" s="55"/>
      <c r="BJ30" s="55"/>
      <c r="BK30" s="55"/>
      <c r="BL30" s="55"/>
      <c r="BM30" s="55"/>
      <c r="BN30" s="55"/>
      <c r="BO30" s="55"/>
      <c r="BP30" s="55"/>
      <c r="BQ30" s="55"/>
      <c r="BR30" s="55"/>
      <c r="BS30" s="55"/>
      <c r="BT30" s="55"/>
      <c r="BU30" s="55"/>
      <c r="BV30" s="55"/>
      <c r="BW30" s="55"/>
      <c r="BX30" s="55"/>
      <c r="BY30" s="55"/>
      <c r="BZ30" s="55"/>
      <c r="CA30" s="55"/>
      <c r="CB30" s="55"/>
      <c r="CC30" s="55"/>
      <c r="CD30" s="55"/>
      <c r="CE30" s="55"/>
      <c r="CF30" s="55"/>
      <c r="CG30" s="55"/>
      <c r="CH30" s="55"/>
      <c r="CI30" s="55"/>
      <c r="CJ30" s="55"/>
      <c r="CK30" s="55"/>
      <c r="CL30" s="55"/>
      <c r="CM30" s="55"/>
      <c r="CN30" s="55"/>
      <c r="CO30" s="55"/>
      <c r="CP30" s="55"/>
      <c r="CQ30" s="55"/>
      <c r="CR30" s="55"/>
      <c r="CS30" s="55"/>
      <c r="CT30" s="55"/>
      <c r="CU30" s="55"/>
      <c r="CV30" s="55"/>
      <c r="CW30" s="55"/>
      <c r="CX30" s="55"/>
      <c r="CY30" s="55"/>
      <c r="CZ30" s="55"/>
      <c r="DA30" s="55"/>
      <c r="DB30" s="55"/>
      <c r="DC30" s="55"/>
      <c r="DD30" s="55"/>
      <c r="DE30" s="55"/>
      <c r="DF30" s="55"/>
      <c r="DG30" s="55"/>
      <c r="DH30" s="55"/>
      <c r="DI30" s="55"/>
      <c r="DJ30" s="55"/>
      <c r="DK30" s="55"/>
      <c r="DL30" s="55"/>
      <c r="DM30" s="55"/>
      <c r="DN30" s="55"/>
      <c r="DO30" s="55"/>
      <c r="DP30" s="55"/>
      <c r="DQ30" s="55"/>
      <c r="DR30" s="55"/>
      <c r="DS30" s="55"/>
      <c r="DT30" s="55"/>
      <c r="DU30" s="55"/>
      <c r="DV30" s="55"/>
      <c r="DW30" s="55"/>
      <c r="DX30" s="55"/>
      <c r="DY30" s="55"/>
      <c r="DZ30" s="55"/>
      <c r="EA30" s="55"/>
      <c r="EB30" s="55"/>
      <c r="EC30" s="55"/>
      <c r="ED30" s="55"/>
      <c r="EE30" s="55"/>
      <c r="EF30" s="55"/>
      <c r="EG30" s="55"/>
      <c r="EH30" s="55"/>
      <c r="EI30" s="55"/>
      <c r="EJ30" s="55"/>
      <c r="EK30" s="55"/>
      <c r="EL30" s="55"/>
      <c r="EM30" s="55"/>
      <c r="EN30" s="55"/>
      <c r="EO30" s="55"/>
      <c r="EP30" s="55"/>
      <c r="EQ30" s="55"/>
      <c r="ER30" s="55"/>
      <c r="ES30" s="55"/>
      <c r="ET30" s="55"/>
      <c r="EU30" s="55"/>
      <c r="EV30" s="55"/>
      <c r="EW30" s="55"/>
      <c r="EX30" s="55"/>
      <c r="EY30" s="55"/>
      <c r="EZ30" s="55"/>
      <c r="FA30" s="55"/>
      <c r="FB30" s="55"/>
      <c r="FC30" s="55"/>
      <c r="FD30" s="55"/>
      <c r="FE30" s="55"/>
      <c r="FF30" s="55"/>
      <c r="FG30" s="55"/>
      <c r="FH30" s="55"/>
      <c r="FI30" s="55"/>
      <c r="FJ30" s="55"/>
      <c r="FK30" s="55"/>
      <c r="FL30" s="55"/>
      <c r="FM30" s="55"/>
      <c r="FN30" s="55"/>
      <c r="FO30" s="55"/>
      <c r="FP30" s="55"/>
      <c r="FQ30" s="55"/>
      <c r="FR30" s="55"/>
      <c r="FS30" s="55"/>
      <c r="FT30" s="55"/>
      <c r="FU30" s="55"/>
      <c r="FV30" s="55"/>
      <c r="FW30" s="55"/>
      <c r="FX30" s="55"/>
      <c r="FY30" s="55"/>
      <c r="FZ30" s="55"/>
      <c r="GA30" s="55"/>
      <c r="GB30" s="55"/>
      <c r="GC30" s="55"/>
      <c r="GD30" s="55"/>
      <c r="GE30" s="55"/>
      <c r="GF30" s="55"/>
      <c r="GG30" s="55"/>
      <c r="GH30" s="55"/>
      <c r="GI30" s="55"/>
      <c r="GJ30" s="55"/>
      <c r="GK30" s="55"/>
      <c r="GL30" s="55"/>
      <c r="GM30" s="55"/>
      <c r="GN30" s="55"/>
      <c r="GO30" s="55"/>
      <c r="GP30" s="55"/>
      <c r="GQ30" s="55"/>
      <c r="GR30" s="55"/>
      <c r="GS30" s="55"/>
      <c r="GT30" s="55"/>
      <c r="GU30" s="55"/>
      <c r="GV30" s="55"/>
      <c r="GW30" s="55"/>
      <c r="GX30" s="55"/>
      <c r="GY30" s="55"/>
      <c r="GZ30" s="55"/>
      <c r="HA30" s="55"/>
      <c r="HB30" s="55"/>
      <c r="HC30" s="55"/>
      <c r="HD30" s="55"/>
      <c r="HE30" s="55"/>
      <c r="HF30" s="55"/>
      <c r="HG30" s="55"/>
      <c r="HH30" s="55"/>
      <c r="HI30" s="55"/>
      <c r="HJ30" s="55"/>
      <c r="HK30" s="55"/>
      <c r="HL30" s="55"/>
      <c r="HM30" s="55"/>
      <c r="HN30" s="55"/>
      <c r="HO30" s="55"/>
      <c r="HP30" s="55"/>
      <c r="HQ30" s="55"/>
      <c r="HR30" s="55"/>
      <c r="HS30" s="55"/>
      <c r="HT30" s="55"/>
      <c r="HU30" s="55"/>
      <c r="HV30" s="55"/>
      <c r="HW30" s="55"/>
      <c r="HX30" s="55"/>
      <c r="HY30" s="55"/>
      <c r="HZ30" s="55"/>
      <c r="IA30" s="55"/>
      <c r="IB30" s="55"/>
    </row>
    <row r="31" spans="1:236" ht="15" customHeight="1" x14ac:dyDescent="0.2">
      <c r="A31" s="63" t="s">
        <v>286</v>
      </c>
      <c r="B31" s="44" t="s">
        <v>432</v>
      </c>
      <c r="C31" s="45" t="s">
        <v>196</v>
      </c>
      <c r="D31" s="451"/>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5"/>
      <c r="BX31" s="55"/>
      <c r="BY31" s="55"/>
      <c r="BZ31" s="55"/>
      <c r="CA31" s="55"/>
      <c r="CB31" s="55"/>
      <c r="CC31" s="55"/>
      <c r="CD31" s="55"/>
      <c r="CE31" s="55"/>
      <c r="CF31" s="55"/>
      <c r="CG31" s="55"/>
      <c r="CH31" s="55"/>
      <c r="CI31" s="55"/>
      <c r="CJ31" s="55"/>
      <c r="CK31" s="55"/>
      <c r="CL31" s="55"/>
      <c r="CM31" s="55"/>
      <c r="CN31" s="55"/>
      <c r="CO31" s="55"/>
      <c r="CP31" s="55"/>
      <c r="CQ31" s="55"/>
      <c r="CR31" s="55"/>
      <c r="CS31" s="55"/>
      <c r="CT31" s="55"/>
      <c r="CU31" s="55"/>
      <c r="CV31" s="55"/>
      <c r="CW31" s="55"/>
      <c r="CX31" s="55"/>
      <c r="CY31" s="55"/>
      <c r="CZ31" s="55"/>
      <c r="DA31" s="55"/>
      <c r="DB31" s="55"/>
      <c r="DC31" s="55"/>
      <c r="DD31" s="55"/>
      <c r="DE31" s="55"/>
      <c r="DF31" s="55"/>
      <c r="DG31" s="55"/>
      <c r="DH31" s="55"/>
      <c r="DI31" s="55"/>
      <c r="DJ31" s="55"/>
      <c r="DK31" s="55"/>
      <c r="DL31" s="55"/>
      <c r="DM31" s="55"/>
      <c r="DN31" s="55"/>
      <c r="DO31" s="55"/>
      <c r="DP31" s="55"/>
      <c r="DQ31" s="55"/>
      <c r="DR31" s="55"/>
      <c r="DS31" s="55"/>
      <c r="DT31" s="55"/>
      <c r="DU31" s="55"/>
      <c r="DV31" s="55"/>
      <c r="DW31" s="55"/>
      <c r="DX31" s="55"/>
      <c r="DY31" s="55"/>
      <c r="DZ31" s="55"/>
      <c r="EA31" s="55"/>
      <c r="EB31" s="55"/>
      <c r="EC31" s="55"/>
      <c r="ED31" s="55"/>
      <c r="EE31" s="55"/>
      <c r="EF31" s="55"/>
      <c r="EG31" s="55"/>
      <c r="EH31" s="55"/>
      <c r="EI31" s="55"/>
      <c r="EJ31" s="55"/>
      <c r="EK31" s="55"/>
      <c r="EL31" s="55"/>
      <c r="EM31" s="55"/>
      <c r="EN31" s="55"/>
      <c r="EO31" s="55"/>
      <c r="EP31" s="55"/>
      <c r="EQ31" s="55"/>
      <c r="ER31" s="55"/>
      <c r="ES31" s="55"/>
      <c r="ET31" s="55"/>
      <c r="EU31" s="55"/>
      <c r="EV31" s="55"/>
      <c r="EW31" s="55"/>
      <c r="EX31" s="55"/>
      <c r="EY31" s="55"/>
      <c r="EZ31" s="55"/>
      <c r="FA31" s="55"/>
      <c r="FB31" s="55"/>
      <c r="FC31" s="55"/>
      <c r="FD31" s="55"/>
      <c r="FE31" s="55"/>
      <c r="FF31" s="55"/>
      <c r="FG31" s="55"/>
      <c r="FH31" s="55"/>
      <c r="FI31" s="55"/>
      <c r="FJ31" s="55"/>
      <c r="FK31" s="55"/>
      <c r="FL31" s="55"/>
      <c r="FM31" s="55"/>
      <c r="FN31" s="55"/>
      <c r="FO31" s="55"/>
      <c r="FP31" s="55"/>
      <c r="FQ31" s="55"/>
      <c r="FR31" s="55"/>
      <c r="FS31" s="55"/>
      <c r="FT31" s="55"/>
      <c r="FU31" s="55"/>
      <c r="FV31" s="55"/>
      <c r="FW31" s="55"/>
      <c r="FX31" s="55"/>
      <c r="FY31" s="55"/>
      <c r="FZ31" s="55"/>
      <c r="GA31" s="55"/>
      <c r="GB31" s="55"/>
      <c r="GC31" s="55"/>
      <c r="GD31" s="55"/>
      <c r="GE31" s="55"/>
      <c r="GF31" s="55"/>
      <c r="GG31" s="55"/>
      <c r="GH31" s="55"/>
      <c r="GI31" s="55"/>
      <c r="GJ31" s="55"/>
      <c r="GK31" s="55"/>
      <c r="GL31" s="55"/>
      <c r="GM31" s="55"/>
      <c r="GN31" s="55"/>
      <c r="GO31" s="55"/>
      <c r="GP31" s="55"/>
      <c r="GQ31" s="55"/>
      <c r="GR31" s="55"/>
      <c r="GS31" s="55"/>
      <c r="GT31" s="55"/>
      <c r="GU31" s="55"/>
      <c r="GV31" s="55"/>
      <c r="GW31" s="55"/>
      <c r="GX31" s="55"/>
      <c r="GY31" s="55"/>
      <c r="GZ31" s="55"/>
      <c r="HA31" s="55"/>
      <c r="HB31" s="55"/>
      <c r="HC31" s="55"/>
      <c r="HD31" s="55"/>
      <c r="HE31" s="55"/>
      <c r="HF31" s="55"/>
      <c r="HG31" s="55"/>
      <c r="HH31" s="55"/>
      <c r="HI31" s="55"/>
      <c r="HJ31" s="55"/>
      <c r="HK31" s="55"/>
      <c r="HL31" s="55"/>
      <c r="HM31" s="55"/>
      <c r="HN31" s="55"/>
      <c r="HO31" s="55"/>
      <c r="HP31" s="55"/>
      <c r="HQ31" s="55"/>
      <c r="HR31" s="55"/>
      <c r="HS31" s="55"/>
      <c r="HT31" s="55"/>
      <c r="HU31" s="55"/>
      <c r="HV31" s="55"/>
      <c r="HW31" s="55"/>
      <c r="HX31" s="55"/>
      <c r="HY31" s="55"/>
      <c r="HZ31" s="55"/>
      <c r="IA31" s="55"/>
      <c r="IB31" s="55"/>
    </row>
    <row r="32" spans="1:236" ht="15" customHeight="1" x14ac:dyDescent="0.2">
      <c r="A32" s="63" t="s">
        <v>287</v>
      </c>
      <c r="B32" s="44" t="s">
        <v>210</v>
      </c>
      <c r="C32" s="45" t="s">
        <v>254</v>
      </c>
      <c r="D32" s="451"/>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c r="CG32" s="55"/>
      <c r="CH32" s="55"/>
      <c r="CI32" s="55"/>
      <c r="CJ32" s="55"/>
      <c r="CK32" s="55"/>
      <c r="CL32" s="55"/>
      <c r="CM32" s="55"/>
      <c r="CN32" s="55"/>
      <c r="CO32" s="55"/>
      <c r="CP32" s="55"/>
      <c r="CQ32" s="55"/>
      <c r="CR32" s="55"/>
      <c r="CS32" s="55"/>
      <c r="CT32" s="55"/>
      <c r="CU32" s="55"/>
      <c r="CV32" s="55"/>
      <c r="CW32" s="55"/>
      <c r="CX32" s="55"/>
      <c r="CY32" s="55"/>
      <c r="CZ32" s="55"/>
      <c r="DA32" s="55"/>
      <c r="DB32" s="55"/>
      <c r="DC32" s="55"/>
      <c r="DD32" s="55"/>
      <c r="DE32" s="55"/>
      <c r="DF32" s="55"/>
      <c r="DG32" s="55"/>
      <c r="DH32" s="55"/>
      <c r="DI32" s="55"/>
      <c r="DJ32" s="55"/>
      <c r="DK32" s="55"/>
      <c r="DL32" s="55"/>
      <c r="DM32" s="55"/>
      <c r="DN32" s="55"/>
      <c r="DO32" s="55"/>
      <c r="DP32" s="55"/>
      <c r="DQ32" s="55"/>
      <c r="DR32" s="55"/>
      <c r="DS32" s="55"/>
      <c r="DT32" s="55"/>
      <c r="DU32" s="55"/>
      <c r="DV32" s="55"/>
      <c r="DW32" s="55"/>
      <c r="DX32" s="55"/>
      <c r="DY32" s="55"/>
      <c r="DZ32" s="55"/>
      <c r="EA32" s="55"/>
      <c r="EB32" s="55"/>
      <c r="EC32" s="55"/>
      <c r="ED32" s="55"/>
      <c r="EE32" s="55"/>
      <c r="EF32" s="55"/>
      <c r="EG32" s="55"/>
      <c r="EH32" s="55"/>
      <c r="EI32" s="55"/>
      <c r="EJ32" s="55"/>
      <c r="EK32" s="55"/>
      <c r="EL32" s="55"/>
      <c r="EM32" s="55"/>
      <c r="EN32" s="55"/>
      <c r="EO32" s="55"/>
      <c r="EP32" s="55"/>
      <c r="EQ32" s="55"/>
      <c r="ER32" s="55"/>
      <c r="ES32" s="55"/>
      <c r="ET32" s="55"/>
      <c r="EU32" s="55"/>
      <c r="EV32" s="55"/>
      <c r="EW32" s="55"/>
      <c r="EX32" s="55"/>
      <c r="EY32" s="55"/>
      <c r="EZ32" s="55"/>
      <c r="FA32" s="55"/>
      <c r="FB32" s="55"/>
      <c r="FC32" s="55"/>
      <c r="FD32" s="55"/>
      <c r="FE32" s="55"/>
      <c r="FF32" s="55"/>
      <c r="FG32" s="55"/>
      <c r="FH32" s="55"/>
      <c r="FI32" s="55"/>
      <c r="FJ32" s="55"/>
      <c r="FK32" s="55"/>
      <c r="FL32" s="55"/>
      <c r="FM32" s="55"/>
      <c r="FN32" s="55"/>
      <c r="FO32" s="55"/>
      <c r="FP32" s="55"/>
      <c r="FQ32" s="55"/>
      <c r="FR32" s="55"/>
      <c r="FS32" s="55"/>
      <c r="FT32" s="55"/>
      <c r="FU32" s="55"/>
      <c r="FV32" s="55"/>
      <c r="FW32" s="55"/>
      <c r="FX32" s="55"/>
      <c r="FY32" s="55"/>
      <c r="FZ32" s="55"/>
      <c r="GA32" s="55"/>
      <c r="GB32" s="55"/>
      <c r="GC32" s="55"/>
      <c r="GD32" s="55"/>
      <c r="GE32" s="55"/>
      <c r="GF32" s="55"/>
      <c r="GG32" s="55"/>
      <c r="GH32" s="55"/>
      <c r="GI32" s="55"/>
      <c r="GJ32" s="55"/>
      <c r="GK32" s="55"/>
      <c r="GL32" s="55"/>
      <c r="GM32" s="55"/>
      <c r="GN32" s="55"/>
      <c r="GO32" s="55"/>
      <c r="GP32" s="55"/>
      <c r="GQ32" s="55"/>
      <c r="GR32" s="55"/>
      <c r="GS32" s="55"/>
      <c r="GT32" s="55"/>
      <c r="GU32" s="55"/>
      <c r="GV32" s="55"/>
      <c r="GW32" s="55"/>
      <c r="GX32" s="55"/>
      <c r="GY32" s="55"/>
      <c r="GZ32" s="55"/>
      <c r="HA32" s="55"/>
      <c r="HB32" s="55"/>
      <c r="HC32" s="55"/>
      <c r="HD32" s="55"/>
      <c r="HE32" s="55"/>
      <c r="HF32" s="55"/>
      <c r="HG32" s="55"/>
      <c r="HH32" s="55"/>
      <c r="HI32" s="55"/>
      <c r="HJ32" s="55"/>
      <c r="HK32" s="55"/>
      <c r="HL32" s="55"/>
      <c r="HM32" s="55"/>
      <c r="HN32" s="55"/>
      <c r="HO32" s="55"/>
      <c r="HP32" s="55"/>
      <c r="HQ32" s="55"/>
      <c r="HR32" s="55"/>
      <c r="HS32" s="55"/>
      <c r="HT32" s="55"/>
      <c r="HU32" s="55"/>
      <c r="HV32" s="55"/>
      <c r="HW32" s="55"/>
      <c r="HX32" s="55"/>
      <c r="HY32" s="55"/>
      <c r="HZ32" s="55"/>
      <c r="IA32" s="55"/>
      <c r="IB32" s="55"/>
    </row>
    <row r="33" spans="1:236" ht="15" customHeight="1" x14ac:dyDescent="0.2">
      <c r="A33" s="63" t="s">
        <v>288</v>
      </c>
      <c r="B33" s="46" t="s">
        <v>433</v>
      </c>
      <c r="C33" s="45" t="s">
        <v>197</v>
      </c>
      <c r="D33" s="451"/>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c r="BJ33" s="55"/>
      <c r="BK33" s="55"/>
      <c r="BL33" s="55"/>
      <c r="BM33" s="55"/>
      <c r="BN33" s="55"/>
      <c r="BO33" s="55"/>
      <c r="BP33" s="55"/>
      <c r="BQ33" s="55"/>
      <c r="BR33" s="55"/>
      <c r="BS33" s="55"/>
      <c r="BT33" s="55"/>
      <c r="BU33" s="55"/>
      <c r="BV33" s="55"/>
      <c r="BW33" s="55"/>
      <c r="BX33" s="55"/>
      <c r="BY33" s="55"/>
      <c r="BZ33" s="55"/>
      <c r="CA33" s="55"/>
      <c r="CB33" s="55"/>
      <c r="CC33" s="55"/>
      <c r="CD33" s="55"/>
      <c r="CE33" s="55"/>
      <c r="CF33" s="55"/>
      <c r="CG33" s="55"/>
      <c r="CH33" s="55"/>
      <c r="CI33" s="55"/>
      <c r="CJ33" s="55"/>
      <c r="CK33" s="55"/>
      <c r="CL33" s="55"/>
      <c r="CM33" s="55"/>
      <c r="CN33" s="55"/>
      <c r="CO33" s="55"/>
      <c r="CP33" s="55"/>
      <c r="CQ33" s="55"/>
      <c r="CR33" s="55"/>
      <c r="CS33" s="55"/>
      <c r="CT33" s="55"/>
      <c r="CU33" s="55"/>
      <c r="CV33" s="55"/>
      <c r="CW33" s="55"/>
      <c r="CX33" s="55"/>
      <c r="CY33" s="55"/>
      <c r="CZ33" s="55"/>
      <c r="DA33" s="55"/>
      <c r="DB33" s="55"/>
      <c r="DC33" s="55"/>
      <c r="DD33" s="55"/>
      <c r="DE33" s="55"/>
      <c r="DF33" s="55"/>
      <c r="DG33" s="55"/>
      <c r="DH33" s="55"/>
      <c r="DI33" s="55"/>
      <c r="DJ33" s="55"/>
      <c r="DK33" s="55"/>
      <c r="DL33" s="55"/>
      <c r="DM33" s="55"/>
      <c r="DN33" s="55"/>
      <c r="DO33" s="55"/>
      <c r="DP33" s="55"/>
      <c r="DQ33" s="55"/>
      <c r="DR33" s="55"/>
      <c r="DS33" s="55"/>
      <c r="DT33" s="55"/>
      <c r="DU33" s="55"/>
      <c r="DV33" s="55"/>
      <c r="DW33" s="55"/>
      <c r="DX33" s="55"/>
      <c r="DY33" s="55"/>
      <c r="DZ33" s="55"/>
      <c r="EA33" s="55"/>
      <c r="EB33" s="55"/>
      <c r="EC33" s="55"/>
      <c r="ED33" s="55"/>
      <c r="EE33" s="55"/>
      <c r="EF33" s="55"/>
      <c r="EG33" s="55"/>
      <c r="EH33" s="55"/>
      <c r="EI33" s="55"/>
      <c r="EJ33" s="55"/>
      <c r="EK33" s="55"/>
      <c r="EL33" s="55"/>
      <c r="EM33" s="55"/>
      <c r="EN33" s="55"/>
      <c r="EO33" s="55"/>
      <c r="EP33" s="55"/>
      <c r="EQ33" s="55"/>
      <c r="ER33" s="55"/>
      <c r="ES33" s="55"/>
      <c r="ET33" s="55"/>
      <c r="EU33" s="55"/>
      <c r="EV33" s="55"/>
      <c r="EW33" s="55"/>
      <c r="EX33" s="55"/>
      <c r="EY33" s="55"/>
      <c r="EZ33" s="55"/>
      <c r="FA33" s="55"/>
      <c r="FB33" s="55"/>
      <c r="FC33" s="55"/>
      <c r="FD33" s="55"/>
      <c r="FE33" s="55"/>
      <c r="FF33" s="55"/>
      <c r="FG33" s="55"/>
      <c r="FH33" s="55"/>
      <c r="FI33" s="55"/>
      <c r="FJ33" s="55"/>
      <c r="FK33" s="55"/>
      <c r="FL33" s="55"/>
      <c r="FM33" s="55"/>
      <c r="FN33" s="55"/>
      <c r="FO33" s="55"/>
      <c r="FP33" s="55"/>
      <c r="FQ33" s="55"/>
      <c r="FR33" s="55"/>
      <c r="FS33" s="55"/>
      <c r="FT33" s="55"/>
      <c r="FU33" s="55"/>
      <c r="FV33" s="55"/>
      <c r="FW33" s="55"/>
      <c r="FX33" s="55"/>
      <c r="FY33" s="55"/>
      <c r="FZ33" s="55"/>
      <c r="GA33" s="55"/>
      <c r="GB33" s="55"/>
      <c r="GC33" s="55"/>
      <c r="GD33" s="55"/>
      <c r="GE33" s="55"/>
      <c r="GF33" s="55"/>
      <c r="GG33" s="55"/>
      <c r="GH33" s="55"/>
      <c r="GI33" s="55"/>
      <c r="GJ33" s="55"/>
      <c r="GK33" s="55"/>
      <c r="GL33" s="55"/>
      <c r="GM33" s="55"/>
      <c r="GN33" s="55"/>
      <c r="GO33" s="55"/>
      <c r="GP33" s="55"/>
      <c r="GQ33" s="55"/>
      <c r="GR33" s="55"/>
      <c r="GS33" s="55"/>
      <c r="GT33" s="55"/>
      <c r="GU33" s="55"/>
      <c r="GV33" s="55"/>
      <c r="GW33" s="55"/>
      <c r="GX33" s="55"/>
      <c r="GY33" s="55"/>
      <c r="GZ33" s="55"/>
      <c r="HA33" s="55"/>
      <c r="HB33" s="55"/>
      <c r="HC33" s="55"/>
      <c r="HD33" s="55"/>
      <c r="HE33" s="55"/>
      <c r="HF33" s="55"/>
      <c r="HG33" s="55"/>
      <c r="HH33" s="55"/>
      <c r="HI33" s="55"/>
      <c r="HJ33" s="55"/>
      <c r="HK33" s="55"/>
      <c r="HL33" s="55"/>
      <c r="HM33" s="55"/>
      <c r="HN33" s="55"/>
      <c r="HO33" s="55"/>
      <c r="HP33" s="55"/>
      <c r="HQ33" s="55"/>
      <c r="HR33" s="55"/>
      <c r="HS33" s="55"/>
      <c r="HT33" s="55"/>
      <c r="HU33" s="55"/>
      <c r="HV33" s="55"/>
      <c r="HW33" s="55"/>
      <c r="HX33" s="55"/>
      <c r="HY33" s="55"/>
      <c r="HZ33" s="55"/>
      <c r="IA33" s="55"/>
      <c r="IB33" s="55"/>
    </row>
    <row r="34" spans="1:236" ht="15" customHeight="1" x14ac:dyDescent="0.2">
      <c r="A34" s="63" t="s">
        <v>289</v>
      </c>
      <c r="B34" s="44" t="s">
        <v>211</v>
      </c>
      <c r="C34" s="45" t="s">
        <v>254</v>
      </c>
      <c r="D34" s="451"/>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5"/>
      <c r="CL34" s="55"/>
      <c r="CM34" s="55"/>
      <c r="CN34" s="55"/>
      <c r="CO34" s="55"/>
      <c r="CP34" s="55"/>
      <c r="CQ34" s="55"/>
      <c r="CR34" s="55"/>
      <c r="CS34" s="55"/>
      <c r="CT34" s="55"/>
      <c r="CU34" s="55"/>
      <c r="CV34" s="55"/>
      <c r="CW34" s="55"/>
      <c r="CX34" s="55"/>
      <c r="CY34" s="55"/>
      <c r="CZ34" s="55"/>
      <c r="DA34" s="55"/>
      <c r="DB34" s="55"/>
      <c r="DC34" s="55"/>
      <c r="DD34" s="55"/>
      <c r="DE34" s="55"/>
      <c r="DF34" s="55"/>
      <c r="DG34" s="55"/>
      <c r="DH34" s="55"/>
      <c r="DI34" s="55"/>
      <c r="DJ34" s="55"/>
      <c r="DK34" s="55"/>
      <c r="DL34" s="55"/>
      <c r="DM34" s="55"/>
      <c r="DN34" s="55"/>
      <c r="DO34" s="55"/>
      <c r="DP34" s="55"/>
      <c r="DQ34" s="55"/>
      <c r="DR34" s="55"/>
      <c r="DS34" s="55"/>
      <c r="DT34" s="55"/>
      <c r="DU34" s="55"/>
      <c r="DV34" s="55"/>
      <c r="DW34" s="55"/>
      <c r="DX34" s="55"/>
      <c r="DY34" s="55"/>
      <c r="DZ34" s="55"/>
      <c r="EA34" s="55"/>
      <c r="EB34" s="55"/>
      <c r="EC34" s="55"/>
      <c r="ED34" s="55"/>
      <c r="EE34" s="55"/>
      <c r="EF34" s="55"/>
      <c r="EG34" s="55"/>
      <c r="EH34" s="55"/>
      <c r="EI34" s="55"/>
      <c r="EJ34" s="55"/>
      <c r="EK34" s="55"/>
      <c r="EL34" s="55"/>
      <c r="EM34" s="55"/>
      <c r="EN34" s="55"/>
      <c r="EO34" s="55"/>
      <c r="EP34" s="55"/>
      <c r="EQ34" s="55"/>
      <c r="ER34" s="55"/>
      <c r="ES34" s="55"/>
      <c r="ET34" s="55"/>
      <c r="EU34" s="55"/>
      <c r="EV34" s="55"/>
      <c r="EW34" s="55"/>
      <c r="EX34" s="55"/>
      <c r="EY34" s="55"/>
      <c r="EZ34" s="55"/>
      <c r="FA34" s="55"/>
      <c r="FB34" s="55"/>
      <c r="FC34" s="55"/>
      <c r="FD34" s="55"/>
      <c r="FE34" s="55"/>
      <c r="FF34" s="55"/>
      <c r="FG34" s="55"/>
      <c r="FH34" s="55"/>
      <c r="FI34" s="55"/>
      <c r="FJ34" s="55"/>
      <c r="FK34" s="55"/>
      <c r="FL34" s="55"/>
      <c r="FM34" s="55"/>
      <c r="FN34" s="55"/>
      <c r="FO34" s="55"/>
      <c r="FP34" s="55"/>
      <c r="FQ34" s="55"/>
      <c r="FR34" s="55"/>
      <c r="FS34" s="55"/>
      <c r="FT34" s="55"/>
      <c r="FU34" s="55"/>
      <c r="FV34" s="55"/>
      <c r="FW34" s="55"/>
      <c r="FX34" s="55"/>
      <c r="FY34" s="55"/>
      <c r="FZ34" s="55"/>
      <c r="GA34" s="55"/>
      <c r="GB34" s="55"/>
      <c r="GC34" s="55"/>
      <c r="GD34" s="55"/>
      <c r="GE34" s="55"/>
      <c r="GF34" s="55"/>
      <c r="GG34" s="55"/>
      <c r="GH34" s="55"/>
      <c r="GI34" s="55"/>
      <c r="GJ34" s="55"/>
      <c r="GK34" s="55"/>
      <c r="GL34" s="55"/>
      <c r="GM34" s="55"/>
      <c r="GN34" s="55"/>
      <c r="GO34" s="55"/>
      <c r="GP34" s="55"/>
      <c r="GQ34" s="55"/>
      <c r="GR34" s="55"/>
      <c r="GS34" s="55"/>
      <c r="GT34" s="55"/>
      <c r="GU34" s="55"/>
      <c r="GV34" s="55"/>
      <c r="GW34" s="55"/>
      <c r="GX34" s="55"/>
      <c r="GY34" s="55"/>
      <c r="GZ34" s="55"/>
      <c r="HA34" s="55"/>
      <c r="HB34" s="55"/>
      <c r="HC34" s="55"/>
      <c r="HD34" s="55"/>
      <c r="HE34" s="55"/>
      <c r="HF34" s="55"/>
      <c r="HG34" s="55"/>
      <c r="HH34" s="55"/>
      <c r="HI34" s="55"/>
      <c r="HJ34" s="55"/>
      <c r="HK34" s="55"/>
      <c r="HL34" s="55"/>
      <c r="HM34" s="55"/>
      <c r="HN34" s="55"/>
      <c r="HO34" s="55"/>
      <c r="HP34" s="55"/>
      <c r="HQ34" s="55"/>
      <c r="HR34" s="55"/>
      <c r="HS34" s="55"/>
      <c r="HT34" s="55"/>
      <c r="HU34" s="55"/>
      <c r="HV34" s="55"/>
      <c r="HW34" s="55"/>
      <c r="HX34" s="55"/>
      <c r="HY34" s="55"/>
      <c r="HZ34" s="55"/>
      <c r="IA34" s="55"/>
      <c r="IB34" s="55"/>
    </row>
    <row r="35" spans="1:236" ht="15" customHeight="1" x14ac:dyDescent="0.2">
      <c r="A35" s="63" t="s">
        <v>290</v>
      </c>
      <c r="B35" s="44" t="s">
        <v>212</v>
      </c>
      <c r="C35" s="45" t="s">
        <v>254</v>
      </c>
      <c r="D35" s="451"/>
      <c r="E35" s="55"/>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c r="BF35" s="55"/>
      <c r="BG35" s="55"/>
      <c r="BH35" s="55"/>
      <c r="BI35" s="55"/>
      <c r="BJ35" s="55"/>
      <c r="BK35" s="55"/>
      <c r="BL35" s="55"/>
      <c r="BM35" s="55"/>
      <c r="BN35" s="55"/>
      <c r="BO35" s="55"/>
      <c r="BP35" s="55"/>
      <c r="BQ35" s="55"/>
      <c r="BR35" s="55"/>
      <c r="BS35" s="55"/>
      <c r="BT35" s="55"/>
      <c r="BU35" s="55"/>
      <c r="BV35" s="55"/>
      <c r="BW35" s="55"/>
      <c r="BX35" s="55"/>
      <c r="BY35" s="55"/>
      <c r="BZ35" s="55"/>
      <c r="CA35" s="55"/>
      <c r="CB35" s="55"/>
      <c r="CC35" s="55"/>
      <c r="CD35" s="55"/>
      <c r="CE35" s="55"/>
      <c r="CF35" s="55"/>
      <c r="CG35" s="55"/>
      <c r="CH35" s="55"/>
      <c r="CI35" s="55"/>
      <c r="CJ35" s="55"/>
      <c r="CK35" s="55"/>
      <c r="CL35" s="55"/>
      <c r="CM35" s="55"/>
      <c r="CN35" s="55"/>
      <c r="CO35" s="55"/>
      <c r="CP35" s="55"/>
      <c r="CQ35" s="55"/>
      <c r="CR35" s="55"/>
      <c r="CS35" s="55"/>
      <c r="CT35" s="55"/>
      <c r="CU35" s="55"/>
      <c r="CV35" s="55"/>
      <c r="CW35" s="55"/>
      <c r="CX35" s="55"/>
      <c r="CY35" s="55"/>
      <c r="CZ35" s="55"/>
      <c r="DA35" s="55"/>
      <c r="DB35" s="55"/>
      <c r="DC35" s="55"/>
      <c r="DD35" s="55"/>
      <c r="DE35" s="55"/>
      <c r="DF35" s="55"/>
      <c r="DG35" s="55"/>
      <c r="DH35" s="55"/>
      <c r="DI35" s="55"/>
      <c r="DJ35" s="55"/>
      <c r="DK35" s="55"/>
      <c r="DL35" s="55"/>
      <c r="DM35" s="55"/>
      <c r="DN35" s="55"/>
      <c r="DO35" s="55"/>
      <c r="DP35" s="55"/>
      <c r="DQ35" s="55"/>
      <c r="DR35" s="55"/>
      <c r="DS35" s="55"/>
      <c r="DT35" s="55"/>
      <c r="DU35" s="55"/>
      <c r="DV35" s="55"/>
      <c r="DW35" s="55"/>
      <c r="DX35" s="55"/>
      <c r="DY35" s="55"/>
      <c r="DZ35" s="55"/>
      <c r="EA35" s="55"/>
      <c r="EB35" s="55"/>
      <c r="EC35" s="55"/>
      <c r="ED35" s="55"/>
      <c r="EE35" s="55"/>
      <c r="EF35" s="55"/>
      <c r="EG35" s="55"/>
      <c r="EH35" s="55"/>
      <c r="EI35" s="55"/>
      <c r="EJ35" s="55"/>
      <c r="EK35" s="55"/>
      <c r="EL35" s="55"/>
      <c r="EM35" s="55"/>
      <c r="EN35" s="55"/>
      <c r="EO35" s="55"/>
      <c r="EP35" s="55"/>
      <c r="EQ35" s="55"/>
      <c r="ER35" s="55"/>
      <c r="ES35" s="55"/>
      <c r="ET35" s="55"/>
      <c r="EU35" s="55"/>
      <c r="EV35" s="55"/>
      <c r="EW35" s="55"/>
      <c r="EX35" s="55"/>
      <c r="EY35" s="55"/>
      <c r="EZ35" s="55"/>
      <c r="FA35" s="55"/>
      <c r="FB35" s="55"/>
      <c r="FC35" s="55"/>
      <c r="FD35" s="55"/>
      <c r="FE35" s="55"/>
      <c r="FF35" s="55"/>
      <c r="FG35" s="55"/>
      <c r="FH35" s="55"/>
      <c r="FI35" s="55"/>
      <c r="FJ35" s="55"/>
      <c r="FK35" s="55"/>
      <c r="FL35" s="55"/>
      <c r="FM35" s="55"/>
      <c r="FN35" s="55"/>
      <c r="FO35" s="55"/>
      <c r="FP35" s="55"/>
      <c r="FQ35" s="55"/>
      <c r="FR35" s="55"/>
      <c r="FS35" s="55"/>
      <c r="FT35" s="55"/>
      <c r="FU35" s="55"/>
      <c r="FV35" s="55"/>
      <c r="FW35" s="55"/>
      <c r="FX35" s="55"/>
      <c r="FY35" s="55"/>
      <c r="FZ35" s="55"/>
      <c r="GA35" s="55"/>
      <c r="GB35" s="55"/>
      <c r="GC35" s="55"/>
      <c r="GD35" s="55"/>
      <c r="GE35" s="55"/>
      <c r="GF35" s="55"/>
      <c r="GG35" s="55"/>
      <c r="GH35" s="55"/>
      <c r="GI35" s="55"/>
      <c r="GJ35" s="55"/>
      <c r="GK35" s="55"/>
      <c r="GL35" s="55"/>
      <c r="GM35" s="55"/>
      <c r="GN35" s="55"/>
      <c r="GO35" s="55"/>
      <c r="GP35" s="55"/>
      <c r="GQ35" s="55"/>
      <c r="GR35" s="55"/>
      <c r="GS35" s="55"/>
      <c r="GT35" s="55"/>
      <c r="GU35" s="55"/>
      <c r="GV35" s="55"/>
      <c r="GW35" s="55"/>
      <c r="GX35" s="55"/>
      <c r="GY35" s="55"/>
      <c r="GZ35" s="55"/>
      <c r="HA35" s="55"/>
      <c r="HB35" s="55"/>
      <c r="HC35" s="55"/>
      <c r="HD35" s="55"/>
      <c r="HE35" s="55"/>
      <c r="HF35" s="55"/>
      <c r="HG35" s="55"/>
      <c r="HH35" s="55"/>
      <c r="HI35" s="55"/>
      <c r="HJ35" s="55"/>
      <c r="HK35" s="55"/>
      <c r="HL35" s="55"/>
      <c r="HM35" s="55"/>
      <c r="HN35" s="55"/>
      <c r="HO35" s="55"/>
      <c r="HP35" s="55"/>
      <c r="HQ35" s="55"/>
      <c r="HR35" s="55"/>
      <c r="HS35" s="55"/>
      <c r="HT35" s="55"/>
      <c r="HU35" s="55"/>
      <c r="HV35" s="55"/>
      <c r="HW35" s="55"/>
      <c r="HX35" s="55"/>
      <c r="HY35" s="55"/>
      <c r="HZ35" s="55"/>
      <c r="IA35" s="55"/>
      <c r="IB35" s="55"/>
    </row>
    <row r="36" spans="1:236" ht="15" customHeight="1" x14ac:dyDescent="0.2">
      <c r="A36" s="63" t="s">
        <v>291</v>
      </c>
      <c r="B36" s="44" t="s">
        <v>213</v>
      </c>
      <c r="C36" s="45" t="s">
        <v>254</v>
      </c>
      <c r="D36" s="451"/>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c r="BF36" s="55"/>
      <c r="BG36" s="55"/>
      <c r="BH36" s="55"/>
      <c r="BI36" s="55"/>
      <c r="BJ36" s="55"/>
      <c r="BK36" s="55"/>
      <c r="BL36" s="55"/>
      <c r="BM36" s="55"/>
      <c r="BN36" s="55"/>
      <c r="BO36" s="55"/>
      <c r="BP36" s="55"/>
      <c r="BQ36" s="55"/>
      <c r="BR36" s="55"/>
      <c r="BS36" s="55"/>
      <c r="BT36" s="55"/>
      <c r="BU36" s="55"/>
      <c r="BV36" s="55"/>
      <c r="BW36" s="55"/>
      <c r="BX36" s="55"/>
      <c r="BY36" s="55"/>
      <c r="BZ36" s="55"/>
      <c r="CA36" s="55"/>
      <c r="CB36" s="55"/>
      <c r="CC36" s="55"/>
      <c r="CD36" s="55"/>
      <c r="CE36" s="55"/>
      <c r="CF36" s="55"/>
      <c r="CG36" s="55"/>
      <c r="CH36" s="55"/>
      <c r="CI36" s="55"/>
      <c r="CJ36" s="55"/>
      <c r="CK36" s="55"/>
      <c r="CL36" s="55"/>
      <c r="CM36" s="55"/>
      <c r="CN36" s="55"/>
      <c r="CO36" s="55"/>
      <c r="CP36" s="55"/>
      <c r="CQ36" s="55"/>
      <c r="CR36" s="55"/>
      <c r="CS36" s="55"/>
      <c r="CT36" s="55"/>
      <c r="CU36" s="55"/>
      <c r="CV36" s="55"/>
      <c r="CW36" s="55"/>
      <c r="CX36" s="55"/>
      <c r="CY36" s="55"/>
      <c r="CZ36" s="55"/>
      <c r="DA36" s="55"/>
      <c r="DB36" s="55"/>
      <c r="DC36" s="55"/>
      <c r="DD36" s="55"/>
      <c r="DE36" s="55"/>
      <c r="DF36" s="55"/>
      <c r="DG36" s="55"/>
      <c r="DH36" s="55"/>
      <c r="DI36" s="55"/>
      <c r="DJ36" s="55"/>
      <c r="DK36" s="55"/>
      <c r="DL36" s="55"/>
      <c r="DM36" s="55"/>
      <c r="DN36" s="55"/>
      <c r="DO36" s="55"/>
      <c r="DP36" s="55"/>
      <c r="DQ36" s="55"/>
      <c r="DR36" s="55"/>
      <c r="DS36" s="55"/>
      <c r="DT36" s="55"/>
      <c r="DU36" s="55"/>
      <c r="DV36" s="55"/>
      <c r="DW36" s="55"/>
      <c r="DX36" s="55"/>
      <c r="DY36" s="55"/>
      <c r="DZ36" s="55"/>
      <c r="EA36" s="55"/>
      <c r="EB36" s="55"/>
      <c r="EC36" s="55"/>
      <c r="ED36" s="55"/>
      <c r="EE36" s="55"/>
      <c r="EF36" s="55"/>
      <c r="EG36" s="55"/>
      <c r="EH36" s="55"/>
      <c r="EI36" s="55"/>
      <c r="EJ36" s="55"/>
      <c r="EK36" s="55"/>
      <c r="EL36" s="55"/>
      <c r="EM36" s="55"/>
      <c r="EN36" s="55"/>
      <c r="EO36" s="55"/>
      <c r="EP36" s="55"/>
      <c r="EQ36" s="55"/>
      <c r="ER36" s="55"/>
      <c r="ES36" s="55"/>
      <c r="ET36" s="55"/>
      <c r="EU36" s="55"/>
      <c r="EV36" s="55"/>
      <c r="EW36" s="55"/>
      <c r="EX36" s="55"/>
      <c r="EY36" s="55"/>
      <c r="EZ36" s="55"/>
      <c r="FA36" s="55"/>
      <c r="FB36" s="55"/>
      <c r="FC36" s="55"/>
      <c r="FD36" s="55"/>
      <c r="FE36" s="55"/>
      <c r="FF36" s="55"/>
      <c r="FG36" s="55"/>
      <c r="FH36" s="55"/>
      <c r="FI36" s="55"/>
      <c r="FJ36" s="55"/>
      <c r="FK36" s="55"/>
      <c r="FL36" s="55"/>
      <c r="FM36" s="55"/>
      <c r="FN36" s="55"/>
      <c r="FO36" s="55"/>
      <c r="FP36" s="55"/>
      <c r="FQ36" s="55"/>
      <c r="FR36" s="55"/>
      <c r="FS36" s="55"/>
      <c r="FT36" s="55"/>
      <c r="FU36" s="55"/>
      <c r="FV36" s="55"/>
      <c r="FW36" s="55"/>
      <c r="FX36" s="55"/>
      <c r="FY36" s="55"/>
      <c r="FZ36" s="55"/>
      <c r="GA36" s="55"/>
      <c r="GB36" s="55"/>
      <c r="GC36" s="55"/>
      <c r="GD36" s="55"/>
      <c r="GE36" s="55"/>
      <c r="GF36" s="55"/>
      <c r="GG36" s="55"/>
      <c r="GH36" s="55"/>
      <c r="GI36" s="55"/>
      <c r="GJ36" s="55"/>
      <c r="GK36" s="55"/>
      <c r="GL36" s="55"/>
      <c r="GM36" s="55"/>
      <c r="GN36" s="55"/>
      <c r="GO36" s="55"/>
      <c r="GP36" s="55"/>
      <c r="GQ36" s="55"/>
      <c r="GR36" s="55"/>
      <c r="GS36" s="55"/>
      <c r="GT36" s="55"/>
      <c r="GU36" s="55"/>
      <c r="GV36" s="55"/>
      <c r="GW36" s="55"/>
      <c r="GX36" s="55"/>
      <c r="GY36" s="55"/>
      <c r="GZ36" s="55"/>
      <c r="HA36" s="55"/>
      <c r="HB36" s="55"/>
      <c r="HC36" s="55"/>
      <c r="HD36" s="55"/>
      <c r="HE36" s="55"/>
      <c r="HF36" s="55"/>
      <c r="HG36" s="55"/>
      <c r="HH36" s="55"/>
      <c r="HI36" s="55"/>
      <c r="HJ36" s="55"/>
      <c r="HK36" s="55"/>
      <c r="HL36" s="55"/>
      <c r="HM36" s="55"/>
      <c r="HN36" s="55"/>
      <c r="HO36" s="55"/>
      <c r="HP36" s="55"/>
      <c r="HQ36" s="55"/>
      <c r="HR36" s="55"/>
      <c r="HS36" s="55"/>
      <c r="HT36" s="55"/>
      <c r="HU36" s="55"/>
      <c r="HV36" s="55"/>
      <c r="HW36" s="55"/>
      <c r="HX36" s="55"/>
      <c r="HY36" s="55"/>
      <c r="HZ36" s="55"/>
      <c r="IA36" s="55"/>
      <c r="IB36" s="55"/>
    </row>
    <row r="37" spans="1:236" ht="15" customHeight="1" x14ac:dyDescent="0.2">
      <c r="A37" s="63" t="s">
        <v>292</v>
      </c>
      <c r="B37" s="44" t="s">
        <v>503</v>
      </c>
      <c r="C37" s="45" t="s">
        <v>254</v>
      </c>
      <c r="D37" s="451"/>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c r="BF37" s="55"/>
      <c r="BG37" s="55"/>
      <c r="BH37" s="55"/>
      <c r="BI37" s="55"/>
      <c r="BJ37" s="55"/>
      <c r="BK37" s="55"/>
      <c r="BL37" s="55"/>
      <c r="BM37" s="55"/>
      <c r="BN37" s="55"/>
      <c r="BO37" s="55"/>
      <c r="BP37" s="55"/>
      <c r="BQ37" s="55"/>
      <c r="BR37" s="55"/>
      <c r="BS37" s="55"/>
      <c r="BT37" s="55"/>
      <c r="BU37" s="55"/>
      <c r="BV37" s="55"/>
      <c r="BW37" s="55"/>
      <c r="BX37" s="55"/>
      <c r="BY37" s="55"/>
      <c r="BZ37" s="55"/>
      <c r="CA37" s="55"/>
      <c r="CB37" s="55"/>
      <c r="CC37" s="55"/>
      <c r="CD37" s="55"/>
      <c r="CE37" s="55"/>
      <c r="CF37" s="55"/>
      <c r="CG37" s="55"/>
      <c r="CH37" s="55"/>
      <c r="CI37" s="55"/>
      <c r="CJ37" s="55"/>
      <c r="CK37" s="55"/>
      <c r="CL37" s="55"/>
      <c r="CM37" s="55"/>
      <c r="CN37" s="55"/>
      <c r="CO37" s="55"/>
      <c r="CP37" s="55"/>
      <c r="CQ37" s="55"/>
      <c r="CR37" s="55"/>
      <c r="CS37" s="55"/>
      <c r="CT37" s="55"/>
      <c r="CU37" s="55"/>
      <c r="CV37" s="55"/>
      <c r="CW37" s="55"/>
      <c r="CX37" s="55"/>
      <c r="CY37" s="55"/>
      <c r="CZ37" s="55"/>
      <c r="DA37" s="55"/>
      <c r="DB37" s="55"/>
      <c r="DC37" s="55"/>
      <c r="DD37" s="55"/>
      <c r="DE37" s="55"/>
      <c r="DF37" s="55"/>
      <c r="DG37" s="55"/>
      <c r="DH37" s="55"/>
      <c r="DI37" s="55"/>
      <c r="DJ37" s="55"/>
      <c r="DK37" s="55"/>
      <c r="DL37" s="55"/>
      <c r="DM37" s="55"/>
      <c r="DN37" s="55"/>
      <c r="DO37" s="55"/>
      <c r="DP37" s="55"/>
      <c r="DQ37" s="55"/>
      <c r="DR37" s="55"/>
      <c r="DS37" s="55"/>
      <c r="DT37" s="55"/>
      <c r="DU37" s="55"/>
      <c r="DV37" s="55"/>
      <c r="DW37" s="55"/>
      <c r="DX37" s="55"/>
      <c r="DY37" s="55"/>
      <c r="DZ37" s="55"/>
      <c r="EA37" s="55"/>
      <c r="EB37" s="55"/>
      <c r="EC37" s="55"/>
      <c r="ED37" s="55"/>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FF37" s="55"/>
      <c r="FG37" s="55"/>
      <c r="FH37" s="55"/>
      <c r="FI37" s="55"/>
      <c r="FJ37" s="55"/>
      <c r="FK37" s="55"/>
      <c r="FL37" s="55"/>
      <c r="FM37" s="55"/>
      <c r="FN37" s="55"/>
      <c r="FO37" s="55"/>
      <c r="FP37" s="55"/>
      <c r="FQ37" s="55"/>
      <c r="FR37" s="55"/>
      <c r="FS37" s="55"/>
      <c r="FT37" s="55"/>
      <c r="FU37" s="55"/>
      <c r="FV37" s="55"/>
      <c r="FW37" s="55"/>
      <c r="FX37" s="55"/>
      <c r="FY37" s="55"/>
      <c r="FZ37" s="55"/>
      <c r="GA37" s="55"/>
      <c r="GB37" s="55"/>
      <c r="GC37" s="55"/>
      <c r="GD37" s="55"/>
      <c r="GE37" s="55"/>
      <c r="GF37" s="55"/>
      <c r="GG37" s="55"/>
      <c r="GH37" s="55"/>
      <c r="GI37" s="55"/>
      <c r="GJ37" s="55"/>
      <c r="GK37" s="55"/>
      <c r="GL37" s="55"/>
      <c r="GM37" s="55"/>
      <c r="GN37" s="55"/>
      <c r="GO37" s="55"/>
      <c r="GP37" s="55"/>
      <c r="GQ37" s="55"/>
      <c r="GR37" s="55"/>
      <c r="GS37" s="55"/>
      <c r="GT37" s="55"/>
      <c r="GU37" s="55"/>
      <c r="GV37" s="55"/>
      <c r="GW37" s="55"/>
      <c r="GX37" s="55"/>
      <c r="GY37" s="55"/>
      <c r="GZ37" s="55"/>
      <c r="HA37" s="55"/>
      <c r="HB37" s="55"/>
      <c r="HC37" s="55"/>
      <c r="HD37" s="55"/>
      <c r="HE37" s="55"/>
      <c r="HF37" s="55"/>
      <c r="HG37" s="55"/>
      <c r="HH37" s="55"/>
      <c r="HI37" s="55"/>
      <c r="HJ37" s="55"/>
      <c r="HK37" s="55"/>
      <c r="HL37" s="55"/>
      <c r="HM37" s="55"/>
      <c r="HN37" s="55"/>
      <c r="HO37" s="55"/>
      <c r="HP37" s="55"/>
      <c r="HQ37" s="55"/>
      <c r="HR37" s="55"/>
      <c r="HS37" s="55"/>
      <c r="HT37" s="55"/>
      <c r="HU37" s="55"/>
      <c r="HV37" s="55"/>
      <c r="HW37" s="55"/>
      <c r="HX37" s="55"/>
      <c r="HY37" s="55"/>
      <c r="HZ37" s="55"/>
      <c r="IA37" s="55"/>
      <c r="IB37" s="55"/>
    </row>
    <row r="38" spans="1:236" ht="15" customHeight="1" x14ac:dyDescent="0.2">
      <c r="A38" s="63" t="s">
        <v>293</v>
      </c>
      <c r="B38" s="44" t="s">
        <v>214</v>
      </c>
      <c r="C38" s="45" t="s">
        <v>254</v>
      </c>
      <c r="D38" s="451"/>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c r="CG38" s="55"/>
      <c r="CH38" s="55"/>
      <c r="CI38" s="55"/>
      <c r="CJ38" s="55"/>
      <c r="CK38" s="55"/>
      <c r="CL38" s="55"/>
      <c r="CM38" s="55"/>
      <c r="CN38" s="55"/>
      <c r="CO38" s="55"/>
      <c r="CP38" s="55"/>
      <c r="CQ38" s="55"/>
      <c r="CR38" s="55"/>
      <c r="CS38" s="55"/>
      <c r="CT38" s="55"/>
      <c r="CU38" s="55"/>
      <c r="CV38" s="55"/>
      <c r="CW38" s="55"/>
      <c r="CX38" s="55"/>
      <c r="CY38" s="55"/>
      <c r="CZ38" s="55"/>
      <c r="DA38" s="55"/>
      <c r="DB38" s="55"/>
      <c r="DC38" s="55"/>
      <c r="DD38" s="55"/>
      <c r="DE38" s="55"/>
      <c r="DF38" s="55"/>
      <c r="DG38" s="55"/>
      <c r="DH38" s="55"/>
      <c r="DI38" s="55"/>
      <c r="DJ38" s="55"/>
      <c r="DK38" s="55"/>
      <c r="DL38" s="55"/>
      <c r="DM38" s="55"/>
      <c r="DN38" s="55"/>
      <c r="DO38" s="55"/>
      <c r="DP38" s="55"/>
      <c r="DQ38" s="55"/>
      <c r="DR38" s="55"/>
      <c r="DS38" s="55"/>
      <c r="DT38" s="55"/>
      <c r="DU38" s="55"/>
      <c r="DV38" s="55"/>
      <c r="DW38" s="55"/>
      <c r="DX38" s="55"/>
      <c r="DY38" s="55"/>
      <c r="DZ38" s="55"/>
      <c r="EA38" s="55"/>
      <c r="EB38" s="55"/>
      <c r="EC38" s="55"/>
      <c r="ED38" s="55"/>
      <c r="EE38" s="55"/>
      <c r="EF38" s="55"/>
      <c r="EG38" s="55"/>
      <c r="EH38" s="55"/>
      <c r="EI38" s="55"/>
      <c r="EJ38" s="55"/>
      <c r="EK38" s="55"/>
      <c r="EL38" s="55"/>
      <c r="EM38" s="55"/>
      <c r="EN38" s="55"/>
      <c r="EO38" s="55"/>
      <c r="EP38" s="55"/>
      <c r="EQ38" s="55"/>
      <c r="ER38" s="55"/>
      <c r="ES38" s="55"/>
      <c r="ET38" s="55"/>
      <c r="EU38" s="55"/>
      <c r="EV38" s="55"/>
      <c r="EW38" s="55"/>
      <c r="EX38" s="55"/>
      <c r="EY38" s="55"/>
      <c r="EZ38" s="55"/>
      <c r="FA38" s="55"/>
      <c r="FB38" s="55"/>
      <c r="FC38" s="55"/>
      <c r="FD38" s="55"/>
      <c r="FE38" s="55"/>
      <c r="FF38" s="55"/>
      <c r="FG38" s="55"/>
      <c r="FH38" s="55"/>
      <c r="FI38" s="55"/>
      <c r="FJ38" s="55"/>
      <c r="FK38" s="55"/>
      <c r="FL38" s="55"/>
      <c r="FM38" s="55"/>
      <c r="FN38" s="55"/>
      <c r="FO38" s="55"/>
      <c r="FP38" s="55"/>
      <c r="FQ38" s="55"/>
      <c r="FR38" s="55"/>
      <c r="FS38" s="55"/>
      <c r="FT38" s="55"/>
      <c r="FU38" s="55"/>
      <c r="FV38" s="55"/>
      <c r="FW38" s="55"/>
      <c r="FX38" s="55"/>
      <c r="FY38" s="55"/>
      <c r="FZ38" s="55"/>
      <c r="GA38" s="55"/>
      <c r="GB38" s="55"/>
      <c r="GC38" s="55"/>
      <c r="GD38" s="55"/>
      <c r="GE38" s="55"/>
      <c r="GF38" s="55"/>
      <c r="GG38" s="55"/>
      <c r="GH38" s="55"/>
      <c r="GI38" s="55"/>
      <c r="GJ38" s="55"/>
      <c r="GK38" s="55"/>
      <c r="GL38" s="55"/>
      <c r="GM38" s="55"/>
      <c r="GN38" s="55"/>
      <c r="GO38" s="55"/>
      <c r="GP38" s="55"/>
      <c r="GQ38" s="55"/>
      <c r="GR38" s="55"/>
      <c r="GS38" s="55"/>
      <c r="GT38" s="55"/>
      <c r="GU38" s="55"/>
      <c r="GV38" s="55"/>
      <c r="GW38" s="55"/>
      <c r="GX38" s="55"/>
      <c r="GY38" s="55"/>
      <c r="GZ38" s="55"/>
      <c r="HA38" s="55"/>
      <c r="HB38" s="55"/>
      <c r="HC38" s="55"/>
      <c r="HD38" s="55"/>
      <c r="HE38" s="55"/>
      <c r="HF38" s="55"/>
      <c r="HG38" s="55"/>
      <c r="HH38" s="55"/>
      <c r="HI38" s="55"/>
      <c r="HJ38" s="55"/>
      <c r="HK38" s="55"/>
      <c r="HL38" s="55"/>
      <c r="HM38" s="55"/>
      <c r="HN38" s="55"/>
      <c r="HO38" s="55"/>
      <c r="HP38" s="55"/>
      <c r="HQ38" s="55"/>
      <c r="HR38" s="55"/>
      <c r="HS38" s="55"/>
      <c r="HT38" s="55"/>
      <c r="HU38" s="55"/>
      <c r="HV38" s="55"/>
      <c r="HW38" s="55"/>
      <c r="HX38" s="55"/>
      <c r="HY38" s="55"/>
      <c r="HZ38" s="55"/>
      <c r="IA38" s="55"/>
      <c r="IB38" s="55"/>
    </row>
    <row r="39" spans="1:236" ht="15" customHeight="1" x14ac:dyDescent="0.2">
      <c r="A39" s="63" t="s">
        <v>294</v>
      </c>
      <c r="B39" s="44" t="s">
        <v>1001</v>
      </c>
      <c r="C39" s="45" t="s">
        <v>254</v>
      </c>
      <c r="D39" s="451"/>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c r="BF39" s="55"/>
      <c r="BG39" s="55"/>
      <c r="BH39" s="55"/>
      <c r="BI39" s="55"/>
      <c r="BJ39" s="55"/>
      <c r="BK39" s="55"/>
      <c r="BL39" s="55"/>
      <c r="BM39" s="55"/>
      <c r="BN39" s="55"/>
      <c r="BO39" s="55"/>
      <c r="BP39" s="55"/>
      <c r="BQ39" s="55"/>
      <c r="BR39" s="55"/>
      <c r="BS39" s="55"/>
      <c r="BT39" s="55"/>
      <c r="BU39" s="55"/>
      <c r="BV39" s="55"/>
      <c r="BW39" s="55"/>
      <c r="BX39" s="55"/>
      <c r="BY39" s="55"/>
      <c r="BZ39" s="55"/>
      <c r="CA39" s="55"/>
      <c r="CB39" s="55"/>
      <c r="CC39" s="55"/>
      <c r="CD39" s="55"/>
      <c r="CE39" s="55"/>
      <c r="CF39" s="55"/>
      <c r="CG39" s="55"/>
      <c r="CH39" s="55"/>
      <c r="CI39" s="55"/>
      <c r="CJ39" s="55"/>
      <c r="CK39" s="55"/>
      <c r="CL39" s="55"/>
      <c r="CM39" s="55"/>
      <c r="CN39" s="55"/>
      <c r="CO39" s="55"/>
      <c r="CP39" s="55"/>
      <c r="CQ39" s="55"/>
      <c r="CR39" s="55"/>
      <c r="CS39" s="55"/>
      <c r="CT39" s="55"/>
      <c r="CU39" s="55"/>
      <c r="CV39" s="55"/>
      <c r="CW39" s="55"/>
      <c r="CX39" s="55"/>
      <c r="CY39" s="55"/>
      <c r="CZ39" s="55"/>
      <c r="DA39" s="55"/>
      <c r="DB39" s="55"/>
      <c r="DC39" s="55"/>
      <c r="DD39" s="55"/>
      <c r="DE39" s="55"/>
      <c r="DF39" s="55"/>
      <c r="DG39" s="55"/>
      <c r="DH39" s="55"/>
      <c r="DI39" s="55"/>
      <c r="DJ39" s="55"/>
      <c r="DK39" s="55"/>
      <c r="DL39" s="55"/>
      <c r="DM39" s="55"/>
      <c r="DN39" s="55"/>
      <c r="DO39" s="55"/>
      <c r="DP39" s="55"/>
      <c r="DQ39" s="55"/>
      <c r="DR39" s="55"/>
      <c r="DS39" s="55"/>
      <c r="DT39" s="55"/>
      <c r="DU39" s="55"/>
      <c r="DV39" s="55"/>
      <c r="DW39" s="55"/>
      <c r="DX39" s="55"/>
      <c r="DY39" s="55"/>
      <c r="DZ39" s="55"/>
      <c r="EA39" s="55"/>
      <c r="EB39" s="55"/>
      <c r="EC39" s="55"/>
      <c r="ED39" s="55"/>
      <c r="EE39" s="55"/>
      <c r="EF39" s="55"/>
      <c r="EG39" s="55"/>
      <c r="EH39" s="55"/>
      <c r="EI39" s="55"/>
      <c r="EJ39" s="55"/>
      <c r="EK39" s="55"/>
      <c r="EL39" s="55"/>
      <c r="EM39" s="55"/>
      <c r="EN39" s="55"/>
      <c r="EO39" s="55"/>
      <c r="EP39" s="55"/>
      <c r="EQ39" s="55"/>
      <c r="ER39" s="55"/>
      <c r="ES39" s="55"/>
      <c r="ET39" s="55"/>
      <c r="EU39" s="55"/>
      <c r="EV39" s="55"/>
      <c r="EW39" s="55"/>
      <c r="EX39" s="55"/>
      <c r="EY39" s="55"/>
      <c r="EZ39" s="55"/>
      <c r="FA39" s="55"/>
      <c r="FB39" s="55"/>
      <c r="FC39" s="55"/>
      <c r="FD39" s="55"/>
      <c r="FE39" s="55"/>
      <c r="FF39" s="55"/>
      <c r="FG39" s="55"/>
      <c r="FH39" s="55"/>
      <c r="FI39" s="55"/>
      <c r="FJ39" s="55"/>
      <c r="FK39" s="55"/>
      <c r="FL39" s="55"/>
      <c r="FM39" s="55"/>
      <c r="FN39" s="55"/>
      <c r="FO39" s="55"/>
      <c r="FP39" s="55"/>
      <c r="FQ39" s="55"/>
      <c r="FR39" s="55"/>
      <c r="FS39" s="55"/>
      <c r="FT39" s="55"/>
      <c r="FU39" s="55"/>
      <c r="FV39" s="55"/>
      <c r="FW39" s="55"/>
      <c r="FX39" s="55"/>
      <c r="FY39" s="55"/>
      <c r="FZ39" s="55"/>
      <c r="GA39" s="55"/>
      <c r="GB39" s="55"/>
      <c r="GC39" s="55"/>
      <c r="GD39" s="55"/>
      <c r="GE39" s="55"/>
      <c r="GF39" s="55"/>
      <c r="GG39" s="55"/>
      <c r="GH39" s="55"/>
      <c r="GI39" s="55"/>
      <c r="GJ39" s="55"/>
      <c r="GK39" s="55"/>
      <c r="GL39" s="55"/>
      <c r="GM39" s="55"/>
      <c r="GN39" s="55"/>
      <c r="GO39" s="55"/>
      <c r="GP39" s="55"/>
      <c r="GQ39" s="55"/>
      <c r="GR39" s="55"/>
      <c r="GS39" s="55"/>
      <c r="GT39" s="55"/>
      <c r="GU39" s="55"/>
      <c r="GV39" s="55"/>
      <c r="GW39" s="55"/>
      <c r="GX39" s="55"/>
      <c r="GY39" s="55"/>
      <c r="GZ39" s="55"/>
      <c r="HA39" s="55"/>
      <c r="HB39" s="55"/>
      <c r="HC39" s="55"/>
      <c r="HD39" s="55"/>
      <c r="HE39" s="55"/>
      <c r="HF39" s="55"/>
      <c r="HG39" s="55"/>
      <c r="HH39" s="55"/>
      <c r="HI39" s="55"/>
      <c r="HJ39" s="55"/>
      <c r="HK39" s="55"/>
      <c r="HL39" s="55"/>
      <c r="HM39" s="55"/>
      <c r="HN39" s="55"/>
      <c r="HO39" s="55"/>
      <c r="HP39" s="55"/>
      <c r="HQ39" s="55"/>
      <c r="HR39" s="55"/>
      <c r="HS39" s="55"/>
      <c r="HT39" s="55"/>
      <c r="HU39" s="55"/>
      <c r="HV39" s="55"/>
      <c r="HW39" s="55"/>
      <c r="HX39" s="55"/>
      <c r="HY39" s="55"/>
      <c r="HZ39" s="55"/>
      <c r="IA39" s="55"/>
      <c r="IB39" s="55"/>
    </row>
    <row r="40" spans="1:236" ht="25.5" x14ac:dyDescent="0.2">
      <c r="A40" s="63" t="s">
        <v>295</v>
      </c>
      <c r="B40" s="44" t="s">
        <v>1071</v>
      </c>
      <c r="C40" s="45" t="s">
        <v>196</v>
      </c>
      <c r="D40" s="451"/>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c r="BJ40" s="55"/>
      <c r="BK40" s="55"/>
      <c r="BL40" s="55"/>
      <c r="BM40" s="55"/>
      <c r="BN40" s="55"/>
      <c r="BO40" s="55"/>
      <c r="BP40" s="55"/>
      <c r="BQ40" s="55"/>
      <c r="BR40" s="55"/>
      <c r="BS40" s="55"/>
      <c r="BT40" s="55"/>
      <c r="BU40" s="55"/>
      <c r="BV40" s="55"/>
      <c r="BW40" s="55"/>
      <c r="BX40" s="55"/>
      <c r="BY40" s="55"/>
      <c r="BZ40" s="55"/>
      <c r="CA40" s="55"/>
      <c r="CB40" s="55"/>
      <c r="CC40" s="55"/>
      <c r="CD40" s="55"/>
      <c r="CE40" s="55"/>
      <c r="CF40" s="55"/>
      <c r="CG40" s="55"/>
      <c r="CH40" s="55"/>
      <c r="CI40" s="55"/>
      <c r="CJ40" s="55"/>
      <c r="CK40" s="55"/>
      <c r="CL40" s="55"/>
      <c r="CM40" s="55"/>
      <c r="CN40" s="55"/>
      <c r="CO40" s="55"/>
      <c r="CP40" s="55"/>
      <c r="CQ40" s="55"/>
      <c r="CR40" s="55"/>
      <c r="CS40" s="55"/>
      <c r="CT40" s="55"/>
      <c r="CU40" s="55"/>
      <c r="CV40" s="55"/>
      <c r="CW40" s="55"/>
      <c r="CX40" s="55"/>
      <c r="CY40" s="55"/>
      <c r="CZ40" s="55"/>
      <c r="DA40" s="55"/>
      <c r="DB40" s="55"/>
      <c r="DC40" s="55"/>
      <c r="DD40" s="55"/>
      <c r="DE40" s="55"/>
      <c r="DF40" s="55"/>
      <c r="DG40" s="55"/>
      <c r="DH40" s="55"/>
      <c r="DI40" s="55"/>
      <c r="DJ40" s="55"/>
      <c r="DK40" s="55"/>
      <c r="DL40" s="55"/>
      <c r="DM40" s="55"/>
      <c r="DN40" s="55"/>
      <c r="DO40" s="55"/>
      <c r="DP40" s="55"/>
      <c r="DQ40" s="55"/>
      <c r="DR40" s="55"/>
      <c r="DS40" s="55"/>
      <c r="DT40" s="55"/>
      <c r="DU40" s="55"/>
      <c r="DV40" s="55"/>
      <c r="DW40" s="55"/>
      <c r="DX40" s="55"/>
      <c r="DY40" s="55"/>
      <c r="DZ40" s="55"/>
      <c r="EA40" s="55"/>
      <c r="EB40" s="55"/>
      <c r="EC40" s="55"/>
      <c r="ED40" s="55"/>
      <c r="EE40" s="55"/>
      <c r="EF40" s="55"/>
      <c r="EG40" s="55"/>
      <c r="EH40" s="55"/>
      <c r="EI40" s="55"/>
      <c r="EJ40" s="55"/>
      <c r="EK40" s="55"/>
      <c r="EL40" s="55"/>
      <c r="EM40" s="55"/>
      <c r="EN40" s="55"/>
      <c r="EO40" s="55"/>
      <c r="EP40" s="55"/>
      <c r="EQ40" s="55"/>
      <c r="ER40" s="55"/>
      <c r="ES40" s="55"/>
      <c r="ET40" s="55"/>
      <c r="EU40" s="55"/>
      <c r="EV40" s="55"/>
      <c r="EW40" s="55"/>
      <c r="EX40" s="55"/>
      <c r="EY40" s="55"/>
      <c r="EZ40" s="55"/>
      <c r="FA40" s="55"/>
      <c r="FB40" s="55"/>
      <c r="FC40" s="55"/>
      <c r="FD40" s="55"/>
      <c r="FE40" s="55"/>
      <c r="FF40" s="55"/>
      <c r="FG40" s="55"/>
      <c r="FH40" s="55"/>
      <c r="FI40" s="55"/>
      <c r="FJ40" s="55"/>
      <c r="FK40" s="55"/>
      <c r="FL40" s="55"/>
      <c r="FM40" s="55"/>
      <c r="FN40" s="55"/>
      <c r="FO40" s="55"/>
      <c r="FP40" s="55"/>
      <c r="FQ40" s="55"/>
      <c r="FR40" s="55"/>
      <c r="FS40" s="55"/>
      <c r="FT40" s="55"/>
      <c r="FU40" s="55"/>
      <c r="FV40" s="55"/>
      <c r="FW40" s="55"/>
      <c r="FX40" s="55"/>
      <c r="FY40" s="55"/>
      <c r="FZ40" s="55"/>
      <c r="GA40" s="55"/>
      <c r="GB40" s="55"/>
      <c r="GC40" s="55"/>
      <c r="GD40" s="55"/>
      <c r="GE40" s="55"/>
      <c r="GF40" s="55"/>
      <c r="GG40" s="55"/>
      <c r="GH40" s="55"/>
      <c r="GI40" s="55"/>
      <c r="GJ40" s="55"/>
      <c r="GK40" s="55"/>
      <c r="GL40" s="55"/>
      <c r="GM40" s="55"/>
      <c r="GN40" s="55"/>
      <c r="GO40" s="55"/>
      <c r="GP40" s="55"/>
      <c r="GQ40" s="55"/>
      <c r="GR40" s="55"/>
      <c r="GS40" s="55"/>
      <c r="GT40" s="55"/>
      <c r="GU40" s="55"/>
      <c r="GV40" s="55"/>
      <c r="GW40" s="55"/>
      <c r="GX40" s="55"/>
      <c r="GY40" s="55"/>
      <c r="GZ40" s="55"/>
      <c r="HA40" s="55"/>
      <c r="HB40" s="55"/>
      <c r="HC40" s="55"/>
      <c r="HD40" s="55"/>
      <c r="HE40" s="55"/>
      <c r="HF40" s="55"/>
      <c r="HG40" s="55"/>
      <c r="HH40" s="55"/>
      <c r="HI40" s="55"/>
      <c r="HJ40" s="55"/>
      <c r="HK40" s="55"/>
      <c r="HL40" s="55"/>
      <c r="HM40" s="55"/>
      <c r="HN40" s="55"/>
      <c r="HO40" s="55"/>
      <c r="HP40" s="55"/>
      <c r="HQ40" s="55"/>
      <c r="HR40" s="55"/>
      <c r="HS40" s="55"/>
      <c r="HT40" s="55"/>
      <c r="HU40" s="55"/>
      <c r="HV40" s="55"/>
      <c r="HW40" s="55"/>
      <c r="HX40" s="55"/>
      <c r="HY40" s="55"/>
      <c r="HZ40" s="55"/>
      <c r="IA40" s="55"/>
      <c r="IB40" s="55"/>
    </row>
    <row r="41" spans="1:236" ht="15" customHeight="1" x14ac:dyDescent="0.2">
      <c r="A41" s="63" t="s">
        <v>296</v>
      </c>
      <c r="B41" s="44" t="s">
        <v>215</v>
      </c>
      <c r="C41" s="45" t="s">
        <v>255</v>
      </c>
      <c r="D41" s="451"/>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c r="BJ41" s="55"/>
      <c r="BK41" s="55"/>
      <c r="BL41" s="55"/>
      <c r="BM41" s="55"/>
      <c r="BN41" s="55"/>
      <c r="BO41" s="55"/>
      <c r="BP41" s="55"/>
      <c r="BQ41" s="55"/>
      <c r="BR41" s="55"/>
      <c r="BS41" s="55"/>
      <c r="BT41" s="55"/>
      <c r="BU41" s="55"/>
      <c r="BV41" s="55"/>
      <c r="BW41" s="55"/>
      <c r="BX41" s="55"/>
      <c r="BY41" s="55"/>
      <c r="BZ41" s="55"/>
      <c r="CA41" s="55"/>
      <c r="CB41" s="55"/>
      <c r="CC41" s="55"/>
      <c r="CD41" s="55"/>
      <c r="CE41" s="55"/>
      <c r="CF41" s="55"/>
      <c r="CG41" s="55"/>
      <c r="CH41" s="55"/>
      <c r="CI41" s="55"/>
      <c r="CJ41" s="55"/>
      <c r="CK41" s="55"/>
      <c r="CL41" s="55"/>
      <c r="CM41" s="55"/>
      <c r="CN41" s="55"/>
      <c r="CO41" s="55"/>
      <c r="CP41" s="55"/>
      <c r="CQ41" s="55"/>
      <c r="CR41" s="55"/>
      <c r="CS41" s="55"/>
      <c r="CT41" s="55"/>
      <c r="CU41" s="55"/>
      <c r="CV41" s="55"/>
      <c r="CW41" s="55"/>
      <c r="CX41" s="55"/>
      <c r="CY41" s="55"/>
      <c r="CZ41" s="55"/>
      <c r="DA41" s="55"/>
      <c r="DB41" s="55"/>
      <c r="DC41" s="55"/>
      <c r="DD41" s="55"/>
      <c r="DE41" s="55"/>
      <c r="DF41" s="55"/>
      <c r="DG41" s="55"/>
      <c r="DH41" s="55"/>
      <c r="DI41" s="55"/>
      <c r="DJ41" s="55"/>
      <c r="DK41" s="55"/>
      <c r="DL41" s="55"/>
      <c r="DM41" s="55"/>
      <c r="DN41" s="55"/>
      <c r="DO41" s="55"/>
      <c r="DP41" s="55"/>
      <c r="DQ41" s="55"/>
      <c r="DR41" s="55"/>
      <c r="DS41" s="55"/>
      <c r="DT41" s="55"/>
      <c r="DU41" s="55"/>
      <c r="DV41" s="55"/>
      <c r="DW41" s="55"/>
      <c r="DX41" s="55"/>
      <c r="DY41" s="55"/>
      <c r="DZ41" s="55"/>
      <c r="EA41" s="55"/>
      <c r="EB41" s="55"/>
      <c r="EC41" s="55"/>
      <c r="ED41" s="55"/>
      <c r="EE41" s="55"/>
      <c r="EF41" s="55"/>
      <c r="EG41" s="55"/>
      <c r="EH41" s="55"/>
      <c r="EI41" s="55"/>
      <c r="EJ41" s="55"/>
      <c r="EK41" s="55"/>
      <c r="EL41" s="55"/>
      <c r="EM41" s="55"/>
      <c r="EN41" s="55"/>
      <c r="EO41" s="55"/>
      <c r="EP41" s="55"/>
      <c r="EQ41" s="55"/>
      <c r="ER41" s="55"/>
      <c r="ES41" s="55"/>
      <c r="ET41" s="55"/>
      <c r="EU41" s="55"/>
      <c r="EV41" s="55"/>
      <c r="EW41" s="55"/>
      <c r="EX41" s="55"/>
      <c r="EY41" s="55"/>
      <c r="EZ41" s="55"/>
      <c r="FA41" s="55"/>
      <c r="FB41" s="55"/>
      <c r="FC41" s="55"/>
      <c r="FD41" s="55"/>
      <c r="FE41" s="55"/>
      <c r="FF41" s="55"/>
      <c r="FG41" s="55"/>
      <c r="FH41" s="55"/>
      <c r="FI41" s="55"/>
      <c r="FJ41" s="55"/>
      <c r="FK41" s="55"/>
      <c r="FL41" s="55"/>
      <c r="FM41" s="55"/>
      <c r="FN41" s="55"/>
      <c r="FO41" s="55"/>
      <c r="FP41" s="55"/>
      <c r="FQ41" s="55"/>
      <c r="FR41" s="55"/>
      <c r="FS41" s="55"/>
      <c r="FT41" s="55"/>
      <c r="FU41" s="55"/>
      <c r="FV41" s="55"/>
      <c r="FW41" s="55"/>
      <c r="FX41" s="55"/>
      <c r="FY41" s="55"/>
      <c r="FZ41" s="55"/>
      <c r="GA41" s="55"/>
      <c r="GB41" s="55"/>
      <c r="GC41" s="55"/>
      <c r="GD41" s="55"/>
      <c r="GE41" s="55"/>
      <c r="GF41" s="55"/>
      <c r="GG41" s="55"/>
      <c r="GH41" s="55"/>
      <c r="GI41" s="55"/>
      <c r="GJ41" s="55"/>
      <c r="GK41" s="55"/>
      <c r="GL41" s="55"/>
      <c r="GM41" s="55"/>
      <c r="GN41" s="55"/>
      <c r="GO41" s="55"/>
      <c r="GP41" s="55"/>
      <c r="GQ41" s="55"/>
      <c r="GR41" s="55"/>
      <c r="GS41" s="55"/>
      <c r="GT41" s="55"/>
      <c r="GU41" s="55"/>
      <c r="GV41" s="55"/>
      <c r="GW41" s="55"/>
      <c r="GX41" s="55"/>
      <c r="GY41" s="55"/>
      <c r="GZ41" s="55"/>
      <c r="HA41" s="55"/>
      <c r="HB41" s="55"/>
      <c r="HC41" s="55"/>
      <c r="HD41" s="55"/>
      <c r="HE41" s="55"/>
      <c r="HF41" s="55"/>
      <c r="HG41" s="55"/>
      <c r="HH41" s="55"/>
      <c r="HI41" s="55"/>
      <c r="HJ41" s="55"/>
      <c r="HK41" s="55"/>
      <c r="HL41" s="55"/>
      <c r="HM41" s="55"/>
      <c r="HN41" s="55"/>
      <c r="HO41" s="55"/>
      <c r="HP41" s="55"/>
      <c r="HQ41" s="55"/>
      <c r="HR41" s="55"/>
      <c r="HS41" s="55"/>
      <c r="HT41" s="55"/>
      <c r="HU41" s="55"/>
      <c r="HV41" s="55"/>
      <c r="HW41" s="55"/>
      <c r="HX41" s="55"/>
      <c r="HY41" s="55"/>
      <c r="HZ41" s="55"/>
      <c r="IA41" s="55"/>
      <c r="IB41" s="55"/>
    </row>
    <row r="42" spans="1:236" ht="15" customHeight="1" x14ac:dyDescent="0.2">
      <c r="A42" s="63" t="s">
        <v>297</v>
      </c>
      <c r="B42" s="44" t="s">
        <v>704</v>
      </c>
      <c r="C42" s="45" t="s">
        <v>479</v>
      </c>
      <c r="D42" s="451"/>
      <c r="E42" s="55"/>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c r="BF42" s="55"/>
      <c r="BG42" s="55"/>
      <c r="BH42" s="55"/>
      <c r="BI42" s="55"/>
      <c r="BJ42" s="55"/>
      <c r="BK42" s="55"/>
      <c r="BL42" s="55"/>
      <c r="BM42" s="55"/>
      <c r="BN42" s="55"/>
      <c r="BO42" s="55"/>
      <c r="BP42" s="55"/>
      <c r="BQ42" s="55"/>
      <c r="BR42" s="55"/>
      <c r="BS42" s="55"/>
      <c r="BT42" s="55"/>
      <c r="BU42" s="55"/>
      <c r="BV42" s="55"/>
      <c r="BW42" s="55"/>
      <c r="BX42" s="55"/>
      <c r="BY42" s="55"/>
      <c r="BZ42" s="55"/>
      <c r="CA42" s="55"/>
      <c r="CB42" s="55"/>
      <c r="CC42" s="55"/>
      <c r="CD42" s="55"/>
      <c r="CE42" s="55"/>
      <c r="CF42" s="55"/>
      <c r="CG42" s="55"/>
      <c r="CH42" s="55"/>
      <c r="CI42" s="55"/>
      <c r="CJ42" s="55"/>
      <c r="CK42" s="55"/>
      <c r="CL42" s="55"/>
      <c r="CM42" s="55"/>
      <c r="CN42" s="55"/>
      <c r="CO42" s="55"/>
      <c r="CP42" s="55"/>
      <c r="CQ42" s="55"/>
      <c r="CR42" s="55"/>
      <c r="CS42" s="55"/>
      <c r="CT42" s="55"/>
      <c r="CU42" s="55"/>
      <c r="CV42" s="55"/>
      <c r="CW42" s="55"/>
      <c r="CX42" s="55"/>
      <c r="CY42" s="55"/>
      <c r="CZ42" s="55"/>
      <c r="DA42" s="55"/>
      <c r="DB42" s="55"/>
      <c r="DC42" s="55"/>
      <c r="DD42" s="55"/>
      <c r="DE42" s="55"/>
      <c r="DF42" s="55"/>
      <c r="DG42" s="55"/>
      <c r="DH42" s="55"/>
      <c r="DI42" s="55"/>
      <c r="DJ42" s="55"/>
      <c r="DK42" s="55"/>
      <c r="DL42" s="55"/>
      <c r="DM42" s="55"/>
      <c r="DN42" s="55"/>
      <c r="DO42" s="55"/>
      <c r="DP42" s="55"/>
      <c r="DQ42" s="55"/>
      <c r="DR42" s="55"/>
      <c r="DS42" s="55"/>
      <c r="DT42" s="55"/>
      <c r="DU42" s="55"/>
      <c r="DV42" s="55"/>
      <c r="DW42" s="55"/>
      <c r="DX42" s="55"/>
      <c r="DY42" s="55"/>
      <c r="DZ42" s="55"/>
      <c r="EA42" s="55"/>
      <c r="EB42" s="55"/>
      <c r="EC42" s="55"/>
      <c r="ED42" s="55"/>
      <c r="EE42" s="55"/>
      <c r="EF42" s="55"/>
      <c r="EG42" s="55"/>
      <c r="EH42" s="55"/>
      <c r="EI42" s="55"/>
      <c r="EJ42" s="55"/>
      <c r="EK42" s="55"/>
      <c r="EL42" s="55"/>
      <c r="EM42" s="55"/>
      <c r="EN42" s="55"/>
      <c r="EO42" s="55"/>
      <c r="EP42" s="55"/>
      <c r="EQ42" s="55"/>
      <c r="ER42" s="55"/>
      <c r="ES42" s="55"/>
      <c r="ET42" s="55"/>
      <c r="EU42" s="55"/>
      <c r="EV42" s="55"/>
      <c r="EW42" s="55"/>
      <c r="EX42" s="55"/>
      <c r="EY42" s="55"/>
      <c r="EZ42" s="55"/>
      <c r="FA42" s="55"/>
      <c r="FB42" s="55"/>
      <c r="FC42" s="55"/>
      <c r="FD42" s="55"/>
      <c r="FE42" s="55"/>
      <c r="FF42" s="55"/>
      <c r="FG42" s="55"/>
      <c r="FH42" s="55"/>
      <c r="FI42" s="55"/>
      <c r="FJ42" s="55"/>
      <c r="FK42" s="55"/>
      <c r="FL42" s="55"/>
      <c r="FM42" s="55"/>
      <c r="FN42" s="55"/>
      <c r="FO42" s="55"/>
      <c r="FP42" s="55"/>
      <c r="FQ42" s="55"/>
      <c r="FR42" s="55"/>
      <c r="FS42" s="55"/>
      <c r="FT42" s="55"/>
      <c r="FU42" s="55"/>
      <c r="FV42" s="55"/>
      <c r="FW42" s="55"/>
      <c r="FX42" s="55"/>
      <c r="FY42" s="55"/>
      <c r="FZ42" s="55"/>
      <c r="GA42" s="55"/>
      <c r="GB42" s="55"/>
      <c r="GC42" s="55"/>
      <c r="GD42" s="55"/>
      <c r="GE42" s="55"/>
      <c r="GF42" s="55"/>
      <c r="GG42" s="55"/>
      <c r="GH42" s="55"/>
      <c r="GI42" s="55"/>
      <c r="GJ42" s="55"/>
      <c r="GK42" s="55"/>
      <c r="GL42" s="55"/>
      <c r="GM42" s="55"/>
      <c r="GN42" s="55"/>
      <c r="GO42" s="55"/>
      <c r="GP42" s="55"/>
      <c r="GQ42" s="55"/>
      <c r="GR42" s="55"/>
      <c r="GS42" s="55"/>
      <c r="GT42" s="55"/>
      <c r="GU42" s="55"/>
      <c r="GV42" s="55"/>
      <c r="GW42" s="55"/>
      <c r="GX42" s="55"/>
      <c r="GY42" s="55"/>
      <c r="GZ42" s="55"/>
      <c r="HA42" s="55"/>
      <c r="HB42" s="55"/>
      <c r="HC42" s="55"/>
      <c r="HD42" s="55"/>
      <c r="HE42" s="55"/>
      <c r="HF42" s="55"/>
      <c r="HG42" s="55"/>
      <c r="HH42" s="55"/>
      <c r="HI42" s="55"/>
      <c r="HJ42" s="55"/>
      <c r="HK42" s="55"/>
      <c r="HL42" s="55"/>
      <c r="HM42" s="55"/>
      <c r="HN42" s="55"/>
      <c r="HO42" s="55"/>
      <c r="HP42" s="55"/>
      <c r="HQ42" s="55"/>
      <c r="HR42" s="55"/>
      <c r="HS42" s="55"/>
      <c r="HT42" s="55"/>
      <c r="HU42" s="55"/>
      <c r="HV42" s="55"/>
      <c r="HW42" s="55"/>
      <c r="HX42" s="55"/>
      <c r="HY42" s="55"/>
      <c r="HZ42" s="55"/>
      <c r="IA42" s="55"/>
      <c r="IB42" s="55"/>
    </row>
    <row r="43" spans="1:236" ht="15" customHeight="1" x14ac:dyDescent="0.2">
      <c r="A43" s="63" t="s">
        <v>298</v>
      </c>
      <c r="B43" s="46" t="s">
        <v>434</v>
      </c>
      <c r="C43" s="45" t="s">
        <v>160</v>
      </c>
      <c r="D43" s="451"/>
      <c r="E43" s="55"/>
      <c r="F43" s="55"/>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c r="BF43" s="55"/>
      <c r="BG43" s="55"/>
      <c r="BH43" s="55"/>
      <c r="BI43" s="55"/>
      <c r="BJ43" s="55"/>
      <c r="BK43" s="55"/>
      <c r="BL43" s="55"/>
      <c r="BM43" s="55"/>
      <c r="BN43" s="55"/>
      <c r="BO43" s="55"/>
      <c r="BP43" s="55"/>
      <c r="BQ43" s="55"/>
      <c r="BR43" s="55"/>
      <c r="BS43" s="55"/>
      <c r="BT43" s="55"/>
      <c r="BU43" s="55"/>
      <c r="BV43" s="55"/>
      <c r="BW43" s="55"/>
      <c r="BX43" s="55"/>
      <c r="BY43" s="55"/>
      <c r="BZ43" s="55"/>
      <c r="CA43" s="55"/>
      <c r="CB43" s="55"/>
      <c r="CC43" s="55"/>
      <c r="CD43" s="55"/>
      <c r="CE43" s="55"/>
      <c r="CF43" s="55"/>
      <c r="CG43" s="55"/>
      <c r="CH43" s="55"/>
      <c r="CI43" s="55"/>
      <c r="CJ43" s="55"/>
      <c r="CK43" s="55"/>
      <c r="CL43" s="55"/>
      <c r="CM43" s="55"/>
      <c r="CN43" s="55"/>
      <c r="CO43" s="55"/>
      <c r="CP43" s="55"/>
      <c r="CQ43" s="55"/>
      <c r="CR43" s="55"/>
      <c r="CS43" s="55"/>
      <c r="CT43" s="55"/>
      <c r="CU43" s="55"/>
      <c r="CV43" s="55"/>
      <c r="CW43" s="55"/>
      <c r="CX43" s="55"/>
      <c r="CY43" s="55"/>
      <c r="CZ43" s="55"/>
      <c r="DA43" s="55"/>
      <c r="DB43" s="55"/>
      <c r="DC43" s="55"/>
      <c r="DD43" s="55"/>
      <c r="DE43" s="55"/>
      <c r="DF43" s="55"/>
      <c r="DG43" s="55"/>
      <c r="DH43" s="55"/>
      <c r="DI43" s="55"/>
      <c r="DJ43" s="55"/>
      <c r="DK43" s="55"/>
      <c r="DL43" s="55"/>
      <c r="DM43" s="55"/>
      <c r="DN43" s="55"/>
      <c r="DO43" s="55"/>
      <c r="DP43" s="55"/>
      <c r="DQ43" s="55"/>
      <c r="DR43" s="55"/>
      <c r="DS43" s="55"/>
      <c r="DT43" s="55"/>
      <c r="DU43" s="55"/>
      <c r="DV43" s="55"/>
      <c r="DW43" s="55"/>
      <c r="DX43" s="55"/>
      <c r="DY43" s="55"/>
      <c r="DZ43" s="55"/>
      <c r="EA43" s="55"/>
      <c r="EB43" s="55"/>
      <c r="EC43" s="55"/>
      <c r="ED43" s="55"/>
      <c r="EE43" s="55"/>
      <c r="EF43" s="55"/>
      <c r="EG43" s="55"/>
      <c r="EH43" s="55"/>
      <c r="EI43" s="55"/>
      <c r="EJ43" s="55"/>
      <c r="EK43" s="55"/>
      <c r="EL43" s="55"/>
      <c r="EM43" s="55"/>
      <c r="EN43" s="55"/>
      <c r="EO43" s="55"/>
      <c r="EP43" s="55"/>
      <c r="EQ43" s="55"/>
      <c r="ER43" s="55"/>
      <c r="ES43" s="55"/>
      <c r="ET43" s="55"/>
      <c r="EU43" s="55"/>
      <c r="EV43" s="55"/>
      <c r="EW43" s="55"/>
      <c r="EX43" s="55"/>
      <c r="EY43" s="55"/>
      <c r="EZ43" s="55"/>
      <c r="FA43" s="55"/>
      <c r="FB43" s="55"/>
      <c r="FC43" s="55"/>
      <c r="FD43" s="55"/>
      <c r="FE43" s="55"/>
      <c r="FF43" s="55"/>
      <c r="FG43" s="55"/>
      <c r="FH43" s="55"/>
      <c r="FI43" s="55"/>
      <c r="FJ43" s="55"/>
      <c r="FK43" s="55"/>
      <c r="FL43" s="55"/>
      <c r="FM43" s="55"/>
      <c r="FN43" s="55"/>
      <c r="FO43" s="55"/>
      <c r="FP43" s="55"/>
      <c r="FQ43" s="55"/>
      <c r="FR43" s="55"/>
      <c r="FS43" s="55"/>
      <c r="FT43" s="55"/>
      <c r="FU43" s="55"/>
      <c r="FV43" s="55"/>
      <c r="FW43" s="55"/>
      <c r="FX43" s="55"/>
      <c r="FY43" s="55"/>
      <c r="FZ43" s="55"/>
      <c r="GA43" s="55"/>
      <c r="GB43" s="55"/>
      <c r="GC43" s="55"/>
      <c r="GD43" s="55"/>
      <c r="GE43" s="55"/>
      <c r="GF43" s="55"/>
      <c r="GG43" s="55"/>
      <c r="GH43" s="55"/>
      <c r="GI43" s="55"/>
      <c r="GJ43" s="55"/>
      <c r="GK43" s="55"/>
      <c r="GL43" s="55"/>
      <c r="GM43" s="55"/>
      <c r="GN43" s="55"/>
      <c r="GO43" s="55"/>
      <c r="GP43" s="55"/>
      <c r="GQ43" s="55"/>
      <c r="GR43" s="55"/>
      <c r="GS43" s="55"/>
      <c r="GT43" s="55"/>
      <c r="GU43" s="55"/>
      <c r="GV43" s="55"/>
      <c r="GW43" s="55"/>
      <c r="GX43" s="55"/>
      <c r="GY43" s="55"/>
      <c r="GZ43" s="55"/>
      <c r="HA43" s="55"/>
      <c r="HB43" s="55"/>
      <c r="HC43" s="55"/>
      <c r="HD43" s="55"/>
      <c r="HE43" s="55"/>
      <c r="HF43" s="55"/>
      <c r="HG43" s="55"/>
      <c r="HH43" s="55"/>
      <c r="HI43" s="55"/>
      <c r="HJ43" s="55"/>
      <c r="HK43" s="55"/>
      <c r="HL43" s="55"/>
      <c r="HM43" s="55"/>
      <c r="HN43" s="55"/>
      <c r="HO43" s="55"/>
      <c r="HP43" s="55"/>
      <c r="HQ43" s="55"/>
      <c r="HR43" s="55"/>
      <c r="HS43" s="55"/>
      <c r="HT43" s="55"/>
      <c r="HU43" s="55"/>
      <c r="HV43" s="55"/>
      <c r="HW43" s="55"/>
      <c r="HX43" s="55"/>
      <c r="HY43" s="55"/>
      <c r="HZ43" s="55"/>
      <c r="IA43" s="55"/>
      <c r="IB43" s="55"/>
    </row>
    <row r="44" spans="1:236" ht="15" customHeight="1" x14ac:dyDescent="0.2">
      <c r="A44" s="63" t="s">
        <v>299</v>
      </c>
      <c r="B44" s="44" t="s">
        <v>722</v>
      </c>
      <c r="C44" s="45" t="s">
        <v>198</v>
      </c>
      <c r="D44" s="451"/>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c r="CG44" s="55"/>
      <c r="CH44" s="55"/>
      <c r="CI44" s="55"/>
      <c r="CJ44" s="55"/>
      <c r="CK44" s="55"/>
      <c r="CL44" s="55"/>
      <c r="CM44" s="55"/>
      <c r="CN44" s="55"/>
      <c r="CO44" s="55"/>
      <c r="CP44" s="55"/>
      <c r="CQ44" s="55"/>
      <c r="CR44" s="55"/>
      <c r="CS44" s="55"/>
      <c r="CT44" s="55"/>
      <c r="CU44" s="55"/>
      <c r="CV44" s="55"/>
      <c r="CW44" s="55"/>
      <c r="CX44" s="55"/>
      <c r="CY44" s="55"/>
      <c r="CZ44" s="55"/>
      <c r="DA44" s="55"/>
      <c r="DB44" s="55"/>
      <c r="DC44" s="55"/>
      <c r="DD44" s="55"/>
      <c r="DE44" s="55"/>
      <c r="DF44" s="55"/>
      <c r="DG44" s="55"/>
      <c r="DH44" s="55"/>
      <c r="DI44" s="55"/>
      <c r="DJ44" s="55"/>
      <c r="DK44" s="55"/>
      <c r="DL44" s="55"/>
      <c r="DM44" s="55"/>
      <c r="DN44" s="55"/>
      <c r="DO44" s="55"/>
      <c r="DP44" s="55"/>
      <c r="DQ44" s="55"/>
      <c r="DR44" s="55"/>
      <c r="DS44" s="55"/>
      <c r="DT44" s="55"/>
      <c r="DU44" s="55"/>
      <c r="DV44" s="55"/>
      <c r="DW44" s="55"/>
      <c r="DX44" s="55"/>
      <c r="DY44" s="55"/>
      <c r="DZ44" s="55"/>
      <c r="EA44" s="55"/>
      <c r="EB44" s="55"/>
      <c r="EC44" s="55"/>
      <c r="ED44" s="55"/>
      <c r="EE44" s="55"/>
      <c r="EF44" s="55"/>
      <c r="EG44" s="55"/>
      <c r="EH44" s="55"/>
      <c r="EI44" s="55"/>
      <c r="EJ44" s="55"/>
      <c r="EK44" s="55"/>
      <c r="EL44" s="55"/>
      <c r="EM44" s="55"/>
      <c r="EN44" s="55"/>
      <c r="EO44" s="55"/>
      <c r="EP44" s="55"/>
      <c r="EQ44" s="55"/>
      <c r="ER44" s="55"/>
      <c r="ES44" s="55"/>
      <c r="ET44" s="55"/>
      <c r="EU44" s="55"/>
      <c r="EV44" s="55"/>
      <c r="EW44" s="55"/>
      <c r="EX44" s="55"/>
      <c r="EY44" s="55"/>
      <c r="EZ44" s="55"/>
      <c r="FA44" s="55"/>
      <c r="FB44" s="55"/>
      <c r="FC44" s="55"/>
      <c r="FD44" s="55"/>
      <c r="FE44" s="55"/>
      <c r="FF44" s="55"/>
      <c r="FG44" s="55"/>
      <c r="FH44" s="55"/>
      <c r="FI44" s="55"/>
      <c r="FJ44" s="55"/>
      <c r="FK44" s="55"/>
      <c r="FL44" s="55"/>
      <c r="FM44" s="55"/>
      <c r="FN44" s="55"/>
      <c r="FO44" s="55"/>
      <c r="FP44" s="55"/>
      <c r="FQ44" s="55"/>
      <c r="FR44" s="55"/>
      <c r="FS44" s="55"/>
      <c r="FT44" s="55"/>
      <c r="FU44" s="55"/>
      <c r="FV44" s="55"/>
      <c r="FW44" s="55"/>
      <c r="FX44" s="55"/>
      <c r="FY44" s="55"/>
      <c r="FZ44" s="55"/>
      <c r="GA44" s="55"/>
      <c r="GB44" s="55"/>
      <c r="GC44" s="55"/>
      <c r="GD44" s="55"/>
      <c r="GE44" s="55"/>
      <c r="GF44" s="55"/>
      <c r="GG44" s="55"/>
      <c r="GH44" s="55"/>
      <c r="GI44" s="55"/>
      <c r="GJ44" s="55"/>
      <c r="GK44" s="55"/>
      <c r="GL44" s="55"/>
      <c r="GM44" s="55"/>
      <c r="GN44" s="55"/>
      <c r="GO44" s="55"/>
      <c r="GP44" s="55"/>
      <c r="GQ44" s="55"/>
      <c r="GR44" s="55"/>
      <c r="GS44" s="55"/>
      <c r="GT44" s="55"/>
      <c r="GU44" s="55"/>
      <c r="GV44" s="55"/>
      <c r="GW44" s="55"/>
      <c r="GX44" s="55"/>
      <c r="GY44" s="55"/>
      <c r="GZ44" s="55"/>
      <c r="HA44" s="55"/>
      <c r="HB44" s="55"/>
      <c r="HC44" s="55"/>
      <c r="HD44" s="55"/>
      <c r="HE44" s="55"/>
      <c r="HF44" s="55"/>
      <c r="HG44" s="55"/>
      <c r="HH44" s="55"/>
      <c r="HI44" s="55"/>
      <c r="HJ44" s="55"/>
      <c r="HK44" s="55"/>
      <c r="HL44" s="55"/>
      <c r="HM44" s="55"/>
      <c r="HN44" s="55"/>
      <c r="HO44" s="55"/>
      <c r="HP44" s="55"/>
      <c r="HQ44" s="55"/>
      <c r="HR44" s="55"/>
      <c r="HS44" s="55"/>
      <c r="HT44" s="55"/>
      <c r="HU44" s="55"/>
      <c r="HV44" s="55"/>
      <c r="HW44" s="55"/>
      <c r="HX44" s="55"/>
      <c r="HY44" s="55"/>
      <c r="HZ44" s="55"/>
      <c r="IA44" s="55"/>
      <c r="IB44" s="55"/>
    </row>
    <row r="45" spans="1:236" ht="15" customHeight="1" x14ac:dyDescent="0.2">
      <c r="A45" s="63" t="s">
        <v>300</v>
      </c>
      <c r="B45" s="44" t="s">
        <v>435</v>
      </c>
      <c r="C45" s="45" t="s">
        <v>198</v>
      </c>
      <c r="D45" s="451"/>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c r="BF45" s="55"/>
      <c r="BG45" s="55"/>
      <c r="BH45" s="55"/>
      <c r="BI45" s="55"/>
      <c r="BJ45" s="55"/>
      <c r="BK45" s="55"/>
      <c r="BL45" s="55"/>
      <c r="BM45" s="55"/>
      <c r="BN45" s="55"/>
      <c r="BO45" s="55"/>
      <c r="BP45" s="55"/>
      <c r="BQ45" s="55"/>
      <c r="BR45" s="55"/>
      <c r="BS45" s="55"/>
      <c r="BT45" s="55"/>
      <c r="BU45" s="55"/>
      <c r="BV45" s="55"/>
      <c r="BW45" s="55"/>
      <c r="BX45" s="55"/>
      <c r="BY45" s="55"/>
      <c r="BZ45" s="55"/>
      <c r="CA45" s="55"/>
      <c r="CB45" s="55"/>
      <c r="CC45" s="55"/>
      <c r="CD45" s="55"/>
      <c r="CE45" s="55"/>
      <c r="CF45" s="55"/>
      <c r="CG45" s="55"/>
      <c r="CH45" s="55"/>
      <c r="CI45" s="55"/>
      <c r="CJ45" s="55"/>
      <c r="CK45" s="55"/>
      <c r="CL45" s="55"/>
      <c r="CM45" s="55"/>
      <c r="CN45" s="55"/>
      <c r="CO45" s="55"/>
      <c r="CP45" s="55"/>
      <c r="CQ45" s="55"/>
      <c r="CR45" s="55"/>
      <c r="CS45" s="55"/>
      <c r="CT45" s="55"/>
      <c r="CU45" s="55"/>
      <c r="CV45" s="55"/>
      <c r="CW45" s="55"/>
      <c r="CX45" s="55"/>
      <c r="CY45" s="55"/>
      <c r="CZ45" s="55"/>
      <c r="DA45" s="55"/>
      <c r="DB45" s="55"/>
      <c r="DC45" s="55"/>
      <c r="DD45" s="55"/>
      <c r="DE45" s="55"/>
      <c r="DF45" s="55"/>
      <c r="DG45" s="55"/>
      <c r="DH45" s="55"/>
      <c r="DI45" s="55"/>
      <c r="DJ45" s="55"/>
      <c r="DK45" s="55"/>
      <c r="DL45" s="55"/>
      <c r="DM45" s="55"/>
      <c r="DN45" s="55"/>
      <c r="DO45" s="55"/>
      <c r="DP45" s="55"/>
      <c r="DQ45" s="55"/>
      <c r="DR45" s="55"/>
      <c r="DS45" s="55"/>
      <c r="DT45" s="55"/>
      <c r="DU45" s="55"/>
      <c r="DV45" s="55"/>
      <c r="DW45" s="55"/>
      <c r="DX45" s="55"/>
      <c r="DY45" s="55"/>
      <c r="DZ45" s="55"/>
      <c r="EA45" s="55"/>
      <c r="EB45" s="55"/>
      <c r="EC45" s="55"/>
      <c r="ED45" s="55"/>
      <c r="EE45" s="55"/>
      <c r="EF45" s="55"/>
      <c r="EG45" s="55"/>
      <c r="EH45" s="55"/>
      <c r="EI45" s="55"/>
      <c r="EJ45" s="55"/>
      <c r="EK45" s="55"/>
      <c r="EL45" s="55"/>
      <c r="EM45" s="55"/>
      <c r="EN45" s="55"/>
      <c r="EO45" s="55"/>
      <c r="EP45" s="55"/>
      <c r="EQ45" s="55"/>
      <c r="ER45" s="55"/>
      <c r="ES45" s="55"/>
      <c r="ET45" s="55"/>
      <c r="EU45" s="55"/>
      <c r="EV45" s="55"/>
      <c r="EW45" s="55"/>
      <c r="EX45" s="55"/>
      <c r="EY45" s="55"/>
      <c r="EZ45" s="55"/>
      <c r="FA45" s="55"/>
      <c r="FB45" s="55"/>
      <c r="FC45" s="55"/>
      <c r="FD45" s="55"/>
      <c r="FE45" s="55"/>
      <c r="FF45" s="55"/>
      <c r="FG45" s="55"/>
      <c r="FH45" s="55"/>
      <c r="FI45" s="55"/>
      <c r="FJ45" s="55"/>
      <c r="FK45" s="55"/>
      <c r="FL45" s="55"/>
      <c r="FM45" s="55"/>
      <c r="FN45" s="55"/>
      <c r="FO45" s="55"/>
      <c r="FP45" s="55"/>
      <c r="FQ45" s="55"/>
      <c r="FR45" s="55"/>
      <c r="FS45" s="55"/>
      <c r="FT45" s="55"/>
      <c r="FU45" s="55"/>
      <c r="FV45" s="55"/>
      <c r="FW45" s="55"/>
      <c r="FX45" s="55"/>
      <c r="FY45" s="55"/>
      <c r="FZ45" s="55"/>
      <c r="GA45" s="55"/>
      <c r="GB45" s="55"/>
      <c r="GC45" s="55"/>
      <c r="GD45" s="55"/>
      <c r="GE45" s="55"/>
      <c r="GF45" s="55"/>
      <c r="GG45" s="55"/>
      <c r="GH45" s="55"/>
      <c r="GI45" s="55"/>
      <c r="GJ45" s="55"/>
      <c r="GK45" s="55"/>
      <c r="GL45" s="55"/>
      <c r="GM45" s="55"/>
      <c r="GN45" s="55"/>
      <c r="GO45" s="55"/>
      <c r="GP45" s="55"/>
      <c r="GQ45" s="55"/>
      <c r="GR45" s="55"/>
      <c r="GS45" s="55"/>
      <c r="GT45" s="55"/>
      <c r="GU45" s="55"/>
      <c r="GV45" s="55"/>
      <c r="GW45" s="55"/>
      <c r="GX45" s="55"/>
      <c r="GY45" s="55"/>
      <c r="GZ45" s="55"/>
      <c r="HA45" s="55"/>
      <c r="HB45" s="55"/>
      <c r="HC45" s="55"/>
      <c r="HD45" s="55"/>
      <c r="HE45" s="55"/>
      <c r="HF45" s="55"/>
      <c r="HG45" s="55"/>
      <c r="HH45" s="55"/>
      <c r="HI45" s="55"/>
      <c r="HJ45" s="55"/>
      <c r="HK45" s="55"/>
      <c r="HL45" s="55"/>
      <c r="HM45" s="55"/>
      <c r="HN45" s="55"/>
      <c r="HO45" s="55"/>
      <c r="HP45" s="55"/>
      <c r="HQ45" s="55"/>
      <c r="HR45" s="55"/>
      <c r="HS45" s="55"/>
      <c r="HT45" s="55"/>
      <c r="HU45" s="55"/>
      <c r="HV45" s="55"/>
      <c r="HW45" s="55"/>
      <c r="HX45" s="55"/>
      <c r="HY45" s="55"/>
      <c r="HZ45" s="55"/>
      <c r="IA45" s="55"/>
      <c r="IB45" s="55"/>
    </row>
    <row r="46" spans="1:236" ht="15" customHeight="1" x14ac:dyDescent="0.2">
      <c r="A46" s="63" t="s">
        <v>301</v>
      </c>
      <c r="B46" s="46" t="s">
        <v>436</v>
      </c>
      <c r="C46" s="45" t="s">
        <v>254</v>
      </c>
      <c r="D46" s="451"/>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c r="BF46" s="55"/>
      <c r="BG46" s="55"/>
      <c r="BH46" s="55"/>
      <c r="BI46" s="55"/>
      <c r="BJ46" s="55"/>
      <c r="BK46" s="55"/>
      <c r="BL46" s="55"/>
      <c r="BM46" s="55"/>
      <c r="BN46" s="55"/>
      <c r="BO46" s="55"/>
      <c r="BP46" s="55"/>
      <c r="BQ46" s="55"/>
      <c r="BR46" s="55"/>
      <c r="BS46" s="55"/>
      <c r="BT46" s="55"/>
      <c r="BU46" s="55"/>
      <c r="BV46" s="55"/>
      <c r="BW46" s="55"/>
      <c r="BX46" s="55"/>
      <c r="BY46" s="55"/>
      <c r="BZ46" s="55"/>
      <c r="CA46" s="55"/>
      <c r="CB46" s="55"/>
      <c r="CC46" s="55"/>
      <c r="CD46" s="55"/>
      <c r="CE46" s="55"/>
      <c r="CF46" s="55"/>
      <c r="CG46" s="55"/>
      <c r="CH46" s="55"/>
      <c r="CI46" s="55"/>
      <c r="CJ46" s="55"/>
      <c r="CK46" s="55"/>
      <c r="CL46" s="55"/>
      <c r="CM46" s="55"/>
      <c r="CN46" s="55"/>
      <c r="CO46" s="55"/>
      <c r="CP46" s="55"/>
      <c r="CQ46" s="55"/>
      <c r="CR46" s="55"/>
      <c r="CS46" s="55"/>
      <c r="CT46" s="55"/>
      <c r="CU46" s="55"/>
      <c r="CV46" s="55"/>
      <c r="CW46" s="55"/>
      <c r="CX46" s="55"/>
      <c r="CY46" s="55"/>
      <c r="CZ46" s="55"/>
      <c r="DA46" s="55"/>
      <c r="DB46" s="55"/>
      <c r="DC46" s="55"/>
      <c r="DD46" s="55"/>
      <c r="DE46" s="55"/>
      <c r="DF46" s="55"/>
      <c r="DG46" s="55"/>
      <c r="DH46" s="55"/>
      <c r="DI46" s="55"/>
      <c r="DJ46" s="55"/>
      <c r="DK46" s="55"/>
      <c r="DL46" s="55"/>
      <c r="DM46" s="55"/>
      <c r="DN46" s="55"/>
      <c r="DO46" s="55"/>
      <c r="DP46" s="55"/>
      <c r="DQ46" s="55"/>
      <c r="DR46" s="55"/>
      <c r="DS46" s="55"/>
      <c r="DT46" s="55"/>
      <c r="DU46" s="55"/>
      <c r="DV46" s="55"/>
      <c r="DW46" s="55"/>
      <c r="DX46" s="55"/>
      <c r="DY46" s="55"/>
      <c r="DZ46" s="55"/>
      <c r="EA46" s="55"/>
      <c r="EB46" s="55"/>
      <c r="EC46" s="55"/>
      <c r="ED46" s="55"/>
      <c r="EE46" s="55"/>
      <c r="EF46" s="55"/>
      <c r="EG46" s="55"/>
      <c r="EH46" s="55"/>
      <c r="EI46" s="55"/>
      <c r="EJ46" s="55"/>
      <c r="EK46" s="55"/>
      <c r="EL46" s="55"/>
      <c r="EM46" s="55"/>
      <c r="EN46" s="55"/>
      <c r="EO46" s="55"/>
      <c r="EP46" s="55"/>
      <c r="EQ46" s="55"/>
      <c r="ER46" s="55"/>
      <c r="ES46" s="55"/>
      <c r="ET46" s="55"/>
      <c r="EU46" s="55"/>
      <c r="EV46" s="55"/>
      <c r="EW46" s="55"/>
      <c r="EX46" s="55"/>
      <c r="EY46" s="55"/>
      <c r="EZ46" s="55"/>
      <c r="FA46" s="55"/>
      <c r="FB46" s="55"/>
      <c r="FC46" s="55"/>
      <c r="FD46" s="55"/>
      <c r="FE46" s="55"/>
      <c r="FF46" s="55"/>
      <c r="FG46" s="55"/>
      <c r="FH46" s="55"/>
      <c r="FI46" s="55"/>
      <c r="FJ46" s="55"/>
      <c r="FK46" s="55"/>
      <c r="FL46" s="55"/>
      <c r="FM46" s="55"/>
      <c r="FN46" s="55"/>
      <c r="FO46" s="55"/>
      <c r="FP46" s="55"/>
      <c r="FQ46" s="55"/>
      <c r="FR46" s="55"/>
      <c r="FS46" s="55"/>
      <c r="FT46" s="55"/>
      <c r="FU46" s="55"/>
      <c r="FV46" s="55"/>
      <c r="FW46" s="55"/>
      <c r="FX46" s="55"/>
      <c r="FY46" s="55"/>
      <c r="FZ46" s="55"/>
      <c r="GA46" s="55"/>
      <c r="GB46" s="55"/>
      <c r="GC46" s="55"/>
      <c r="GD46" s="55"/>
      <c r="GE46" s="55"/>
      <c r="GF46" s="55"/>
      <c r="GG46" s="55"/>
      <c r="GH46" s="55"/>
      <c r="GI46" s="55"/>
      <c r="GJ46" s="55"/>
      <c r="GK46" s="55"/>
      <c r="GL46" s="55"/>
      <c r="GM46" s="55"/>
      <c r="GN46" s="55"/>
      <c r="GO46" s="55"/>
      <c r="GP46" s="55"/>
      <c r="GQ46" s="55"/>
      <c r="GR46" s="55"/>
      <c r="GS46" s="55"/>
      <c r="GT46" s="55"/>
      <c r="GU46" s="55"/>
      <c r="GV46" s="55"/>
      <c r="GW46" s="55"/>
      <c r="GX46" s="55"/>
      <c r="GY46" s="55"/>
      <c r="GZ46" s="55"/>
      <c r="HA46" s="55"/>
      <c r="HB46" s="55"/>
      <c r="HC46" s="55"/>
      <c r="HD46" s="55"/>
      <c r="HE46" s="55"/>
      <c r="HF46" s="55"/>
      <c r="HG46" s="55"/>
      <c r="HH46" s="55"/>
      <c r="HI46" s="55"/>
      <c r="HJ46" s="55"/>
      <c r="HK46" s="55"/>
      <c r="HL46" s="55"/>
      <c r="HM46" s="55"/>
      <c r="HN46" s="55"/>
      <c r="HO46" s="55"/>
      <c r="HP46" s="55"/>
      <c r="HQ46" s="55"/>
      <c r="HR46" s="55"/>
      <c r="HS46" s="55"/>
      <c r="HT46" s="55"/>
      <c r="HU46" s="55"/>
      <c r="HV46" s="55"/>
      <c r="HW46" s="55"/>
      <c r="HX46" s="55"/>
      <c r="HY46" s="55"/>
      <c r="HZ46" s="55"/>
      <c r="IA46" s="55"/>
      <c r="IB46" s="55"/>
    </row>
    <row r="47" spans="1:236" ht="15" customHeight="1" x14ac:dyDescent="0.2">
      <c r="A47" s="63" t="s">
        <v>302</v>
      </c>
      <c r="B47" s="46" t="s">
        <v>1020</v>
      </c>
      <c r="C47" s="45" t="s">
        <v>196</v>
      </c>
      <c r="D47" s="451"/>
      <c r="E47" s="55"/>
      <c r="F47" s="55"/>
      <c r="G47" s="55"/>
      <c r="H47" s="55"/>
      <c r="I47" s="55"/>
      <c r="J47" s="55"/>
      <c r="K47" s="55"/>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c r="AS47" s="55"/>
      <c r="AT47" s="55"/>
      <c r="AU47" s="55"/>
      <c r="AV47" s="55"/>
      <c r="AW47" s="55"/>
      <c r="AX47" s="55"/>
      <c r="AY47" s="55"/>
      <c r="AZ47" s="55"/>
      <c r="BA47" s="55"/>
      <c r="BB47" s="55"/>
      <c r="BC47" s="55"/>
      <c r="BD47" s="55"/>
      <c r="BE47" s="55"/>
      <c r="BF47" s="55"/>
      <c r="BG47" s="55"/>
      <c r="BH47" s="55"/>
      <c r="BI47" s="55"/>
      <c r="BJ47" s="55"/>
      <c r="BK47" s="55"/>
      <c r="BL47" s="55"/>
      <c r="BM47" s="55"/>
      <c r="BN47" s="55"/>
      <c r="BO47" s="55"/>
      <c r="BP47" s="55"/>
      <c r="BQ47" s="55"/>
      <c r="BR47" s="55"/>
      <c r="BS47" s="55"/>
      <c r="BT47" s="55"/>
      <c r="BU47" s="55"/>
      <c r="BV47" s="55"/>
      <c r="BW47" s="55"/>
      <c r="BX47" s="55"/>
      <c r="BY47" s="55"/>
      <c r="BZ47" s="55"/>
      <c r="CA47" s="55"/>
      <c r="CB47" s="55"/>
      <c r="CC47" s="55"/>
      <c r="CD47" s="55"/>
      <c r="CE47" s="55"/>
      <c r="CF47" s="55"/>
      <c r="CG47" s="55"/>
      <c r="CH47" s="55"/>
      <c r="CI47" s="55"/>
      <c r="CJ47" s="55"/>
      <c r="CK47" s="55"/>
      <c r="CL47" s="55"/>
      <c r="CM47" s="55"/>
      <c r="CN47" s="55"/>
      <c r="CO47" s="55"/>
      <c r="CP47" s="55"/>
      <c r="CQ47" s="55"/>
      <c r="CR47" s="55"/>
      <c r="CS47" s="55"/>
      <c r="CT47" s="55"/>
      <c r="CU47" s="55"/>
      <c r="CV47" s="55"/>
      <c r="CW47" s="55"/>
      <c r="CX47" s="55"/>
      <c r="CY47" s="55"/>
      <c r="CZ47" s="55"/>
      <c r="DA47" s="55"/>
      <c r="DB47" s="55"/>
      <c r="DC47" s="55"/>
      <c r="DD47" s="55"/>
      <c r="DE47" s="55"/>
      <c r="DF47" s="55"/>
      <c r="DG47" s="55"/>
      <c r="DH47" s="55"/>
      <c r="DI47" s="55"/>
      <c r="DJ47" s="55"/>
      <c r="DK47" s="55"/>
      <c r="DL47" s="55"/>
      <c r="DM47" s="55"/>
      <c r="DN47" s="55"/>
      <c r="DO47" s="55"/>
      <c r="DP47" s="55"/>
      <c r="DQ47" s="55"/>
      <c r="DR47" s="55"/>
      <c r="DS47" s="55"/>
      <c r="DT47" s="55"/>
      <c r="DU47" s="55"/>
      <c r="DV47" s="55"/>
      <c r="DW47" s="55"/>
      <c r="DX47" s="55"/>
      <c r="DY47" s="55"/>
      <c r="DZ47" s="55"/>
      <c r="EA47" s="55"/>
      <c r="EB47" s="55"/>
      <c r="EC47" s="55"/>
      <c r="ED47" s="55"/>
      <c r="EE47" s="55"/>
      <c r="EF47" s="55"/>
      <c r="EG47" s="55"/>
      <c r="EH47" s="55"/>
      <c r="EI47" s="55"/>
      <c r="EJ47" s="55"/>
      <c r="EK47" s="55"/>
      <c r="EL47" s="55"/>
      <c r="EM47" s="55"/>
      <c r="EN47" s="55"/>
      <c r="EO47" s="55"/>
      <c r="EP47" s="55"/>
      <c r="EQ47" s="55"/>
      <c r="ER47" s="55"/>
      <c r="ES47" s="55"/>
      <c r="ET47" s="55"/>
      <c r="EU47" s="55"/>
      <c r="EV47" s="55"/>
      <c r="EW47" s="55"/>
      <c r="EX47" s="55"/>
      <c r="EY47" s="55"/>
      <c r="EZ47" s="55"/>
      <c r="FA47" s="55"/>
      <c r="FB47" s="55"/>
      <c r="FC47" s="55"/>
      <c r="FD47" s="55"/>
      <c r="FE47" s="55"/>
      <c r="FF47" s="55"/>
      <c r="FG47" s="55"/>
      <c r="FH47" s="55"/>
      <c r="FI47" s="55"/>
      <c r="FJ47" s="55"/>
      <c r="FK47" s="55"/>
      <c r="FL47" s="55"/>
      <c r="FM47" s="55"/>
      <c r="FN47" s="55"/>
      <c r="FO47" s="55"/>
      <c r="FP47" s="55"/>
      <c r="FQ47" s="55"/>
      <c r="FR47" s="55"/>
      <c r="FS47" s="55"/>
      <c r="FT47" s="55"/>
      <c r="FU47" s="55"/>
      <c r="FV47" s="55"/>
      <c r="FW47" s="55"/>
      <c r="FX47" s="55"/>
      <c r="FY47" s="55"/>
      <c r="FZ47" s="55"/>
      <c r="GA47" s="55"/>
      <c r="GB47" s="55"/>
      <c r="GC47" s="55"/>
      <c r="GD47" s="55"/>
      <c r="GE47" s="55"/>
      <c r="GF47" s="55"/>
      <c r="GG47" s="55"/>
      <c r="GH47" s="55"/>
      <c r="GI47" s="55"/>
      <c r="GJ47" s="55"/>
      <c r="GK47" s="55"/>
      <c r="GL47" s="55"/>
      <c r="GM47" s="55"/>
      <c r="GN47" s="55"/>
      <c r="GO47" s="55"/>
      <c r="GP47" s="55"/>
      <c r="GQ47" s="55"/>
      <c r="GR47" s="55"/>
      <c r="GS47" s="55"/>
      <c r="GT47" s="55"/>
      <c r="GU47" s="55"/>
      <c r="GV47" s="55"/>
      <c r="GW47" s="55"/>
      <c r="GX47" s="55"/>
      <c r="GY47" s="55"/>
      <c r="GZ47" s="55"/>
      <c r="HA47" s="55"/>
      <c r="HB47" s="55"/>
      <c r="HC47" s="55"/>
      <c r="HD47" s="55"/>
      <c r="HE47" s="55"/>
      <c r="HF47" s="55"/>
      <c r="HG47" s="55"/>
      <c r="HH47" s="55"/>
      <c r="HI47" s="55"/>
      <c r="HJ47" s="55"/>
      <c r="HK47" s="55"/>
      <c r="HL47" s="55"/>
      <c r="HM47" s="55"/>
      <c r="HN47" s="55"/>
      <c r="HO47" s="55"/>
      <c r="HP47" s="55"/>
      <c r="HQ47" s="55"/>
      <c r="HR47" s="55"/>
      <c r="HS47" s="55"/>
      <c r="HT47" s="55"/>
      <c r="HU47" s="55"/>
      <c r="HV47" s="55"/>
      <c r="HW47" s="55"/>
      <c r="HX47" s="55"/>
      <c r="HY47" s="55"/>
      <c r="HZ47" s="55"/>
      <c r="IA47" s="55"/>
      <c r="IB47" s="55"/>
    </row>
    <row r="48" spans="1:236" ht="15" customHeight="1" x14ac:dyDescent="0.2">
      <c r="A48" s="63" t="s">
        <v>303</v>
      </c>
      <c r="B48" s="46" t="s">
        <v>1019</v>
      </c>
      <c r="C48" s="45" t="s">
        <v>196</v>
      </c>
      <c r="D48" s="451"/>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c r="BR48" s="55"/>
      <c r="BS48" s="55"/>
      <c r="BT48" s="55"/>
      <c r="BU48" s="55"/>
      <c r="BV48" s="55"/>
      <c r="BW48" s="55"/>
      <c r="BX48" s="55"/>
      <c r="BY48" s="55"/>
      <c r="BZ48" s="55"/>
      <c r="CA48" s="55"/>
      <c r="CB48" s="55"/>
      <c r="CC48" s="55"/>
      <c r="CD48" s="55"/>
      <c r="CE48" s="55"/>
      <c r="CF48" s="55"/>
      <c r="CG48" s="55"/>
      <c r="CH48" s="55"/>
      <c r="CI48" s="55"/>
      <c r="CJ48" s="55"/>
      <c r="CK48" s="55"/>
      <c r="CL48" s="55"/>
      <c r="CM48" s="55"/>
      <c r="CN48" s="55"/>
      <c r="CO48" s="55"/>
      <c r="CP48" s="55"/>
      <c r="CQ48" s="55"/>
      <c r="CR48" s="55"/>
      <c r="CS48" s="55"/>
      <c r="CT48" s="55"/>
      <c r="CU48" s="55"/>
      <c r="CV48" s="55"/>
      <c r="CW48" s="55"/>
      <c r="CX48" s="55"/>
      <c r="CY48" s="55"/>
      <c r="CZ48" s="55"/>
      <c r="DA48" s="55"/>
      <c r="DB48" s="55"/>
      <c r="DC48" s="55"/>
      <c r="DD48" s="55"/>
      <c r="DE48" s="55"/>
      <c r="DF48" s="55"/>
      <c r="DG48" s="55"/>
      <c r="DH48" s="55"/>
      <c r="DI48" s="55"/>
      <c r="DJ48" s="55"/>
      <c r="DK48" s="55"/>
      <c r="DL48" s="55"/>
      <c r="DM48" s="55"/>
      <c r="DN48" s="55"/>
      <c r="DO48" s="55"/>
      <c r="DP48" s="55"/>
      <c r="DQ48" s="55"/>
      <c r="DR48" s="55"/>
      <c r="DS48" s="55"/>
      <c r="DT48" s="55"/>
      <c r="DU48" s="55"/>
      <c r="DV48" s="55"/>
      <c r="DW48" s="55"/>
      <c r="DX48" s="55"/>
      <c r="DY48" s="55"/>
      <c r="DZ48" s="55"/>
      <c r="EA48" s="55"/>
      <c r="EB48" s="55"/>
      <c r="EC48" s="55"/>
      <c r="ED48" s="55"/>
      <c r="EE48" s="55"/>
      <c r="EF48" s="55"/>
      <c r="EG48" s="55"/>
      <c r="EH48" s="55"/>
      <c r="EI48" s="55"/>
      <c r="EJ48" s="55"/>
      <c r="EK48" s="55"/>
      <c r="EL48" s="55"/>
      <c r="EM48" s="55"/>
      <c r="EN48" s="55"/>
      <c r="EO48" s="55"/>
      <c r="EP48" s="55"/>
      <c r="EQ48" s="55"/>
      <c r="ER48" s="55"/>
      <c r="ES48" s="55"/>
      <c r="ET48" s="55"/>
      <c r="EU48" s="55"/>
      <c r="EV48" s="55"/>
      <c r="EW48" s="55"/>
      <c r="EX48" s="55"/>
      <c r="EY48" s="55"/>
      <c r="EZ48" s="55"/>
      <c r="FA48" s="55"/>
      <c r="FB48" s="55"/>
      <c r="FC48" s="55"/>
      <c r="FD48" s="55"/>
      <c r="FE48" s="55"/>
      <c r="FF48" s="55"/>
      <c r="FG48" s="55"/>
      <c r="FH48" s="55"/>
      <c r="FI48" s="55"/>
      <c r="FJ48" s="55"/>
      <c r="FK48" s="55"/>
      <c r="FL48" s="55"/>
      <c r="FM48" s="55"/>
      <c r="FN48" s="55"/>
      <c r="FO48" s="55"/>
      <c r="FP48" s="55"/>
      <c r="FQ48" s="55"/>
      <c r="FR48" s="55"/>
      <c r="FS48" s="55"/>
      <c r="FT48" s="55"/>
      <c r="FU48" s="55"/>
      <c r="FV48" s="55"/>
      <c r="FW48" s="55"/>
      <c r="FX48" s="55"/>
      <c r="FY48" s="55"/>
      <c r="FZ48" s="55"/>
      <c r="GA48" s="55"/>
      <c r="GB48" s="55"/>
      <c r="GC48" s="55"/>
      <c r="GD48" s="55"/>
      <c r="GE48" s="55"/>
      <c r="GF48" s="55"/>
      <c r="GG48" s="55"/>
      <c r="GH48" s="55"/>
      <c r="GI48" s="55"/>
      <c r="GJ48" s="55"/>
      <c r="GK48" s="55"/>
      <c r="GL48" s="55"/>
      <c r="GM48" s="55"/>
      <c r="GN48" s="55"/>
      <c r="GO48" s="55"/>
      <c r="GP48" s="55"/>
      <c r="GQ48" s="55"/>
      <c r="GR48" s="55"/>
      <c r="GS48" s="55"/>
      <c r="GT48" s="55"/>
      <c r="GU48" s="55"/>
      <c r="GV48" s="55"/>
      <c r="GW48" s="55"/>
      <c r="GX48" s="55"/>
      <c r="GY48" s="55"/>
      <c r="GZ48" s="55"/>
      <c r="HA48" s="55"/>
      <c r="HB48" s="55"/>
      <c r="HC48" s="55"/>
      <c r="HD48" s="55"/>
      <c r="HE48" s="55"/>
      <c r="HF48" s="55"/>
      <c r="HG48" s="55"/>
      <c r="HH48" s="55"/>
      <c r="HI48" s="55"/>
      <c r="HJ48" s="55"/>
      <c r="HK48" s="55"/>
      <c r="HL48" s="55"/>
      <c r="HM48" s="55"/>
      <c r="HN48" s="55"/>
      <c r="HO48" s="55"/>
      <c r="HP48" s="55"/>
      <c r="HQ48" s="55"/>
      <c r="HR48" s="55"/>
      <c r="HS48" s="55"/>
      <c r="HT48" s="55"/>
      <c r="HU48" s="55"/>
      <c r="HV48" s="55"/>
      <c r="HW48" s="55"/>
      <c r="HX48" s="55"/>
      <c r="HY48" s="55"/>
      <c r="HZ48" s="55"/>
      <c r="IA48" s="55"/>
      <c r="IB48" s="55"/>
    </row>
    <row r="49" spans="1:237" ht="15" customHeight="1" x14ac:dyDescent="0.2">
      <c r="A49" s="63" t="s">
        <v>304</v>
      </c>
      <c r="B49" s="46" t="s">
        <v>1022</v>
      </c>
      <c r="C49" s="45" t="s">
        <v>196</v>
      </c>
      <c r="D49" s="451"/>
      <c r="E49" s="55"/>
      <c r="F49" s="55"/>
      <c r="G49" s="55"/>
      <c r="H49" s="55"/>
      <c r="I49" s="55"/>
      <c r="J49" s="55"/>
      <c r="K49" s="55"/>
      <c r="L49" s="55"/>
      <c r="M49" s="55"/>
      <c r="N49" s="55"/>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55"/>
      <c r="AO49" s="55"/>
      <c r="AP49" s="55"/>
      <c r="AQ49" s="55"/>
      <c r="AR49" s="55"/>
      <c r="AS49" s="55"/>
      <c r="AT49" s="55"/>
      <c r="AU49" s="55"/>
      <c r="AV49" s="55"/>
      <c r="AW49" s="55"/>
      <c r="AX49" s="55"/>
      <c r="AY49" s="55"/>
      <c r="AZ49" s="55"/>
      <c r="BA49" s="55"/>
      <c r="BB49" s="55"/>
      <c r="BC49" s="55"/>
      <c r="BD49" s="55"/>
      <c r="BE49" s="55"/>
      <c r="BF49" s="55"/>
      <c r="BG49" s="55"/>
      <c r="BH49" s="55"/>
      <c r="BI49" s="55"/>
      <c r="BJ49" s="55"/>
      <c r="BK49" s="55"/>
      <c r="BL49" s="55"/>
      <c r="BM49" s="55"/>
      <c r="BN49" s="55"/>
      <c r="BO49" s="55"/>
      <c r="BP49" s="55"/>
      <c r="BQ49" s="55"/>
      <c r="BR49" s="55"/>
      <c r="BS49" s="55"/>
      <c r="BT49" s="55"/>
      <c r="BU49" s="55"/>
      <c r="BV49" s="55"/>
      <c r="BW49" s="55"/>
      <c r="BX49" s="55"/>
      <c r="BY49" s="55"/>
      <c r="BZ49" s="55"/>
      <c r="CA49" s="55"/>
      <c r="CB49" s="55"/>
      <c r="CC49" s="55"/>
      <c r="CD49" s="55"/>
      <c r="CE49" s="55"/>
      <c r="CF49" s="55"/>
      <c r="CG49" s="55"/>
      <c r="CH49" s="55"/>
      <c r="CI49" s="55"/>
      <c r="CJ49" s="55"/>
      <c r="CK49" s="55"/>
      <c r="CL49" s="55"/>
      <c r="CM49" s="55"/>
      <c r="CN49" s="55"/>
      <c r="CO49" s="55"/>
      <c r="CP49" s="55"/>
      <c r="CQ49" s="55"/>
      <c r="CR49" s="55"/>
      <c r="CS49" s="55"/>
      <c r="CT49" s="55"/>
      <c r="CU49" s="55"/>
      <c r="CV49" s="55"/>
      <c r="CW49" s="55"/>
      <c r="CX49" s="55"/>
      <c r="CY49" s="55"/>
      <c r="CZ49" s="55"/>
      <c r="DA49" s="55"/>
      <c r="DB49" s="55"/>
      <c r="DC49" s="55"/>
      <c r="DD49" s="55"/>
      <c r="DE49" s="55"/>
      <c r="DF49" s="55"/>
      <c r="DG49" s="55"/>
      <c r="DH49" s="55"/>
      <c r="DI49" s="55"/>
      <c r="DJ49" s="55"/>
      <c r="DK49" s="55"/>
      <c r="DL49" s="55"/>
      <c r="DM49" s="55"/>
      <c r="DN49" s="55"/>
      <c r="DO49" s="55"/>
      <c r="DP49" s="55"/>
      <c r="DQ49" s="55"/>
      <c r="DR49" s="55"/>
      <c r="DS49" s="55"/>
      <c r="DT49" s="55"/>
      <c r="DU49" s="55"/>
      <c r="DV49" s="55"/>
      <c r="DW49" s="55"/>
      <c r="DX49" s="55"/>
      <c r="DY49" s="55"/>
      <c r="DZ49" s="55"/>
      <c r="EA49" s="55"/>
      <c r="EB49" s="55"/>
      <c r="EC49" s="55"/>
      <c r="ED49" s="55"/>
      <c r="EE49" s="55"/>
      <c r="EF49" s="55"/>
      <c r="EG49" s="55"/>
      <c r="EH49" s="55"/>
      <c r="EI49" s="55"/>
      <c r="EJ49" s="55"/>
      <c r="EK49" s="55"/>
      <c r="EL49" s="55"/>
      <c r="EM49" s="55"/>
      <c r="EN49" s="55"/>
      <c r="EO49" s="55"/>
      <c r="EP49" s="55"/>
      <c r="EQ49" s="55"/>
      <c r="ER49" s="55"/>
      <c r="ES49" s="55"/>
      <c r="ET49" s="55"/>
      <c r="EU49" s="55"/>
      <c r="EV49" s="55"/>
      <c r="EW49" s="55"/>
      <c r="EX49" s="55"/>
      <c r="EY49" s="55"/>
      <c r="EZ49" s="55"/>
      <c r="FA49" s="55"/>
      <c r="FB49" s="55"/>
      <c r="FC49" s="55"/>
      <c r="FD49" s="55"/>
      <c r="FE49" s="55"/>
      <c r="FF49" s="55"/>
      <c r="FG49" s="55"/>
      <c r="FH49" s="55"/>
      <c r="FI49" s="55"/>
      <c r="FJ49" s="55"/>
      <c r="FK49" s="55"/>
      <c r="FL49" s="55"/>
      <c r="FM49" s="55"/>
      <c r="FN49" s="55"/>
      <c r="FO49" s="55"/>
      <c r="FP49" s="55"/>
      <c r="FQ49" s="55"/>
      <c r="FR49" s="55"/>
      <c r="FS49" s="55"/>
      <c r="FT49" s="55"/>
      <c r="FU49" s="55"/>
      <c r="FV49" s="55"/>
      <c r="FW49" s="55"/>
      <c r="FX49" s="55"/>
      <c r="FY49" s="55"/>
      <c r="FZ49" s="55"/>
      <c r="GA49" s="55"/>
      <c r="GB49" s="55"/>
      <c r="GC49" s="55"/>
      <c r="GD49" s="55"/>
      <c r="GE49" s="55"/>
      <c r="GF49" s="55"/>
      <c r="GG49" s="55"/>
      <c r="GH49" s="55"/>
      <c r="GI49" s="55"/>
      <c r="GJ49" s="55"/>
      <c r="GK49" s="55"/>
      <c r="GL49" s="55"/>
      <c r="GM49" s="55"/>
      <c r="GN49" s="55"/>
      <c r="GO49" s="55"/>
      <c r="GP49" s="55"/>
      <c r="GQ49" s="55"/>
      <c r="GR49" s="55"/>
      <c r="GS49" s="55"/>
      <c r="GT49" s="55"/>
      <c r="GU49" s="55"/>
      <c r="GV49" s="55"/>
      <c r="GW49" s="55"/>
      <c r="GX49" s="55"/>
      <c r="GY49" s="55"/>
      <c r="GZ49" s="55"/>
      <c r="HA49" s="55"/>
      <c r="HB49" s="55"/>
      <c r="HC49" s="55"/>
      <c r="HD49" s="55"/>
      <c r="HE49" s="55"/>
      <c r="HF49" s="55"/>
      <c r="HG49" s="55"/>
      <c r="HH49" s="55"/>
      <c r="HI49" s="55"/>
      <c r="HJ49" s="55"/>
      <c r="HK49" s="55"/>
      <c r="HL49" s="55"/>
      <c r="HM49" s="55"/>
      <c r="HN49" s="55"/>
      <c r="HO49" s="55"/>
      <c r="HP49" s="55"/>
      <c r="HQ49" s="55"/>
      <c r="HR49" s="55"/>
      <c r="HS49" s="55"/>
      <c r="HT49" s="55"/>
      <c r="HU49" s="55"/>
      <c r="HV49" s="55"/>
      <c r="HW49" s="55"/>
      <c r="HX49" s="55"/>
      <c r="HY49" s="55"/>
      <c r="HZ49" s="55"/>
      <c r="IA49" s="55"/>
      <c r="IB49" s="55"/>
    </row>
    <row r="50" spans="1:237" ht="15" customHeight="1" x14ac:dyDescent="0.2">
      <c r="A50" s="63" t="s">
        <v>305</v>
      </c>
      <c r="B50" s="46" t="s">
        <v>1024</v>
      </c>
      <c r="C50" s="45" t="s">
        <v>196</v>
      </c>
      <c r="D50" s="451"/>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c r="CG50" s="55"/>
      <c r="CH50" s="55"/>
      <c r="CI50" s="55"/>
      <c r="CJ50" s="55"/>
      <c r="CK50" s="55"/>
      <c r="CL50" s="55"/>
      <c r="CM50" s="55"/>
      <c r="CN50" s="55"/>
      <c r="CO50" s="55"/>
      <c r="CP50" s="55"/>
      <c r="CQ50" s="55"/>
      <c r="CR50" s="55"/>
      <c r="CS50" s="55"/>
      <c r="CT50" s="55"/>
      <c r="CU50" s="55"/>
      <c r="CV50" s="55"/>
      <c r="CW50" s="55"/>
      <c r="CX50" s="55"/>
      <c r="CY50" s="55"/>
      <c r="CZ50" s="55"/>
      <c r="DA50" s="55"/>
      <c r="DB50" s="55"/>
      <c r="DC50" s="55"/>
      <c r="DD50" s="55"/>
      <c r="DE50" s="55"/>
      <c r="DF50" s="55"/>
      <c r="DG50" s="55"/>
      <c r="DH50" s="55"/>
      <c r="DI50" s="55"/>
      <c r="DJ50" s="55"/>
      <c r="DK50" s="55"/>
      <c r="DL50" s="55"/>
      <c r="DM50" s="55"/>
      <c r="DN50" s="55"/>
      <c r="DO50" s="55"/>
      <c r="DP50" s="55"/>
      <c r="DQ50" s="55"/>
      <c r="DR50" s="55"/>
      <c r="DS50" s="55"/>
      <c r="DT50" s="55"/>
      <c r="DU50" s="55"/>
      <c r="DV50" s="55"/>
      <c r="DW50" s="55"/>
      <c r="DX50" s="55"/>
      <c r="DY50" s="55"/>
      <c r="DZ50" s="55"/>
      <c r="EA50" s="55"/>
      <c r="EB50" s="55"/>
      <c r="EC50" s="55"/>
      <c r="ED50" s="55"/>
      <c r="EE50" s="55"/>
      <c r="EF50" s="55"/>
      <c r="EG50" s="55"/>
      <c r="EH50" s="55"/>
      <c r="EI50" s="55"/>
      <c r="EJ50" s="55"/>
      <c r="EK50" s="55"/>
      <c r="EL50" s="55"/>
      <c r="EM50" s="55"/>
      <c r="EN50" s="55"/>
      <c r="EO50" s="55"/>
      <c r="EP50" s="55"/>
      <c r="EQ50" s="55"/>
      <c r="ER50" s="55"/>
      <c r="ES50" s="55"/>
      <c r="ET50" s="55"/>
      <c r="EU50" s="55"/>
      <c r="EV50" s="55"/>
      <c r="EW50" s="55"/>
      <c r="EX50" s="55"/>
      <c r="EY50" s="55"/>
      <c r="EZ50" s="55"/>
      <c r="FA50" s="55"/>
      <c r="FB50" s="55"/>
      <c r="FC50" s="55"/>
      <c r="FD50" s="55"/>
      <c r="FE50" s="55"/>
      <c r="FF50" s="55"/>
      <c r="FG50" s="55"/>
      <c r="FH50" s="55"/>
      <c r="FI50" s="55"/>
      <c r="FJ50" s="55"/>
      <c r="FK50" s="55"/>
      <c r="FL50" s="55"/>
      <c r="FM50" s="55"/>
      <c r="FN50" s="55"/>
      <c r="FO50" s="55"/>
      <c r="FP50" s="55"/>
      <c r="FQ50" s="55"/>
      <c r="FR50" s="55"/>
      <c r="FS50" s="55"/>
      <c r="FT50" s="55"/>
      <c r="FU50" s="55"/>
      <c r="FV50" s="55"/>
      <c r="FW50" s="55"/>
      <c r="FX50" s="55"/>
      <c r="FY50" s="55"/>
      <c r="FZ50" s="55"/>
      <c r="GA50" s="55"/>
      <c r="GB50" s="55"/>
      <c r="GC50" s="55"/>
      <c r="GD50" s="55"/>
      <c r="GE50" s="55"/>
      <c r="GF50" s="55"/>
      <c r="GG50" s="55"/>
      <c r="GH50" s="55"/>
      <c r="GI50" s="55"/>
      <c r="GJ50" s="55"/>
      <c r="GK50" s="55"/>
      <c r="GL50" s="55"/>
      <c r="GM50" s="55"/>
      <c r="GN50" s="55"/>
      <c r="GO50" s="55"/>
      <c r="GP50" s="55"/>
      <c r="GQ50" s="55"/>
      <c r="GR50" s="55"/>
      <c r="GS50" s="55"/>
      <c r="GT50" s="55"/>
      <c r="GU50" s="55"/>
      <c r="GV50" s="55"/>
      <c r="GW50" s="55"/>
      <c r="GX50" s="55"/>
      <c r="GY50" s="55"/>
      <c r="GZ50" s="55"/>
      <c r="HA50" s="55"/>
      <c r="HB50" s="55"/>
      <c r="HC50" s="55"/>
      <c r="HD50" s="55"/>
      <c r="HE50" s="55"/>
      <c r="HF50" s="55"/>
      <c r="HG50" s="55"/>
      <c r="HH50" s="55"/>
      <c r="HI50" s="55"/>
      <c r="HJ50" s="55"/>
      <c r="HK50" s="55"/>
      <c r="HL50" s="55"/>
      <c r="HM50" s="55"/>
      <c r="HN50" s="55"/>
      <c r="HO50" s="55"/>
      <c r="HP50" s="55"/>
      <c r="HQ50" s="55"/>
      <c r="HR50" s="55"/>
      <c r="HS50" s="55"/>
      <c r="HT50" s="55"/>
      <c r="HU50" s="55"/>
      <c r="HV50" s="55"/>
      <c r="HW50" s="55"/>
      <c r="HX50" s="55"/>
      <c r="HY50" s="55"/>
      <c r="HZ50" s="55"/>
      <c r="IA50" s="55"/>
      <c r="IB50" s="55"/>
    </row>
    <row r="51" spans="1:237" ht="15" customHeight="1" x14ac:dyDescent="0.2">
      <c r="A51" s="63" t="s">
        <v>306</v>
      </c>
      <c r="B51" s="44" t="s">
        <v>216</v>
      </c>
      <c r="C51" s="45" t="s">
        <v>254</v>
      </c>
      <c r="D51" s="451"/>
      <c r="E51" s="55"/>
      <c r="F51" s="55"/>
      <c r="G51" s="55"/>
      <c r="H51" s="55"/>
      <c r="I51" s="55"/>
      <c r="J51" s="55"/>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c r="AY51" s="55"/>
      <c r="AZ51" s="55"/>
      <c r="BA51" s="55"/>
      <c r="BB51" s="55"/>
      <c r="BC51" s="55"/>
      <c r="BD51" s="55"/>
      <c r="BE51" s="55"/>
      <c r="BF51" s="55"/>
      <c r="BG51" s="55"/>
      <c r="BH51" s="55"/>
      <c r="BI51" s="55"/>
      <c r="BJ51" s="55"/>
      <c r="BK51" s="55"/>
      <c r="BL51" s="55"/>
      <c r="BM51" s="55"/>
      <c r="BN51" s="55"/>
      <c r="BO51" s="55"/>
      <c r="BP51" s="55"/>
      <c r="BQ51" s="55"/>
      <c r="BR51" s="55"/>
      <c r="BS51" s="55"/>
      <c r="BT51" s="55"/>
      <c r="BU51" s="55"/>
      <c r="BV51" s="55"/>
      <c r="BW51" s="55"/>
      <c r="BX51" s="55"/>
      <c r="BY51" s="55"/>
      <c r="BZ51" s="55"/>
      <c r="CA51" s="55"/>
      <c r="CB51" s="55"/>
      <c r="CC51" s="55"/>
      <c r="CD51" s="55"/>
      <c r="CE51" s="55"/>
      <c r="CF51" s="55"/>
      <c r="CG51" s="55"/>
      <c r="CH51" s="55"/>
      <c r="CI51" s="55"/>
      <c r="CJ51" s="55"/>
      <c r="CK51" s="55"/>
      <c r="CL51" s="55"/>
      <c r="CM51" s="55"/>
      <c r="CN51" s="55"/>
      <c r="CO51" s="55"/>
      <c r="CP51" s="55"/>
      <c r="CQ51" s="55"/>
      <c r="CR51" s="55"/>
      <c r="CS51" s="55"/>
      <c r="CT51" s="55"/>
      <c r="CU51" s="55"/>
      <c r="CV51" s="55"/>
      <c r="CW51" s="55"/>
      <c r="CX51" s="55"/>
      <c r="CY51" s="55"/>
      <c r="CZ51" s="55"/>
      <c r="DA51" s="55"/>
      <c r="DB51" s="55"/>
      <c r="DC51" s="55"/>
      <c r="DD51" s="55"/>
      <c r="DE51" s="55"/>
      <c r="DF51" s="55"/>
      <c r="DG51" s="55"/>
      <c r="DH51" s="55"/>
      <c r="DI51" s="55"/>
      <c r="DJ51" s="55"/>
      <c r="DK51" s="55"/>
      <c r="DL51" s="55"/>
      <c r="DM51" s="55"/>
      <c r="DN51" s="55"/>
      <c r="DO51" s="55"/>
      <c r="DP51" s="55"/>
      <c r="DQ51" s="55"/>
      <c r="DR51" s="55"/>
      <c r="DS51" s="55"/>
      <c r="DT51" s="55"/>
      <c r="DU51" s="55"/>
      <c r="DV51" s="55"/>
      <c r="DW51" s="55"/>
      <c r="DX51" s="55"/>
      <c r="DY51" s="55"/>
      <c r="DZ51" s="55"/>
      <c r="EA51" s="55"/>
      <c r="EB51" s="55"/>
      <c r="EC51" s="55"/>
      <c r="ED51" s="55"/>
      <c r="EE51" s="55"/>
      <c r="EF51" s="55"/>
      <c r="EG51" s="55"/>
      <c r="EH51" s="55"/>
      <c r="EI51" s="55"/>
      <c r="EJ51" s="55"/>
      <c r="EK51" s="55"/>
      <c r="EL51" s="55"/>
      <c r="EM51" s="55"/>
      <c r="EN51" s="55"/>
      <c r="EO51" s="55"/>
      <c r="EP51" s="55"/>
      <c r="EQ51" s="55"/>
      <c r="ER51" s="55"/>
      <c r="ES51" s="55"/>
      <c r="ET51" s="55"/>
      <c r="EU51" s="55"/>
      <c r="EV51" s="55"/>
      <c r="EW51" s="55"/>
      <c r="EX51" s="55"/>
      <c r="EY51" s="55"/>
      <c r="EZ51" s="55"/>
      <c r="FA51" s="55"/>
      <c r="FB51" s="55"/>
      <c r="FC51" s="55"/>
      <c r="FD51" s="55"/>
      <c r="FE51" s="55"/>
      <c r="FF51" s="55"/>
      <c r="FG51" s="55"/>
      <c r="FH51" s="55"/>
      <c r="FI51" s="55"/>
      <c r="FJ51" s="55"/>
      <c r="FK51" s="55"/>
      <c r="FL51" s="55"/>
      <c r="FM51" s="55"/>
      <c r="FN51" s="55"/>
      <c r="FO51" s="55"/>
      <c r="FP51" s="55"/>
      <c r="FQ51" s="55"/>
      <c r="FR51" s="55"/>
      <c r="FS51" s="55"/>
      <c r="FT51" s="55"/>
      <c r="FU51" s="55"/>
      <c r="FV51" s="55"/>
      <c r="FW51" s="55"/>
      <c r="FX51" s="55"/>
      <c r="FY51" s="55"/>
      <c r="FZ51" s="55"/>
      <c r="GA51" s="55"/>
      <c r="GB51" s="55"/>
      <c r="GC51" s="55"/>
      <c r="GD51" s="55"/>
      <c r="GE51" s="55"/>
      <c r="GF51" s="55"/>
      <c r="GG51" s="55"/>
      <c r="GH51" s="55"/>
      <c r="GI51" s="55"/>
      <c r="GJ51" s="55"/>
      <c r="GK51" s="55"/>
      <c r="GL51" s="55"/>
      <c r="GM51" s="55"/>
      <c r="GN51" s="55"/>
      <c r="GO51" s="55"/>
      <c r="GP51" s="55"/>
      <c r="GQ51" s="55"/>
      <c r="GR51" s="55"/>
      <c r="GS51" s="55"/>
      <c r="GT51" s="55"/>
      <c r="GU51" s="55"/>
      <c r="GV51" s="55"/>
      <c r="GW51" s="55"/>
      <c r="GX51" s="55"/>
      <c r="GY51" s="55"/>
      <c r="GZ51" s="55"/>
      <c r="HA51" s="55"/>
      <c r="HB51" s="55"/>
      <c r="HC51" s="55"/>
      <c r="HD51" s="55"/>
      <c r="HE51" s="55"/>
      <c r="HF51" s="55"/>
      <c r="HG51" s="55"/>
      <c r="HH51" s="55"/>
      <c r="HI51" s="55"/>
      <c r="HJ51" s="55"/>
      <c r="HK51" s="55"/>
      <c r="HL51" s="55"/>
      <c r="HM51" s="55"/>
      <c r="HN51" s="55"/>
      <c r="HO51" s="55"/>
      <c r="HP51" s="55"/>
      <c r="HQ51" s="55"/>
      <c r="HR51" s="55"/>
      <c r="HS51" s="55"/>
      <c r="HT51" s="55"/>
      <c r="HU51" s="55"/>
      <c r="HV51" s="55"/>
      <c r="HW51" s="55"/>
      <c r="HX51" s="55"/>
      <c r="HY51" s="55"/>
      <c r="HZ51" s="55"/>
      <c r="IA51" s="55"/>
      <c r="IB51" s="55"/>
    </row>
    <row r="52" spans="1:237" ht="15" customHeight="1" x14ac:dyDescent="0.2">
      <c r="A52" s="63" t="s">
        <v>307</v>
      </c>
      <c r="B52" s="44" t="s">
        <v>437</v>
      </c>
      <c r="C52" s="45" t="s">
        <v>254</v>
      </c>
      <c r="D52" s="451"/>
      <c r="E52" s="55"/>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c r="BG52" s="55"/>
      <c r="BH52" s="55"/>
      <c r="BI52" s="55"/>
      <c r="BJ52" s="55"/>
      <c r="BK52" s="55"/>
      <c r="BL52" s="55"/>
      <c r="BM52" s="55"/>
      <c r="BN52" s="55"/>
      <c r="BO52" s="55"/>
      <c r="BP52" s="55"/>
      <c r="BQ52" s="55"/>
      <c r="BR52" s="55"/>
      <c r="BS52" s="55"/>
      <c r="BT52" s="55"/>
      <c r="BU52" s="55"/>
      <c r="BV52" s="55"/>
      <c r="BW52" s="55"/>
      <c r="BX52" s="55"/>
      <c r="BY52" s="55"/>
      <c r="BZ52" s="55"/>
      <c r="CA52" s="55"/>
      <c r="CB52" s="55"/>
      <c r="CC52" s="55"/>
      <c r="CD52" s="55"/>
      <c r="CE52" s="55"/>
      <c r="CF52" s="55"/>
      <c r="CG52" s="55"/>
      <c r="CH52" s="55"/>
      <c r="CI52" s="55"/>
      <c r="CJ52" s="55"/>
      <c r="CK52" s="55"/>
      <c r="CL52" s="55"/>
      <c r="CM52" s="55"/>
      <c r="CN52" s="55"/>
      <c r="CO52" s="55"/>
      <c r="CP52" s="55"/>
      <c r="CQ52" s="55"/>
      <c r="CR52" s="55"/>
      <c r="CS52" s="55"/>
      <c r="CT52" s="55"/>
      <c r="CU52" s="55"/>
      <c r="CV52" s="55"/>
      <c r="CW52" s="55"/>
      <c r="CX52" s="55"/>
      <c r="CY52" s="55"/>
      <c r="CZ52" s="55"/>
      <c r="DA52" s="55"/>
      <c r="DB52" s="55"/>
      <c r="DC52" s="55"/>
      <c r="DD52" s="55"/>
      <c r="DE52" s="55"/>
      <c r="DF52" s="55"/>
      <c r="DG52" s="55"/>
      <c r="DH52" s="55"/>
      <c r="DI52" s="55"/>
      <c r="DJ52" s="55"/>
      <c r="DK52" s="55"/>
      <c r="DL52" s="55"/>
      <c r="DM52" s="55"/>
      <c r="DN52" s="55"/>
      <c r="DO52" s="55"/>
      <c r="DP52" s="55"/>
      <c r="DQ52" s="55"/>
      <c r="DR52" s="55"/>
      <c r="DS52" s="55"/>
      <c r="DT52" s="55"/>
      <c r="DU52" s="55"/>
      <c r="DV52" s="55"/>
      <c r="DW52" s="55"/>
      <c r="DX52" s="55"/>
      <c r="DY52" s="55"/>
      <c r="DZ52" s="55"/>
      <c r="EA52" s="55"/>
      <c r="EB52" s="55"/>
      <c r="EC52" s="55"/>
      <c r="ED52" s="55"/>
      <c r="EE52" s="55"/>
      <c r="EF52" s="55"/>
      <c r="EG52" s="55"/>
      <c r="EH52" s="55"/>
      <c r="EI52" s="55"/>
      <c r="EJ52" s="55"/>
      <c r="EK52" s="55"/>
      <c r="EL52" s="55"/>
      <c r="EM52" s="55"/>
      <c r="EN52" s="55"/>
      <c r="EO52" s="55"/>
      <c r="EP52" s="55"/>
      <c r="EQ52" s="55"/>
      <c r="ER52" s="55"/>
      <c r="ES52" s="55"/>
      <c r="ET52" s="55"/>
      <c r="EU52" s="55"/>
      <c r="EV52" s="55"/>
      <c r="EW52" s="55"/>
      <c r="EX52" s="55"/>
      <c r="EY52" s="55"/>
      <c r="EZ52" s="55"/>
      <c r="FA52" s="55"/>
      <c r="FB52" s="55"/>
      <c r="FC52" s="55"/>
      <c r="FD52" s="55"/>
      <c r="FE52" s="55"/>
      <c r="FF52" s="55"/>
      <c r="FG52" s="55"/>
      <c r="FH52" s="55"/>
      <c r="FI52" s="55"/>
      <c r="FJ52" s="55"/>
      <c r="FK52" s="55"/>
      <c r="FL52" s="55"/>
      <c r="FM52" s="55"/>
      <c r="FN52" s="55"/>
      <c r="FO52" s="55"/>
      <c r="FP52" s="55"/>
      <c r="FQ52" s="55"/>
      <c r="FR52" s="55"/>
      <c r="FS52" s="55"/>
      <c r="FT52" s="55"/>
      <c r="FU52" s="55"/>
      <c r="FV52" s="55"/>
      <c r="FW52" s="55"/>
      <c r="FX52" s="55"/>
      <c r="FY52" s="55"/>
      <c r="FZ52" s="55"/>
      <c r="GA52" s="55"/>
      <c r="GB52" s="55"/>
      <c r="GC52" s="55"/>
      <c r="GD52" s="55"/>
      <c r="GE52" s="55"/>
      <c r="GF52" s="55"/>
      <c r="GG52" s="55"/>
      <c r="GH52" s="55"/>
      <c r="GI52" s="55"/>
      <c r="GJ52" s="55"/>
      <c r="GK52" s="55"/>
      <c r="GL52" s="55"/>
      <c r="GM52" s="55"/>
      <c r="GN52" s="55"/>
      <c r="GO52" s="55"/>
      <c r="GP52" s="55"/>
      <c r="GQ52" s="55"/>
      <c r="GR52" s="55"/>
      <c r="GS52" s="55"/>
      <c r="GT52" s="55"/>
      <c r="GU52" s="55"/>
      <c r="GV52" s="55"/>
      <c r="GW52" s="55"/>
      <c r="GX52" s="55"/>
      <c r="GY52" s="55"/>
      <c r="GZ52" s="55"/>
      <c r="HA52" s="55"/>
      <c r="HB52" s="55"/>
      <c r="HC52" s="55"/>
      <c r="HD52" s="55"/>
      <c r="HE52" s="55"/>
      <c r="HF52" s="55"/>
      <c r="HG52" s="55"/>
      <c r="HH52" s="55"/>
      <c r="HI52" s="55"/>
      <c r="HJ52" s="55"/>
      <c r="HK52" s="55"/>
      <c r="HL52" s="55"/>
      <c r="HM52" s="55"/>
      <c r="HN52" s="55"/>
      <c r="HO52" s="55"/>
      <c r="HP52" s="55"/>
      <c r="HQ52" s="55"/>
      <c r="HR52" s="55"/>
      <c r="HS52" s="55"/>
      <c r="HT52" s="55"/>
      <c r="HU52" s="55"/>
      <c r="HV52" s="55"/>
      <c r="HW52" s="55"/>
      <c r="HX52" s="55"/>
      <c r="HY52" s="55"/>
      <c r="HZ52" s="55"/>
      <c r="IA52" s="55"/>
      <c r="IB52" s="55"/>
    </row>
    <row r="53" spans="1:237" ht="15" customHeight="1" x14ac:dyDescent="0.2">
      <c r="A53" s="63" t="s">
        <v>308</v>
      </c>
      <c r="B53" s="46" t="s">
        <v>709</v>
      </c>
      <c r="C53" s="45" t="s">
        <v>196</v>
      </c>
      <c r="D53" s="451"/>
      <c r="E53" s="55"/>
      <c r="F53" s="55"/>
      <c r="G53" s="55"/>
      <c r="H53" s="55"/>
      <c r="I53" s="55"/>
      <c r="J53" s="55"/>
      <c r="K53" s="55"/>
      <c r="L53" s="55"/>
      <c r="M53" s="55"/>
      <c r="N53" s="55"/>
      <c r="O53" s="55"/>
      <c r="P53" s="55"/>
      <c r="Q53" s="55"/>
      <c r="R53" s="55"/>
      <c r="S53" s="55"/>
      <c r="T53" s="55"/>
      <c r="U53" s="55"/>
      <c r="V53" s="55"/>
      <c r="W53" s="55"/>
      <c r="X53" s="55"/>
      <c r="Y53" s="55"/>
      <c r="Z53" s="55"/>
      <c r="AA53" s="55"/>
      <c r="AB53" s="55"/>
      <c r="AC53" s="55"/>
      <c r="AD53" s="55"/>
      <c r="AE53" s="55"/>
      <c r="AF53" s="55"/>
      <c r="AG53" s="55"/>
      <c r="AH53" s="55"/>
      <c r="AI53" s="55"/>
      <c r="AJ53" s="55"/>
      <c r="AK53" s="55"/>
      <c r="AL53" s="55"/>
      <c r="AM53" s="55"/>
      <c r="AN53" s="55"/>
      <c r="AO53" s="55"/>
      <c r="AP53" s="55"/>
      <c r="AQ53" s="55"/>
      <c r="AR53" s="55"/>
      <c r="AS53" s="55"/>
      <c r="AT53" s="55"/>
      <c r="AU53" s="55"/>
      <c r="AV53" s="55"/>
      <c r="AW53" s="55"/>
      <c r="AX53" s="55"/>
      <c r="AY53" s="55"/>
      <c r="AZ53" s="55"/>
      <c r="BA53" s="55"/>
      <c r="BB53" s="55"/>
      <c r="BC53" s="55"/>
      <c r="BD53" s="55"/>
      <c r="BE53" s="55"/>
      <c r="BF53" s="55"/>
      <c r="BG53" s="55"/>
      <c r="BH53" s="55"/>
      <c r="BI53" s="55"/>
      <c r="BJ53" s="55"/>
      <c r="BK53" s="55"/>
      <c r="BL53" s="55"/>
      <c r="BM53" s="55"/>
      <c r="BN53" s="55"/>
      <c r="BO53" s="55"/>
      <c r="BP53" s="55"/>
      <c r="BQ53" s="55"/>
      <c r="BR53" s="55"/>
      <c r="BS53" s="55"/>
      <c r="BT53" s="55"/>
      <c r="BU53" s="55"/>
      <c r="BV53" s="55"/>
      <c r="BW53" s="55"/>
      <c r="BX53" s="55"/>
      <c r="BY53" s="55"/>
      <c r="BZ53" s="55"/>
      <c r="CA53" s="55"/>
      <c r="CB53" s="55"/>
      <c r="CC53" s="55"/>
      <c r="CD53" s="55"/>
      <c r="CE53" s="55"/>
      <c r="CF53" s="55"/>
      <c r="CG53" s="55"/>
      <c r="CH53" s="55"/>
      <c r="CI53" s="55"/>
      <c r="CJ53" s="55"/>
      <c r="CK53" s="55"/>
      <c r="CL53" s="55"/>
      <c r="CM53" s="55"/>
      <c r="CN53" s="55"/>
      <c r="CO53" s="55"/>
      <c r="CP53" s="55"/>
      <c r="CQ53" s="55"/>
      <c r="CR53" s="55"/>
      <c r="CS53" s="55"/>
      <c r="CT53" s="55"/>
      <c r="CU53" s="55"/>
      <c r="CV53" s="55"/>
      <c r="CW53" s="55"/>
      <c r="CX53" s="55"/>
      <c r="CY53" s="55"/>
      <c r="CZ53" s="55"/>
      <c r="DA53" s="55"/>
      <c r="DB53" s="55"/>
      <c r="DC53" s="55"/>
      <c r="DD53" s="55"/>
      <c r="DE53" s="55"/>
      <c r="DF53" s="55"/>
      <c r="DG53" s="55"/>
      <c r="DH53" s="55"/>
      <c r="DI53" s="55"/>
      <c r="DJ53" s="55"/>
      <c r="DK53" s="55"/>
      <c r="DL53" s="55"/>
      <c r="DM53" s="55"/>
      <c r="DN53" s="55"/>
      <c r="DO53" s="55"/>
      <c r="DP53" s="55"/>
      <c r="DQ53" s="55"/>
      <c r="DR53" s="55"/>
      <c r="DS53" s="55"/>
      <c r="DT53" s="55"/>
      <c r="DU53" s="55"/>
      <c r="DV53" s="55"/>
      <c r="DW53" s="55"/>
      <c r="DX53" s="55"/>
      <c r="DY53" s="55"/>
      <c r="DZ53" s="55"/>
      <c r="EA53" s="55"/>
      <c r="EB53" s="55"/>
      <c r="EC53" s="55"/>
      <c r="ED53" s="55"/>
      <c r="EE53" s="55"/>
      <c r="EF53" s="55"/>
      <c r="EG53" s="55"/>
      <c r="EH53" s="55"/>
      <c r="EI53" s="55"/>
      <c r="EJ53" s="55"/>
      <c r="EK53" s="55"/>
      <c r="EL53" s="55"/>
      <c r="EM53" s="55"/>
      <c r="EN53" s="55"/>
      <c r="EO53" s="55"/>
      <c r="EP53" s="55"/>
      <c r="EQ53" s="55"/>
      <c r="ER53" s="55"/>
      <c r="ES53" s="55"/>
      <c r="ET53" s="55"/>
      <c r="EU53" s="55"/>
      <c r="EV53" s="55"/>
      <c r="EW53" s="55"/>
      <c r="EX53" s="55"/>
      <c r="EY53" s="55"/>
      <c r="EZ53" s="55"/>
      <c r="FA53" s="55"/>
      <c r="FB53" s="55"/>
      <c r="FC53" s="55"/>
      <c r="FD53" s="55"/>
      <c r="FE53" s="55"/>
      <c r="FF53" s="55"/>
      <c r="FG53" s="55"/>
      <c r="FH53" s="55"/>
      <c r="FI53" s="55"/>
      <c r="FJ53" s="55"/>
      <c r="FK53" s="55"/>
      <c r="FL53" s="55"/>
      <c r="FM53" s="55"/>
      <c r="FN53" s="55"/>
      <c r="FO53" s="55"/>
      <c r="FP53" s="55"/>
      <c r="FQ53" s="55"/>
      <c r="FR53" s="55"/>
      <c r="FS53" s="55"/>
      <c r="FT53" s="55"/>
      <c r="FU53" s="55"/>
      <c r="FV53" s="55"/>
      <c r="FW53" s="55"/>
      <c r="FX53" s="55"/>
      <c r="FY53" s="55"/>
      <c r="FZ53" s="55"/>
      <c r="GA53" s="55"/>
      <c r="GB53" s="55"/>
      <c r="GC53" s="55"/>
      <c r="GD53" s="55"/>
      <c r="GE53" s="55"/>
      <c r="GF53" s="55"/>
      <c r="GG53" s="55"/>
      <c r="GH53" s="55"/>
      <c r="GI53" s="55"/>
      <c r="GJ53" s="55"/>
      <c r="GK53" s="55"/>
      <c r="GL53" s="55"/>
      <c r="GM53" s="55"/>
      <c r="GN53" s="55"/>
      <c r="GO53" s="55"/>
      <c r="GP53" s="55"/>
      <c r="GQ53" s="55"/>
      <c r="GR53" s="55"/>
      <c r="GS53" s="55"/>
      <c r="GT53" s="55"/>
      <c r="GU53" s="55"/>
      <c r="GV53" s="55"/>
      <c r="GW53" s="55"/>
      <c r="GX53" s="55"/>
      <c r="GY53" s="55"/>
      <c r="GZ53" s="55"/>
      <c r="HA53" s="55"/>
      <c r="HB53" s="55"/>
      <c r="HC53" s="55"/>
      <c r="HD53" s="55"/>
      <c r="HE53" s="55"/>
      <c r="HF53" s="55"/>
      <c r="HG53" s="55"/>
      <c r="HH53" s="55"/>
      <c r="HI53" s="55"/>
      <c r="HJ53" s="55"/>
      <c r="HK53" s="55"/>
      <c r="HL53" s="55"/>
      <c r="HM53" s="55"/>
      <c r="HN53" s="55"/>
      <c r="HO53" s="55"/>
      <c r="HP53" s="55"/>
      <c r="HQ53" s="55"/>
      <c r="HR53" s="55"/>
      <c r="HS53" s="55"/>
      <c r="HT53" s="55"/>
      <c r="HU53" s="55"/>
      <c r="HV53" s="55"/>
      <c r="HW53" s="55"/>
      <c r="HX53" s="55"/>
      <c r="HY53" s="55"/>
      <c r="HZ53" s="55"/>
      <c r="IA53" s="55"/>
      <c r="IB53" s="55"/>
    </row>
    <row r="54" spans="1:237" ht="15" customHeight="1" x14ac:dyDescent="0.2">
      <c r="A54" s="63" t="s">
        <v>309</v>
      </c>
      <c r="B54" s="44" t="s">
        <v>217</v>
      </c>
      <c r="C54" s="45" t="s">
        <v>160</v>
      </c>
      <c r="D54" s="451"/>
      <c r="E54" s="55"/>
      <c r="F54" s="55"/>
      <c r="G54" s="55"/>
      <c r="H54" s="55"/>
      <c r="I54" s="55"/>
      <c r="J54" s="55"/>
      <c r="K54" s="55"/>
      <c r="L54" s="55"/>
      <c r="M54" s="55"/>
      <c r="N54" s="55"/>
      <c r="O54" s="55"/>
      <c r="P54" s="55"/>
      <c r="Q54" s="55"/>
      <c r="R54" s="55"/>
      <c r="S54" s="55"/>
      <c r="T54" s="55"/>
      <c r="U54" s="55"/>
      <c r="V54" s="55"/>
      <c r="W54" s="55"/>
      <c r="X54" s="55"/>
      <c r="Y54" s="55"/>
      <c r="Z54" s="55"/>
      <c r="AA54" s="55"/>
      <c r="AB54" s="55"/>
      <c r="AC54" s="55"/>
      <c r="AD54" s="55"/>
      <c r="AE54" s="55"/>
      <c r="AF54" s="55"/>
      <c r="AG54" s="55"/>
      <c r="AH54" s="55"/>
      <c r="AI54" s="55"/>
      <c r="AJ54" s="55"/>
      <c r="AK54" s="55"/>
      <c r="AL54" s="55"/>
      <c r="AM54" s="55"/>
      <c r="AN54" s="55"/>
      <c r="AO54" s="55"/>
      <c r="AP54" s="55"/>
      <c r="AQ54" s="55"/>
      <c r="AR54" s="55"/>
      <c r="AS54" s="55"/>
      <c r="AT54" s="55"/>
      <c r="AU54" s="55"/>
      <c r="AV54" s="55"/>
      <c r="AW54" s="55"/>
      <c r="AX54" s="55"/>
      <c r="AY54" s="55"/>
      <c r="AZ54" s="55"/>
      <c r="BA54" s="55"/>
      <c r="BB54" s="55"/>
      <c r="BC54" s="55"/>
      <c r="BD54" s="55"/>
      <c r="BE54" s="55"/>
      <c r="BF54" s="55"/>
      <c r="BG54" s="55"/>
      <c r="BH54" s="55"/>
      <c r="BI54" s="55"/>
      <c r="BJ54" s="55"/>
      <c r="BK54" s="55"/>
      <c r="BL54" s="55"/>
      <c r="BM54" s="55"/>
      <c r="BN54" s="55"/>
      <c r="BO54" s="55"/>
      <c r="BP54" s="55"/>
      <c r="BQ54" s="55"/>
      <c r="BR54" s="55"/>
      <c r="BS54" s="55"/>
      <c r="BT54" s="55"/>
      <c r="BU54" s="55"/>
      <c r="BV54" s="55"/>
      <c r="BW54" s="55"/>
      <c r="BX54" s="55"/>
      <c r="BY54" s="55"/>
      <c r="BZ54" s="55"/>
      <c r="CA54" s="55"/>
      <c r="CB54" s="55"/>
      <c r="CC54" s="55"/>
      <c r="CD54" s="55"/>
      <c r="CE54" s="55"/>
      <c r="CF54" s="55"/>
      <c r="CG54" s="55"/>
      <c r="CH54" s="55"/>
      <c r="CI54" s="55"/>
      <c r="CJ54" s="55"/>
      <c r="CK54" s="55"/>
      <c r="CL54" s="55"/>
      <c r="CM54" s="55"/>
      <c r="CN54" s="55"/>
      <c r="CO54" s="55"/>
      <c r="CP54" s="55"/>
      <c r="CQ54" s="55"/>
      <c r="CR54" s="55"/>
      <c r="CS54" s="55"/>
      <c r="CT54" s="55"/>
      <c r="CU54" s="55"/>
      <c r="CV54" s="55"/>
      <c r="CW54" s="55"/>
      <c r="CX54" s="55"/>
      <c r="CY54" s="55"/>
      <c r="CZ54" s="55"/>
      <c r="DA54" s="55"/>
      <c r="DB54" s="55"/>
      <c r="DC54" s="55"/>
      <c r="DD54" s="55"/>
      <c r="DE54" s="55"/>
      <c r="DF54" s="55"/>
      <c r="DG54" s="55"/>
      <c r="DH54" s="55"/>
      <c r="DI54" s="55"/>
      <c r="DJ54" s="55"/>
      <c r="DK54" s="55"/>
      <c r="DL54" s="55"/>
      <c r="DM54" s="55"/>
      <c r="DN54" s="55"/>
      <c r="DO54" s="55"/>
      <c r="DP54" s="55"/>
      <c r="DQ54" s="55"/>
      <c r="DR54" s="55"/>
      <c r="DS54" s="55"/>
      <c r="DT54" s="55"/>
      <c r="DU54" s="55"/>
      <c r="DV54" s="55"/>
      <c r="DW54" s="55"/>
      <c r="DX54" s="55"/>
      <c r="DY54" s="55"/>
      <c r="DZ54" s="55"/>
      <c r="EA54" s="55"/>
      <c r="EB54" s="55"/>
      <c r="EC54" s="55"/>
      <c r="ED54" s="55"/>
      <c r="EE54" s="55"/>
      <c r="EF54" s="55"/>
      <c r="EG54" s="55"/>
      <c r="EH54" s="55"/>
      <c r="EI54" s="55"/>
      <c r="EJ54" s="55"/>
      <c r="EK54" s="55"/>
      <c r="EL54" s="55"/>
      <c r="EM54" s="55"/>
      <c r="EN54" s="55"/>
      <c r="EO54" s="55"/>
      <c r="EP54" s="55"/>
      <c r="EQ54" s="55"/>
      <c r="ER54" s="55"/>
      <c r="ES54" s="55"/>
      <c r="ET54" s="55"/>
      <c r="EU54" s="55"/>
      <c r="EV54" s="55"/>
      <c r="EW54" s="55"/>
      <c r="EX54" s="55"/>
      <c r="EY54" s="55"/>
      <c r="EZ54" s="55"/>
      <c r="FA54" s="55"/>
      <c r="FB54" s="55"/>
      <c r="FC54" s="55"/>
      <c r="FD54" s="55"/>
      <c r="FE54" s="55"/>
      <c r="FF54" s="55"/>
      <c r="FG54" s="55"/>
      <c r="FH54" s="55"/>
      <c r="FI54" s="55"/>
      <c r="FJ54" s="55"/>
      <c r="FK54" s="55"/>
      <c r="FL54" s="55"/>
      <c r="FM54" s="55"/>
      <c r="FN54" s="55"/>
      <c r="FO54" s="55"/>
      <c r="FP54" s="55"/>
      <c r="FQ54" s="55"/>
      <c r="FR54" s="55"/>
      <c r="FS54" s="55"/>
      <c r="FT54" s="55"/>
      <c r="FU54" s="55"/>
      <c r="FV54" s="55"/>
      <c r="FW54" s="55"/>
      <c r="FX54" s="55"/>
      <c r="FY54" s="55"/>
      <c r="FZ54" s="55"/>
      <c r="GA54" s="55"/>
      <c r="GB54" s="55"/>
      <c r="GC54" s="55"/>
      <c r="GD54" s="55"/>
      <c r="GE54" s="55"/>
      <c r="GF54" s="55"/>
      <c r="GG54" s="55"/>
      <c r="GH54" s="55"/>
      <c r="GI54" s="55"/>
      <c r="GJ54" s="55"/>
      <c r="GK54" s="55"/>
      <c r="GL54" s="55"/>
      <c r="GM54" s="55"/>
      <c r="GN54" s="55"/>
      <c r="GO54" s="55"/>
      <c r="GP54" s="55"/>
      <c r="GQ54" s="55"/>
      <c r="GR54" s="55"/>
      <c r="GS54" s="55"/>
      <c r="GT54" s="55"/>
      <c r="GU54" s="55"/>
      <c r="GV54" s="55"/>
      <c r="GW54" s="55"/>
      <c r="GX54" s="55"/>
      <c r="GY54" s="55"/>
      <c r="GZ54" s="55"/>
      <c r="HA54" s="55"/>
      <c r="HB54" s="55"/>
      <c r="HC54" s="55"/>
      <c r="HD54" s="55"/>
      <c r="HE54" s="55"/>
      <c r="HF54" s="55"/>
      <c r="HG54" s="55"/>
      <c r="HH54" s="55"/>
      <c r="HI54" s="55"/>
      <c r="HJ54" s="55"/>
      <c r="HK54" s="55"/>
      <c r="HL54" s="55"/>
      <c r="HM54" s="55"/>
      <c r="HN54" s="55"/>
      <c r="HO54" s="55"/>
      <c r="HP54" s="55"/>
      <c r="HQ54" s="55"/>
      <c r="HR54" s="55"/>
      <c r="HS54" s="55"/>
      <c r="HT54" s="55"/>
      <c r="HU54" s="55"/>
      <c r="HV54" s="55"/>
      <c r="HW54" s="55"/>
      <c r="HX54" s="55"/>
      <c r="HY54" s="55"/>
      <c r="HZ54" s="55"/>
      <c r="IA54" s="55"/>
      <c r="IB54" s="55"/>
    </row>
    <row r="55" spans="1:237" ht="15" customHeight="1" x14ac:dyDescent="0.2">
      <c r="A55" s="63" t="s">
        <v>310</v>
      </c>
      <c r="B55" s="44" t="s">
        <v>472</v>
      </c>
      <c r="C55" s="45" t="s">
        <v>160</v>
      </c>
      <c r="D55" s="451"/>
      <c r="E55" s="55"/>
      <c r="F55" s="55"/>
      <c r="G55" s="55"/>
      <c r="H55" s="55"/>
      <c r="I55" s="55"/>
      <c r="J55" s="55"/>
      <c r="K55" s="55"/>
      <c r="L55" s="55"/>
      <c r="M55" s="55"/>
      <c r="N55" s="55"/>
      <c r="O55" s="55"/>
      <c r="P55" s="55"/>
      <c r="Q55" s="55"/>
      <c r="R55" s="55"/>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5"/>
      <c r="AS55" s="55"/>
      <c r="AT55" s="55"/>
      <c r="AU55" s="55"/>
      <c r="AV55" s="55"/>
      <c r="AW55" s="55"/>
      <c r="AX55" s="55"/>
      <c r="AY55" s="55"/>
      <c r="AZ55" s="55"/>
      <c r="BA55" s="55"/>
      <c r="BB55" s="55"/>
      <c r="BC55" s="55"/>
      <c r="BD55" s="55"/>
      <c r="BE55" s="55"/>
      <c r="BF55" s="55"/>
      <c r="BG55" s="55"/>
      <c r="BH55" s="55"/>
      <c r="BI55" s="55"/>
      <c r="BJ55" s="55"/>
      <c r="BK55" s="55"/>
      <c r="BL55" s="55"/>
      <c r="BM55" s="55"/>
      <c r="BN55" s="55"/>
      <c r="BO55" s="55"/>
      <c r="BP55" s="55"/>
      <c r="BQ55" s="55"/>
      <c r="BR55" s="55"/>
      <c r="BS55" s="55"/>
      <c r="BT55" s="55"/>
      <c r="BU55" s="55"/>
      <c r="BV55" s="55"/>
      <c r="BW55" s="55"/>
      <c r="BX55" s="55"/>
      <c r="BY55" s="55"/>
      <c r="BZ55" s="55"/>
      <c r="CA55" s="55"/>
      <c r="CB55" s="55"/>
      <c r="CC55" s="55"/>
      <c r="CD55" s="55"/>
      <c r="CE55" s="55"/>
      <c r="CF55" s="55"/>
      <c r="CG55" s="55"/>
      <c r="CH55" s="55"/>
      <c r="CI55" s="55"/>
      <c r="CJ55" s="55"/>
      <c r="CK55" s="55"/>
      <c r="CL55" s="55"/>
      <c r="CM55" s="55"/>
      <c r="CN55" s="55"/>
      <c r="CO55" s="55"/>
      <c r="CP55" s="55"/>
      <c r="CQ55" s="55"/>
      <c r="CR55" s="55"/>
      <c r="CS55" s="55"/>
      <c r="CT55" s="55"/>
      <c r="CU55" s="55"/>
      <c r="CV55" s="55"/>
      <c r="CW55" s="55"/>
      <c r="CX55" s="55"/>
      <c r="CY55" s="55"/>
      <c r="CZ55" s="55"/>
      <c r="DA55" s="55"/>
      <c r="DB55" s="55"/>
      <c r="DC55" s="55"/>
      <c r="DD55" s="55"/>
      <c r="DE55" s="55"/>
      <c r="DF55" s="55"/>
      <c r="DG55" s="55"/>
      <c r="DH55" s="55"/>
      <c r="DI55" s="55"/>
      <c r="DJ55" s="55"/>
      <c r="DK55" s="55"/>
      <c r="DL55" s="55"/>
      <c r="DM55" s="55"/>
      <c r="DN55" s="55"/>
      <c r="DO55" s="55"/>
      <c r="DP55" s="55"/>
      <c r="DQ55" s="55"/>
      <c r="DR55" s="55"/>
      <c r="DS55" s="55"/>
      <c r="DT55" s="55"/>
      <c r="DU55" s="55"/>
      <c r="DV55" s="55"/>
      <c r="DW55" s="55"/>
      <c r="DX55" s="55"/>
      <c r="DY55" s="55"/>
      <c r="DZ55" s="55"/>
      <c r="EA55" s="55"/>
      <c r="EB55" s="55"/>
      <c r="EC55" s="55"/>
      <c r="ED55" s="55"/>
      <c r="EE55" s="55"/>
      <c r="EF55" s="55"/>
      <c r="EG55" s="55"/>
      <c r="EH55" s="55"/>
      <c r="EI55" s="55"/>
      <c r="EJ55" s="55"/>
      <c r="EK55" s="55"/>
      <c r="EL55" s="55"/>
      <c r="EM55" s="55"/>
      <c r="EN55" s="55"/>
      <c r="EO55" s="55"/>
      <c r="EP55" s="55"/>
      <c r="EQ55" s="55"/>
      <c r="ER55" s="55"/>
      <c r="ES55" s="55"/>
      <c r="ET55" s="55"/>
      <c r="EU55" s="55"/>
      <c r="EV55" s="55"/>
      <c r="EW55" s="55"/>
      <c r="EX55" s="55"/>
      <c r="EY55" s="55"/>
      <c r="EZ55" s="55"/>
      <c r="FA55" s="55"/>
      <c r="FB55" s="55"/>
      <c r="FC55" s="55"/>
      <c r="FD55" s="55"/>
      <c r="FE55" s="55"/>
      <c r="FF55" s="55"/>
      <c r="FG55" s="55"/>
      <c r="FH55" s="55"/>
      <c r="FI55" s="55"/>
      <c r="FJ55" s="55"/>
      <c r="FK55" s="55"/>
      <c r="FL55" s="55"/>
      <c r="FM55" s="55"/>
      <c r="FN55" s="55"/>
      <c r="FO55" s="55"/>
      <c r="FP55" s="55"/>
      <c r="FQ55" s="55"/>
      <c r="FR55" s="55"/>
      <c r="FS55" s="55"/>
      <c r="FT55" s="55"/>
      <c r="FU55" s="55"/>
      <c r="FV55" s="55"/>
      <c r="FW55" s="55"/>
      <c r="FX55" s="55"/>
      <c r="FY55" s="55"/>
      <c r="FZ55" s="55"/>
      <c r="GA55" s="55"/>
      <c r="GB55" s="55"/>
      <c r="GC55" s="55"/>
      <c r="GD55" s="55"/>
      <c r="GE55" s="55"/>
      <c r="GF55" s="55"/>
      <c r="GG55" s="55"/>
      <c r="GH55" s="55"/>
      <c r="GI55" s="55"/>
      <c r="GJ55" s="55"/>
      <c r="GK55" s="55"/>
      <c r="GL55" s="55"/>
      <c r="GM55" s="55"/>
      <c r="GN55" s="55"/>
      <c r="GO55" s="55"/>
      <c r="GP55" s="55"/>
      <c r="GQ55" s="55"/>
      <c r="GR55" s="55"/>
      <c r="GS55" s="55"/>
      <c r="GT55" s="55"/>
      <c r="GU55" s="55"/>
      <c r="GV55" s="55"/>
      <c r="GW55" s="55"/>
      <c r="GX55" s="55"/>
      <c r="GY55" s="55"/>
      <c r="GZ55" s="55"/>
      <c r="HA55" s="55"/>
      <c r="HB55" s="55"/>
      <c r="HC55" s="55"/>
      <c r="HD55" s="55"/>
      <c r="HE55" s="55"/>
      <c r="HF55" s="55"/>
      <c r="HG55" s="55"/>
      <c r="HH55" s="55"/>
      <c r="HI55" s="55"/>
      <c r="HJ55" s="55"/>
      <c r="HK55" s="55"/>
      <c r="HL55" s="55"/>
      <c r="HM55" s="55"/>
      <c r="HN55" s="55"/>
      <c r="HO55" s="55"/>
      <c r="HP55" s="55"/>
      <c r="HQ55" s="55"/>
      <c r="HR55" s="55"/>
      <c r="HS55" s="55"/>
      <c r="HT55" s="55"/>
      <c r="HU55" s="55"/>
      <c r="HV55" s="55"/>
      <c r="HW55" s="55"/>
      <c r="HX55" s="55"/>
      <c r="HY55" s="55"/>
      <c r="HZ55" s="55"/>
      <c r="IA55" s="55"/>
      <c r="IB55" s="55"/>
    </row>
    <row r="56" spans="1:237" ht="15" customHeight="1" x14ac:dyDescent="0.2">
      <c r="A56" s="63" t="s">
        <v>311</v>
      </c>
      <c r="B56" s="44" t="s">
        <v>482</v>
      </c>
      <c r="C56" s="45" t="s">
        <v>160</v>
      </c>
      <c r="D56" s="451"/>
      <c r="E56" s="55"/>
      <c r="F56" s="55"/>
      <c r="G56" s="55"/>
      <c r="H56" s="55"/>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c r="CG56" s="55"/>
      <c r="CH56" s="55"/>
      <c r="CI56" s="55"/>
      <c r="CJ56" s="55"/>
      <c r="CK56" s="55"/>
      <c r="CL56" s="55"/>
      <c r="CM56" s="55"/>
      <c r="CN56" s="55"/>
      <c r="CO56" s="55"/>
      <c r="CP56" s="55"/>
      <c r="CQ56" s="55"/>
      <c r="CR56" s="55"/>
      <c r="CS56" s="55"/>
      <c r="CT56" s="55"/>
      <c r="CU56" s="55"/>
      <c r="CV56" s="55"/>
      <c r="CW56" s="55"/>
      <c r="CX56" s="55"/>
      <c r="CY56" s="55"/>
      <c r="CZ56" s="55"/>
      <c r="DA56" s="55"/>
      <c r="DB56" s="55"/>
      <c r="DC56" s="55"/>
      <c r="DD56" s="55"/>
      <c r="DE56" s="55"/>
      <c r="DF56" s="55"/>
      <c r="DG56" s="55"/>
      <c r="DH56" s="55"/>
      <c r="DI56" s="55"/>
      <c r="DJ56" s="55"/>
      <c r="DK56" s="55"/>
      <c r="DL56" s="55"/>
      <c r="DM56" s="55"/>
      <c r="DN56" s="55"/>
      <c r="DO56" s="55"/>
      <c r="DP56" s="55"/>
      <c r="DQ56" s="55"/>
      <c r="DR56" s="55"/>
      <c r="DS56" s="55"/>
      <c r="DT56" s="55"/>
      <c r="DU56" s="55"/>
      <c r="DV56" s="55"/>
      <c r="DW56" s="55"/>
      <c r="DX56" s="55"/>
      <c r="DY56" s="55"/>
      <c r="DZ56" s="55"/>
      <c r="EA56" s="55"/>
      <c r="EB56" s="55"/>
      <c r="EC56" s="55"/>
      <c r="ED56" s="55"/>
      <c r="EE56" s="55"/>
      <c r="EF56" s="55"/>
      <c r="EG56" s="55"/>
      <c r="EH56" s="55"/>
      <c r="EI56" s="55"/>
      <c r="EJ56" s="55"/>
      <c r="EK56" s="55"/>
      <c r="EL56" s="55"/>
      <c r="EM56" s="55"/>
      <c r="EN56" s="55"/>
      <c r="EO56" s="55"/>
      <c r="EP56" s="55"/>
      <c r="EQ56" s="55"/>
      <c r="ER56" s="55"/>
      <c r="ES56" s="55"/>
      <c r="ET56" s="55"/>
      <c r="EU56" s="55"/>
      <c r="EV56" s="55"/>
      <c r="EW56" s="55"/>
      <c r="EX56" s="55"/>
      <c r="EY56" s="55"/>
      <c r="EZ56" s="55"/>
      <c r="FA56" s="55"/>
      <c r="FB56" s="55"/>
      <c r="FC56" s="55"/>
      <c r="FD56" s="55"/>
      <c r="FE56" s="55"/>
      <c r="FF56" s="55"/>
      <c r="FG56" s="55"/>
      <c r="FH56" s="55"/>
      <c r="FI56" s="55"/>
      <c r="FJ56" s="55"/>
      <c r="FK56" s="55"/>
      <c r="FL56" s="55"/>
      <c r="FM56" s="55"/>
      <c r="FN56" s="55"/>
      <c r="FO56" s="55"/>
      <c r="FP56" s="55"/>
      <c r="FQ56" s="55"/>
      <c r="FR56" s="55"/>
      <c r="FS56" s="55"/>
      <c r="FT56" s="55"/>
      <c r="FU56" s="55"/>
      <c r="FV56" s="55"/>
      <c r="FW56" s="55"/>
      <c r="FX56" s="55"/>
      <c r="FY56" s="55"/>
      <c r="FZ56" s="55"/>
      <c r="GA56" s="55"/>
      <c r="GB56" s="55"/>
      <c r="GC56" s="55"/>
      <c r="GD56" s="55"/>
      <c r="GE56" s="55"/>
      <c r="GF56" s="55"/>
      <c r="GG56" s="55"/>
      <c r="GH56" s="55"/>
      <c r="GI56" s="55"/>
      <c r="GJ56" s="55"/>
      <c r="GK56" s="55"/>
      <c r="GL56" s="55"/>
      <c r="GM56" s="55"/>
      <c r="GN56" s="55"/>
      <c r="GO56" s="55"/>
      <c r="GP56" s="55"/>
      <c r="GQ56" s="55"/>
      <c r="GR56" s="55"/>
      <c r="GS56" s="55"/>
      <c r="GT56" s="55"/>
      <c r="GU56" s="55"/>
      <c r="GV56" s="55"/>
      <c r="GW56" s="55"/>
      <c r="GX56" s="55"/>
      <c r="GY56" s="55"/>
      <c r="GZ56" s="55"/>
      <c r="HA56" s="55"/>
      <c r="HB56" s="55"/>
      <c r="HC56" s="55"/>
      <c r="HD56" s="55"/>
      <c r="HE56" s="55"/>
      <c r="HF56" s="55"/>
      <c r="HG56" s="55"/>
      <c r="HH56" s="55"/>
      <c r="HI56" s="55"/>
      <c r="HJ56" s="55"/>
      <c r="HK56" s="55"/>
      <c r="HL56" s="55"/>
      <c r="HM56" s="55"/>
      <c r="HN56" s="55"/>
      <c r="HO56" s="55"/>
      <c r="HP56" s="55"/>
      <c r="HQ56" s="55"/>
      <c r="HR56" s="55"/>
      <c r="HS56" s="55"/>
      <c r="HT56" s="55"/>
      <c r="HU56" s="55"/>
      <c r="HV56" s="55"/>
      <c r="HW56" s="55"/>
      <c r="HX56" s="55"/>
      <c r="HY56" s="55"/>
      <c r="HZ56" s="55"/>
      <c r="IA56" s="55"/>
      <c r="IB56" s="55"/>
    </row>
    <row r="57" spans="1:237" ht="15" customHeight="1" x14ac:dyDescent="0.2">
      <c r="A57" s="63" t="s">
        <v>312</v>
      </c>
      <c r="B57" s="44" t="s">
        <v>250</v>
      </c>
      <c r="C57" s="45" t="s">
        <v>196</v>
      </c>
      <c r="D57" s="451"/>
      <c r="IC57" s="62"/>
    </row>
    <row r="58" spans="1:237" ht="15" customHeight="1" x14ac:dyDescent="0.2">
      <c r="A58" s="63" t="s">
        <v>313</v>
      </c>
      <c r="B58" s="44" t="s">
        <v>1082</v>
      </c>
      <c r="C58" s="45" t="s">
        <v>196</v>
      </c>
      <c r="D58" s="451"/>
      <c r="IC58" s="62"/>
    </row>
    <row r="59" spans="1:237" ht="15" customHeight="1" x14ac:dyDescent="0.2">
      <c r="A59" s="63" t="s">
        <v>314</v>
      </c>
      <c r="B59" s="44" t="s">
        <v>591</v>
      </c>
      <c r="C59" s="45" t="s">
        <v>198</v>
      </c>
      <c r="D59" s="451"/>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55"/>
      <c r="AX59" s="55"/>
      <c r="AY59" s="55"/>
      <c r="AZ59" s="55"/>
      <c r="BA59" s="55"/>
      <c r="BB59" s="55"/>
      <c r="BC59" s="55"/>
      <c r="BD59" s="55"/>
      <c r="BE59" s="55"/>
      <c r="BF59" s="55"/>
      <c r="BG59" s="55"/>
      <c r="BH59" s="55"/>
      <c r="BI59" s="55"/>
      <c r="BJ59" s="55"/>
      <c r="BK59" s="55"/>
      <c r="BL59" s="55"/>
      <c r="BM59" s="55"/>
      <c r="BN59" s="55"/>
      <c r="BO59" s="55"/>
      <c r="BP59" s="55"/>
      <c r="BQ59" s="55"/>
      <c r="BR59" s="55"/>
      <c r="BS59" s="55"/>
      <c r="BT59" s="55"/>
      <c r="BU59" s="55"/>
      <c r="BV59" s="55"/>
      <c r="BW59" s="55"/>
      <c r="BX59" s="55"/>
      <c r="BY59" s="55"/>
      <c r="BZ59" s="55"/>
      <c r="CA59" s="55"/>
      <c r="CB59" s="55"/>
      <c r="CC59" s="55"/>
      <c r="CD59" s="55"/>
      <c r="CE59" s="55"/>
      <c r="CF59" s="55"/>
      <c r="CG59" s="55"/>
      <c r="CH59" s="55"/>
      <c r="CI59" s="55"/>
      <c r="CJ59" s="55"/>
      <c r="CK59" s="55"/>
      <c r="CL59" s="55"/>
      <c r="CM59" s="55"/>
      <c r="CN59" s="55"/>
      <c r="CO59" s="55"/>
      <c r="CP59" s="55"/>
      <c r="CQ59" s="55"/>
      <c r="CR59" s="55"/>
      <c r="CS59" s="55"/>
      <c r="CT59" s="55"/>
      <c r="CU59" s="55"/>
      <c r="CV59" s="55"/>
      <c r="CW59" s="55"/>
      <c r="CX59" s="55"/>
      <c r="CY59" s="55"/>
      <c r="CZ59" s="55"/>
      <c r="DA59" s="55"/>
      <c r="DB59" s="55"/>
      <c r="DC59" s="55"/>
      <c r="DD59" s="55"/>
      <c r="DE59" s="55"/>
      <c r="DF59" s="55"/>
      <c r="DG59" s="55"/>
      <c r="DH59" s="55"/>
      <c r="DI59" s="55"/>
      <c r="DJ59" s="55"/>
      <c r="DK59" s="55"/>
      <c r="DL59" s="55"/>
      <c r="DM59" s="55"/>
      <c r="DN59" s="55"/>
      <c r="DO59" s="55"/>
      <c r="DP59" s="55"/>
      <c r="DQ59" s="55"/>
      <c r="DR59" s="55"/>
      <c r="DS59" s="55"/>
      <c r="DT59" s="55"/>
      <c r="DU59" s="55"/>
      <c r="DV59" s="55"/>
      <c r="DW59" s="55"/>
      <c r="DX59" s="55"/>
      <c r="DY59" s="55"/>
      <c r="DZ59" s="55"/>
      <c r="EA59" s="55"/>
      <c r="EB59" s="55"/>
      <c r="EC59" s="55"/>
      <c r="ED59" s="55"/>
      <c r="EE59" s="55"/>
      <c r="EF59" s="55"/>
      <c r="EG59" s="55"/>
      <c r="EH59" s="55"/>
      <c r="EI59" s="55"/>
      <c r="EJ59" s="55"/>
      <c r="EK59" s="55"/>
      <c r="EL59" s="55"/>
      <c r="EM59" s="55"/>
      <c r="EN59" s="55"/>
      <c r="EO59" s="55"/>
      <c r="EP59" s="55"/>
      <c r="EQ59" s="55"/>
      <c r="ER59" s="55"/>
      <c r="ES59" s="55"/>
      <c r="ET59" s="55"/>
      <c r="EU59" s="55"/>
      <c r="EV59" s="55"/>
      <c r="EW59" s="55"/>
      <c r="EX59" s="55"/>
      <c r="EY59" s="55"/>
      <c r="EZ59" s="55"/>
      <c r="FA59" s="55"/>
      <c r="FB59" s="55"/>
      <c r="FC59" s="55"/>
      <c r="FD59" s="55"/>
      <c r="FE59" s="55"/>
      <c r="FF59" s="55"/>
      <c r="FG59" s="55"/>
      <c r="FH59" s="55"/>
      <c r="FI59" s="55"/>
      <c r="FJ59" s="55"/>
      <c r="FK59" s="55"/>
      <c r="FL59" s="55"/>
      <c r="FM59" s="55"/>
      <c r="FN59" s="55"/>
      <c r="FO59" s="55"/>
      <c r="FP59" s="55"/>
      <c r="FQ59" s="55"/>
      <c r="FR59" s="55"/>
      <c r="FS59" s="55"/>
      <c r="FT59" s="55"/>
      <c r="FU59" s="55"/>
      <c r="FV59" s="55"/>
      <c r="FW59" s="55"/>
      <c r="FX59" s="55"/>
      <c r="FY59" s="55"/>
      <c r="FZ59" s="55"/>
      <c r="GA59" s="55"/>
      <c r="GB59" s="55"/>
      <c r="GC59" s="55"/>
      <c r="GD59" s="55"/>
      <c r="GE59" s="55"/>
      <c r="GF59" s="55"/>
      <c r="GG59" s="55"/>
      <c r="GH59" s="55"/>
      <c r="GI59" s="55"/>
      <c r="GJ59" s="55"/>
      <c r="GK59" s="55"/>
      <c r="GL59" s="55"/>
      <c r="GM59" s="55"/>
      <c r="GN59" s="55"/>
      <c r="GO59" s="55"/>
      <c r="GP59" s="55"/>
      <c r="GQ59" s="55"/>
      <c r="GR59" s="55"/>
      <c r="GS59" s="55"/>
      <c r="GT59" s="55"/>
      <c r="GU59" s="55"/>
      <c r="GV59" s="55"/>
      <c r="GW59" s="55"/>
      <c r="GX59" s="55"/>
      <c r="GY59" s="55"/>
      <c r="GZ59" s="55"/>
      <c r="HA59" s="55"/>
      <c r="HB59" s="55"/>
      <c r="HC59" s="55"/>
      <c r="HD59" s="55"/>
      <c r="HE59" s="55"/>
      <c r="HF59" s="55"/>
      <c r="HG59" s="55"/>
      <c r="HH59" s="55"/>
      <c r="HI59" s="55"/>
      <c r="HJ59" s="55"/>
      <c r="HK59" s="55"/>
      <c r="HL59" s="55"/>
      <c r="HM59" s="55"/>
      <c r="HN59" s="55"/>
      <c r="HO59" s="55"/>
      <c r="HP59" s="55"/>
      <c r="HQ59" s="55"/>
      <c r="HR59" s="55"/>
      <c r="HS59" s="55"/>
      <c r="HT59" s="55"/>
      <c r="HU59" s="55"/>
      <c r="HV59" s="55"/>
      <c r="HW59" s="55"/>
      <c r="HX59" s="55"/>
      <c r="HY59" s="55"/>
      <c r="HZ59" s="55"/>
      <c r="IA59" s="55"/>
      <c r="IB59" s="55"/>
    </row>
    <row r="60" spans="1:237" ht="15" customHeight="1" x14ac:dyDescent="0.2">
      <c r="A60" s="63" t="s">
        <v>315</v>
      </c>
      <c r="B60" s="46" t="s">
        <v>493</v>
      </c>
      <c r="C60" s="45" t="s">
        <v>198</v>
      </c>
      <c r="D60" s="451"/>
      <c r="E60" s="55"/>
      <c r="F60" s="55"/>
      <c r="G60" s="55"/>
      <c r="H60" s="55"/>
      <c r="I60" s="55"/>
      <c r="J60" s="55"/>
      <c r="K60" s="55"/>
      <c r="L60" s="55"/>
      <c r="M60" s="55"/>
      <c r="N60" s="55"/>
      <c r="O60" s="55"/>
      <c r="P60" s="55"/>
      <c r="Q60" s="55"/>
      <c r="R60" s="55"/>
      <c r="S60" s="55"/>
      <c r="T60" s="55"/>
      <c r="U60" s="55"/>
      <c r="V60" s="55"/>
      <c r="W60" s="55"/>
      <c r="X60" s="55"/>
      <c r="Y60" s="55"/>
      <c r="Z60" s="55"/>
      <c r="AA60" s="55"/>
      <c r="AB60" s="55"/>
      <c r="AC60" s="55"/>
      <c r="AD60" s="55"/>
      <c r="AE60" s="55"/>
      <c r="AF60" s="55"/>
      <c r="AG60" s="55"/>
      <c r="AH60" s="55"/>
      <c r="AI60" s="55"/>
      <c r="AJ60" s="55"/>
      <c r="AK60" s="55"/>
      <c r="AL60" s="55"/>
      <c r="AM60" s="55"/>
      <c r="AN60" s="55"/>
      <c r="AO60" s="55"/>
      <c r="AP60" s="55"/>
      <c r="AQ60" s="55"/>
      <c r="AR60" s="55"/>
      <c r="AS60" s="55"/>
      <c r="AT60" s="55"/>
      <c r="AU60" s="55"/>
      <c r="AV60" s="55"/>
      <c r="AW60" s="55"/>
      <c r="AX60" s="55"/>
      <c r="AY60" s="55"/>
      <c r="AZ60" s="55"/>
      <c r="BA60" s="55"/>
      <c r="BB60" s="55"/>
      <c r="BC60" s="55"/>
      <c r="BD60" s="55"/>
      <c r="BE60" s="55"/>
      <c r="BF60" s="55"/>
      <c r="BG60" s="55"/>
      <c r="BH60" s="55"/>
      <c r="BI60" s="55"/>
      <c r="BJ60" s="55"/>
      <c r="BK60" s="55"/>
      <c r="BL60" s="55"/>
      <c r="BM60" s="55"/>
      <c r="BN60" s="55"/>
      <c r="BO60" s="55"/>
      <c r="BP60" s="55"/>
      <c r="BQ60" s="55"/>
      <c r="BR60" s="55"/>
      <c r="BS60" s="55"/>
      <c r="BT60" s="55"/>
      <c r="BU60" s="55"/>
      <c r="BV60" s="55"/>
      <c r="BW60" s="55"/>
      <c r="BX60" s="55"/>
      <c r="BY60" s="55"/>
      <c r="BZ60" s="55"/>
      <c r="CA60" s="55"/>
      <c r="CB60" s="55"/>
      <c r="CC60" s="55"/>
      <c r="CD60" s="55"/>
      <c r="CE60" s="55"/>
      <c r="CF60" s="55"/>
      <c r="CG60" s="55"/>
      <c r="CH60" s="55"/>
      <c r="CI60" s="55"/>
      <c r="CJ60" s="55"/>
      <c r="CK60" s="55"/>
      <c r="CL60" s="55"/>
      <c r="CM60" s="55"/>
      <c r="CN60" s="55"/>
      <c r="CO60" s="55"/>
      <c r="CP60" s="55"/>
      <c r="CQ60" s="55"/>
      <c r="CR60" s="55"/>
      <c r="CS60" s="55"/>
      <c r="CT60" s="55"/>
      <c r="CU60" s="55"/>
      <c r="CV60" s="55"/>
      <c r="CW60" s="55"/>
      <c r="CX60" s="55"/>
      <c r="CY60" s="55"/>
      <c r="CZ60" s="55"/>
      <c r="DA60" s="55"/>
      <c r="DB60" s="55"/>
      <c r="DC60" s="55"/>
      <c r="DD60" s="55"/>
      <c r="DE60" s="55"/>
      <c r="DF60" s="55"/>
      <c r="DG60" s="55"/>
      <c r="DH60" s="55"/>
      <c r="DI60" s="55"/>
      <c r="DJ60" s="55"/>
      <c r="DK60" s="55"/>
      <c r="DL60" s="55"/>
      <c r="DM60" s="55"/>
      <c r="DN60" s="55"/>
      <c r="DO60" s="55"/>
      <c r="DP60" s="55"/>
      <c r="DQ60" s="55"/>
      <c r="DR60" s="55"/>
      <c r="DS60" s="55"/>
      <c r="DT60" s="55"/>
      <c r="DU60" s="55"/>
      <c r="DV60" s="55"/>
      <c r="DW60" s="55"/>
      <c r="DX60" s="55"/>
      <c r="DY60" s="55"/>
      <c r="DZ60" s="55"/>
      <c r="EA60" s="55"/>
      <c r="EB60" s="55"/>
      <c r="EC60" s="55"/>
      <c r="ED60" s="55"/>
      <c r="EE60" s="55"/>
      <c r="EF60" s="55"/>
      <c r="EG60" s="55"/>
      <c r="EH60" s="55"/>
      <c r="EI60" s="55"/>
      <c r="EJ60" s="55"/>
      <c r="EK60" s="55"/>
      <c r="EL60" s="55"/>
      <c r="EM60" s="55"/>
      <c r="EN60" s="55"/>
      <c r="EO60" s="55"/>
      <c r="EP60" s="55"/>
      <c r="EQ60" s="55"/>
      <c r="ER60" s="55"/>
      <c r="ES60" s="55"/>
      <c r="ET60" s="55"/>
      <c r="EU60" s="55"/>
      <c r="EV60" s="55"/>
      <c r="EW60" s="55"/>
      <c r="EX60" s="55"/>
      <c r="EY60" s="55"/>
      <c r="EZ60" s="55"/>
      <c r="FA60" s="55"/>
      <c r="FB60" s="55"/>
      <c r="FC60" s="55"/>
      <c r="FD60" s="55"/>
      <c r="FE60" s="55"/>
      <c r="FF60" s="55"/>
      <c r="FG60" s="55"/>
      <c r="FH60" s="55"/>
      <c r="FI60" s="55"/>
      <c r="FJ60" s="55"/>
      <c r="FK60" s="55"/>
      <c r="FL60" s="55"/>
      <c r="FM60" s="55"/>
      <c r="FN60" s="55"/>
      <c r="FO60" s="55"/>
      <c r="FP60" s="55"/>
      <c r="FQ60" s="55"/>
      <c r="FR60" s="55"/>
      <c r="FS60" s="55"/>
      <c r="FT60" s="55"/>
      <c r="FU60" s="55"/>
      <c r="FV60" s="55"/>
      <c r="FW60" s="55"/>
      <c r="FX60" s="55"/>
      <c r="FY60" s="55"/>
      <c r="FZ60" s="55"/>
      <c r="GA60" s="55"/>
      <c r="GB60" s="55"/>
      <c r="GC60" s="55"/>
      <c r="GD60" s="55"/>
      <c r="GE60" s="55"/>
      <c r="GF60" s="55"/>
      <c r="GG60" s="55"/>
      <c r="GH60" s="55"/>
      <c r="GI60" s="55"/>
      <c r="GJ60" s="55"/>
      <c r="GK60" s="55"/>
      <c r="GL60" s="55"/>
      <c r="GM60" s="55"/>
      <c r="GN60" s="55"/>
      <c r="GO60" s="55"/>
      <c r="GP60" s="55"/>
      <c r="GQ60" s="55"/>
      <c r="GR60" s="55"/>
      <c r="GS60" s="55"/>
      <c r="GT60" s="55"/>
      <c r="GU60" s="55"/>
      <c r="GV60" s="55"/>
      <c r="GW60" s="55"/>
      <c r="GX60" s="55"/>
      <c r="GY60" s="55"/>
      <c r="GZ60" s="55"/>
      <c r="HA60" s="55"/>
      <c r="HB60" s="55"/>
      <c r="HC60" s="55"/>
      <c r="HD60" s="55"/>
      <c r="HE60" s="55"/>
      <c r="HF60" s="55"/>
      <c r="HG60" s="55"/>
      <c r="HH60" s="55"/>
      <c r="HI60" s="55"/>
      <c r="HJ60" s="55"/>
      <c r="HK60" s="55"/>
      <c r="HL60" s="55"/>
      <c r="HM60" s="55"/>
      <c r="HN60" s="55"/>
      <c r="HO60" s="55"/>
      <c r="HP60" s="55"/>
      <c r="HQ60" s="55"/>
      <c r="HR60" s="55"/>
      <c r="HS60" s="55"/>
      <c r="HT60" s="55"/>
      <c r="HU60" s="55"/>
      <c r="HV60" s="55"/>
      <c r="HW60" s="55"/>
      <c r="HX60" s="55"/>
      <c r="HY60" s="55"/>
      <c r="HZ60" s="55"/>
      <c r="IA60" s="55"/>
      <c r="IB60" s="55"/>
    </row>
    <row r="61" spans="1:237" ht="15" customHeight="1" x14ac:dyDescent="0.2">
      <c r="A61" s="63" t="s">
        <v>316</v>
      </c>
      <c r="B61" s="46" t="s">
        <v>506</v>
      </c>
      <c r="C61" s="45" t="s">
        <v>254</v>
      </c>
      <c r="D61" s="451"/>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c r="AR61" s="55"/>
      <c r="AS61" s="55"/>
      <c r="AT61" s="55"/>
      <c r="AU61" s="55"/>
      <c r="AV61" s="55"/>
      <c r="AW61" s="55"/>
      <c r="AX61" s="55"/>
      <c r="AY61" s="55"/>
      <c r="AZ61" s="55"/>
      <c r="BA61" s="55"/>
      <c r="BB61" s="55"/>
      <c r="BC61" s="55"/>
      <c r="BD61" s="55"/>
      <c r="BE61" s="55"/>
      <c r="BF61" s="55"/>
      <c r="BG61" s="55"/>
      <c r="BH61" s="55"/>
      <c r="BI61" s="55"/>
      <c r="BJ61" s="55"/>
      <c r="BK61" s="55"/>
      <c r="BL61" s="55"/>
      <c r="BM61" s="55"/>
      <c r="BN61" s="55"/>
      <c r="BO61" s="55"/>
      <c r="BP61" s="55"/>
      <c r="BQ61" s="55"/>
      <c r="BR61" s="55"/>
      <c r="BS61" s="55"/>
      <c r="BT61" s="55"/>
      <c r="BU61" s="55"/>
      <c r="BV61" s="55"/>
      <c r="BW61" s="55"/>
      <c r="BX61" s="55"/>
      <c r="BY61" s="55"/>
      <c r="BZ61" s="55"/>
      <c r="CA61" s="55"/>
      <c r="CB61" s="55"/>
      <c r="CC61" s="55"/>
      <c r="CD61" s="55"/>
      <c r="CE61" s="55"/>
      <c r="CF61" s="55"/>
      <c r="CG61" s="55"/>
      <c r="CH61" s="55"/>
      <c r="CI61" s="55"/>
      <c r="CJ61" s="55"/>
      <c r="CK61" s="55"/>
      <c r="CL61" s="55"/>
      <c r="CM61" s="55"/>
      <c r="CN61" s="55"/>
      <c r="CO61" s="55"/>
      <c r="CP61" s="55"/>
      <c r="CQ61" s="55"/>
      <c r="CR61" s="55"/>
      <c r="CS61" s="55"/>
      <c r="CT61" s="55"/>
      <c r="CU61" s="55"/>
      <c r="CV61" s="55"/>
      <c r="CW61" s="55"/>
      <c r="CX61" s="55"/>
      <c r="CY61" s="55"/>
      <c r="CZ61" s="55"/>
      <c r="DA61" s="55"/>
      <c r="DB61" s="55"/>
      <c r="DC61" s="55"/>
      <c r="DD61" s="55"/>
      <c r="DE61" s="55"/>
      <c r="DF61" s="55"/>
      <c r="DG61" s="55"/>
      <c r="DH61" s="55"/>
      <c r="DI61" s="55"/>
      <c r="DJ61" s="55"/>
      <c r="DK61" s="55"/>
      <c r="DL61" s="55"/>
      <c r="DM61" s="55"/>
      <c r="DN61" s="55"/>
      <c r="DO61" s="55"/>
      <c r="DP61" s="55"/>
      <c r="DQ61" s="55"/>
      <c r="DR61" s="55"/>
      <c r="DS61" s="55"/>
      <c r="DT61" s="55"/>
      <c r="DU61" s="55"/>
      <c r="DV61" s="55"/>
      <c r="DW61" s="55"/>
      <c r="DX61" s="55"/>
      <c r="DY61" s="55"/>
      <c r="DZ61" s="55"/>
      <c r="EA61" s="55"/>
      <c r="EB61" s="55"/>
      <c r="EC61" s="55"/>
      <c r="ED61" s="55"/>
      <c r="EE61" s="55"/>
      <c r="EF61" s="55"/>
      <c r="EG61" s="55"/>
      <c r="EH61" s="55"/>
      <c r="EI61" s="55"/>
      <c r="EJ61" s="55"/>
      <c r="EK61" s="55"/>
      <c r="EL61" s="55"/>
      <c r="EM61" s="55"/>
      <c r="EN61" s="55"/>
      <c r="EO61" s="55"/>
      <c r="EP61" s="55"/>
      <c r="EQ61" s="55"/>
      <c r="ER61" s="55"/>
      <c r="ES61" s="55"/>
      <c r="ET61" s="55"/>
      <c r="EU61" s="55"/>
      <c r="EV61" s="55"/>
      <c r="EW61" s="55"/>
      <c r="EX61" s="55"/>
      <c r="EY61" s="55"/>
      <c r="EZ61" s="55"/>
      <c r="FA61" s="55"/>
      <c r="FB61" s="55"/>
      <c r="FC61" s="55"/>
      <c r="FD61" s="55"/>
      <c r="FE61" s="55"/>
      <c r="FF61" s="55"/>
      <c r="FG61" s="55"/>
      <c r="FH61" s="55"/>
      <c r="FI61" s="55"/>
      <c r="FJ61" s="55"/>
      <c r="FK61" s="55"/>
      <c r="FL61" s="55"/>
      <c r="FM61" s="55"/>
      <c r="FN61" s="55"/>
      <c r="FO61" s="55"/>
      <c r="FP61" s="55"/>
      <c r="FQ61" s="55"/>
      <c r="FR61" s="55"/>
      <c r="FS61" s="55"/>
      <c r="FT61" s="55"/>
      <c r="FU61" s="55"/>
      <c r="FV61" s="55"/>
      <c r="FW61" s="55"/>
      <c r="FX61" s="55"/>
      <c r="FY61" s="55"/>
      <c r="FZ61" s="55"/>
      <c r="GA61" s="55"/>
      <c r="GB61" s="55"/>
      <c r="GC61" s="55"/>
      <c r="GD61" s="55"/>
      <c r="GE61" s="55"/>
      <c r="GF61" s="55"/>
      <c r="GG61" s="55"/>
      <c r="GH61" s="55"/>
      <c r="GI61" s="55"/>
      <c r="GJ61" s="55"/>
      <c r="GK61" s="55"/>
      <c r="GL61" s="55"/>
      <c r="GM61" s="55"/>
      <c r="GN61" s="55"/>
      <c r="GO61" s="55"/>
      <c r="GP61" s="55"/>
      <c r="GQ61" s="55"/>
      <c r="GR61" s="55"/>
      <c r="GS61" s="55"/>
      <c r="GT61" s="55"/>
      <c r="GU61" s="55"/>
      <c r="GV61" s="55"/>
      <c r="GW61" s="55"/>
      <c r="GX61" s="55"/>
      <c r="GY61" s="55"/>
      <c r="GZ61" s="55"/>
      <c r="HA61" s="55"/>
      <c r="HB61" s="55"/>
      <c r="HC61" s="55"/>
      <c r="HD61" s="55"/>
      <c r="HE61" s="55"/>
      <c r="HF61" s="55"/>
      <c r="HG61" s="55"/>
      <c r="HH61" s="55"/>
      <c r="HI61" s="55"/>
      <c r="HJ61" s="55"/>
      <c r="HK61" s="55"/>
      <c r="HL61" s="55"/>
      <c r="HM61" s="55"/>
      <c r="HN61" s="55"/>
      <c r="HO61" s="55"/>
      <c r="HP61" s="55"/>
      <c r="HQ61" s="55"/>
      <c r="HR61" s="55"/>
      <c r="HS61" s="55"/>
      <c r="HT61" s="55"/>
      <c r="HU61" s="55"/>
      <c r="HV61" s="55"/>
      <c r="HW61" s="55"/>
      <c r="HX61" s="55"/>
      <c r="HY61" s="55"/>
      <c r="HZ61" s="55"/>
      <c r="IA61" s="55"/>
      <c r="IB61" s="55"/>
    </row>
    <row r="62" spans="1:237" ht="15" customHeight="1" x14ac:dyDescent="0.2">
      <c r="A62" s="63" t="s">
        <v>317</v>
      </c>
      <c r="B62" s="341" t="s">
        <v>1002</v>
      </c>
      <c r="C62" s="45" t="s">
        <v>198</v>
      </c>
      <c r="D62" s="451"/>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c r="AM62" s="55"/>
      <c r="AN62" s="55"/>
      <c r="AO62" s="55"/>
      <c r="AP62" s="55"/>
      <c r="AQ62" s="55"/>
      <c r="AR62" s="55"/>
      <c r="AS62" s="55"/>
      <c r="AT62" s="55"/>
      <c r="AU62" s="55"/>
      <c r="AV62" s="55"/>
      <c r="AW62" s="55"/>
      <c r="AX62" s="55"/>
      <c r="AY62" s="55"/>
      <c r="AZ62" s="55"/>
      <c r="BA62" s="55"/>
      <c r="BB62" s="55"/>
      <c r="BC62" s="55"/>
      <c r="BD62" s="55"/>
      <c r="BE62" s="55"/>
      <c r="BF62" s="55"/>
      <c r="BG62" s="55"/>
      <c r="BH62" s="55"/>
      <c r="BI62" s="55"/>
      <c r="BJ62" s="55"/>
      <c r="BK62" s="55"/>
      <c r="BL62" s="55"/>
      <c r="BM62" s="55"/>
      <c r="BN62" s="55"/>
      <c r="BO62" s="55"/>
      <c r="BP62" s="55"/>
      <c r="BQ62" s="55"/>
      <c r="BR62" s="55"/>
      <c r="BS62" s="55"/>
      <c r="BT62" s="55"/>
      <c r="BU62" s="55"/>
      <c r="BV62" s="55"/>
      <c r="BW62" s="55"/>
      <c r="BX62" s="55"/>
      <c r="BY62" s="55"/>
      <c r="BZ62" s="55"/>
      <c r="CA62" s="55"/>
      <c r="CB62" s="55"/>
      <c r="CC62" s="55"/>
      <c r="CD62" s="55"/>
      <c r="CE62" s="55"/>
      <c r="CF62" s="55"/>
      <c r="CG62" s="55"/>
      <c r="CH62" s="55"/>
      <c r="CI62" s="55"/>
      <c r="CJ62" s="55"/>
      <c r="CK62" s="55"/>
      <c r="CL62" s="55"/>
      <c r="CM62" s="55"/>
      <c r="CN62" s="55"/>
      <c r="CO62" s="55"/>
      <c r="CP62" s="55"/>
      <c r="CQ62" s="55"/>
      <c r="CR62" s="55"/>
      <c r="CS62" s="55"/>
      <c r="CT62" s="55"/>
      <c r="CU62" s="55"/>
      <c r="CV62" s="55"/>
      <c r="CW62" s="55"/>
      <c r="CX62" s="55"/>
      <c r="CY62" s="55"/>
      <c r="CZ62" s="55"/>
      <c r="DA62" s="55"/>
      <c r="DB62" s="55"/>
      <c r="DC62" s="55"/>
      <c r="DD62" s="55"/>
      <c r="DE62" s="55"/>
      <c r="DF62" s="55"/>
      <c r="DG62" s="55"/>
      <c r="DH62" s="55"/>
      <c r="DI62" s="55"/>
      <c r="DJ62" s="55"/>
      <c r="DK62" s="55"/>
      <c r="DL62" s="55"/>
      <c r="DM62" s="55"/>
      <c r="DN62" s="55"/>
      <c r="DO62" s="55"/>
      <c r="DP62" s="55"/>
      <c r="DQ62" s="55"/>
      <c r="DR62" s="55"/>
      <c r="DS62" s="55"/>
      <c r="DT62" s="55"/>
      <c r="DU62" s="55"/>
      <c r="DV62" s="55"/>
      <c r="DW62" s="55"/>
      <c r="DX62" s="55"/>
      <c r="DY62" s="55"/>
      <c r="DZ62" s="55"/>
      <c r="EA62" s="55"/>
      <c r="EB62" s="55"/>
      <c r="EC62" s="55"/>
      <c r="ED62" s="55"/>
      <c r="EE62" s="55"/>
      <c r="EF62" s="55"/>
      <c r="EG62" s="55"/>
      <c r="EH62" s="55"/>
      <c r="EI62" s="55"/>
      <c r="EJ62" s="55"/>
      <c r="EK62" s="55"/>
      <c r="EL62" s="55"/>
      <c r="EM62" s="55"/>
      <c r="EN62" s="55"/>
      <c r="EO62" s="55"/>
      <c r="EP62" s="55"/>
      <c r="EQ62" s="55"/>
      <c r="ER62" s="55"/>
      <c r="ES62" s="55"/>
      <c r="ET62" s="55"/>
      <c r="EU62" s="55"/>
      <c r="EV62" s="55"/>
      <c r="EW62" s="55"/>
      <c r="EX62" s="55"/>
      <c r="EY62" s="55"/>
      <c r="EZ62" s="55"/>
      <c r="FA62" s="55"/>
      <c r="FB62" s="55"/>
      <c r="FC62" s="55"/>
      <c r="FD62" s="55"/>
      <c r="FE62" s="55"/>
      <c r="FF62" s="55"/>
      <c r="FG62" s="55"/>
      <c r="FH62" s="55"/>
      <c r="FI62" s="55"/>
      <c r="FJ62" s="55"/>
      <c r="FK62" s="55"/>
      <c r="FL62" s="55"/>
      <c r="FM62" s="55"/>
      <c r="FN62" s="55"/>
      <c r="FO62" s="55"/>
      <c r="FP62" s="55"/>
      <c r="FQ62" s="55"/>
      <c r="FR62" s="55"/>
      <c r="FS62" s="55"/>
      <c r="FT62" s="55"/>
      <c r="FU62" s="55"/>
      <c r="FV62" s="55"/>
      <c r="FW62" s="55"/>
      <c r="FX62" s="55"/>
      <c r="FY62" s="55"/>
      <c r="FZ62" s="55"/>
      <c r="GA62" s="55"/>
      <c r="GB62" s="55"/>
      <c r="GC62" s="55"/>
      <c r="GD62" s="55"/>
      <c r="GE62" s="55"/>
      <c r="GF62" s="55"/>
      <c r="GG62" s="55"/>
      <c r="GH62" s="55"/>
      <c r="GI62" s="55"/>
      <c r="GJ62" s="55"/>
      <c r="GK62" s="55"/>
      <c r="GL62" s="55"/>
      <c r="GM62" s="55"/>
      <c r="GN62" s="55"/>
      <c r="GO62" s="55"/>
      <c r="GP62" s="55"/>
      <c r="GQ62" s="55"/>
      <c r="GR62" s="55"/>
      <c r="GS62" s="55"/>
      <c r="GT62" s="55"/>
      <c r="GU62" s="55"/>
      <c r="GV62" s="55"/>
      <c r="GW62" s="55"/>
      <c r="GX62" s="55"/>
      <c r="GY62" s="55"/>
      <c r="GZ62" s="55"/>
      <c r="HA62" s="55"/>
      <c r="HB62" s="55"/>
      <c r="HC62" s="55"/>
      <c r="HD62" s="55"/>
      <c r="HE62" s="55"/>
      <c r="HF62" s="55"/>
      <c r="HG62" s="55"/>
      <c r="HH62" s="55"/>
      <c r="HI62" s="55"/>
      <c r="HJ62" s="55"/>
      <c r="HK62" s="55"/>
      <c r="HL62" s="55"/>
      <c r="HM62" s="55"/>
      <c r="HN62" s="55"/>
      <c r="HO62" s="55"/>
      <c r="HP62" s="55"/>
      <c r="HQ62" s="55"/>
      <c r="HR62" s="55"/>
      <c r="HS62" s="55"/>
      <c r="HT62" s="55"/>
      <c r="HU62" s="55"/>
      <c r="HV62" s="55"/>
      <c r="HW62" s="55"/>
      <c r="HX62" s="55"/>
      <c r="HY62" s="55"/>
      <c r="HZ62" s="55"/>
      <c r="IA62" s="55"/>
      <c r="IB62" s="55"/>
    </row>
    <row r="63" spans="1:237" ht="25.5" x14ac:dyDescent="0.2">
      <c r="A63" s="63" t="s">
        <v>318</v>
      </c>
      <c r="B63" s="341" t="s">
        <v>1003</v>
      </c>
      <c r="C63" s="45" t="s">
        <v>197</v>
      </c>
      <c r="D63" s="451"/>
      <c r="E63" s="55"/>
      <c r="F63" s="55"/>
      <c r="G63" s="55"/>
      <c r="H63" s="55"/>
      <c r="I63" s="55"/>
      <c r="J63" s="55"/>
      <c r="K63" s="55"/>
      <c r="L63" s="55"/>
      <c r="M63" s="55"/>
      <c r="N63" s="55"/>
      <c r="O63" s="55"/>
      <c r="P63" s="55"/>
      <c r="Q63" s="55"/>
      <c r="R63" s="55"/>
      <c r="S63" s="55"/>
      <c r="T63" s="55"/>
      <c r="U63" s="55"/>
      <c r="V63" s="55"/>
      <c r="W63" s="55"/>
      <c r="X63" s="55"/>
      <c r="Y63" s="55"/>
      <c r="Z63" s="55"/>
      <c r="AA63" s="55"/>
      <c r="AB63" s="55"/>
      <c r="AC63" s="55"/>
      <c r="AD63" s="55"/>
      <c r="AE63" s="55"/>
      <c r="AF63" s="55"/>
      <c r="AG63" s="55"/>
      <c r="AH63" s="55"/>
      <c r="AI63" s="55"/>
      <c r="AJ63" s="55"/>
      <c r="AK63" s="55"/>
      <c r="AL63" s="55"/>
      <c r="AM63" s="55"/>
      <c r="AN63" s="55"/>
      <c r="AO63" s="55"/>
      <c r="AP63" s="55"/>
      <c r="AQ63" s="55"/>
      <c r="AR63" s="55"/>
      <c r="AS63" s="55"/>
      <c r="AT63" s="55"/>
      <c r="AU63" s="55"/>
      <c r="AV63" s="55"/>
      <c r="AW63" s="55"/>
      <c r="AX63" s="55"/>
      <c r="AY63" s="55"/>
      <c r="AZ63" s="55"/>
      <c r="BA63" s="55"/>
      <c r="BB63" s="55"/>
      <c r="BC63" s="55"/>
      <c r="BD63" s="55"/>
      <c r="BE63" s="55"/>
      <c r="BF63" s="55"/>
      <c r="BG63" s="55"/>
      <c r="BH63" s="55"/>
      <c r="BI63" s="55"/>
      <c r="BJ63" s="55"/>
      <c r="BK63" s="55"/>
      <c r="BL63" s="55"/>
      <c r="BM63" s="55"/>
      <c r="BN63" s="55"/>
      <c r="BO63" s="55"/>
      <c r="BP63" s="55"/>
      <c r="BQ63" s="55"/>
      <c r="BR63" s="55"/>
      <c r="BS63" s="55"/>
      <c r="BT63" s="55"/>
      <c r="BU63" s="55"/>
      <c r="BV63" s="55"/>
      <c r="BW63" s="55"/>
      <c r="BX63" s="55"/>
      <c r="BY63" s="55"/>
      <c r="BZ63" s="55"/>
      <c r="CA63" s="55"/>
      <c r="CB63" s="55"/>
      <c r="CC63" s="55"/>
      <c r="CD63" s="55"/>
      <c r="CE63" s="55"/>
      <c r="CF63" s="55"/>
      <c r="CG63" s="55"/>
      <c r="CH63" s="55"/>
      <c r="CI63" s="55"/>
      <c r="CJ63" s="55"/>
      <c r="CK63" s="55"/>
      <c r="CL63" s="55"/>
      <c r="CM63" s="55"/>
      <c r="CN63" s="55"/>
      <c r="CO63" s="55"/>
      <c r="CP63" s="55"/>
      <c r="CQ63" s="55"/>
      <c r="CR63" s="55"/>
      <c r="CS63" s="55"/>
      <c r="CT63" s="55"/>
      <c r="CU63" s="55"/>
      <c r="CV63" s="55"/>
      <c r="CW63" s="55"/>
      <c r="CX63" s="55"/>
      <c r="CY63" s="55"/>
      <c r="CZ63" s="55"/>
      <c r="DA63" s="55"/>
      <c r="DB63" s="55"/>
      <c r="DC63" s="55"/>
      <c r="DD63" s="55"/>
      <c r="DE63" s="55"/>
      <c r="DF63" s="55"/>
      <c r="DG63" s="55"/>
      <c r="DH63" s="55"/>
      <c r="DI63" s="55"/>
      <c r="DJ63" s="55"/>
      <c r="DK63" s="55"/>
      <c r="DL63" s="55"/>
      <c r="DM63" s="55"/>
      <c r="DN63" s="55"/>
      <c r="DO63" s="55"/>
      <c r="DP63" s="55"/>
      <c r="DQ63" s="55"/>
      <c r="DR63" s="55"/>
      <c r="DS63" s="55"/>
      <c r="DT63" s="55"/>
      <c r="DU63" s="55"/>
      <c r="DV63" s="55"/>
      <c r="DW63" s="55"/>
      <c r="DX63" s="55"/>
      <c r="DY63" s="55"/>
      <c r="DZ63" s="55"/>
      <c r="EA63" s="55"/>
      <c r="EB63" s="55"/>
      <c r="EC63" s="55"/>
      <c r="ED63" s="55"/>
      <c r="EE63" s="55"/>
      <c r="EF63" s="55"/>
      <c r="EG63" s="55"/>
      <c r="EH63" s="55"/>
      <c r="EI63" s="55"/>
      <c r="EJ63" s="55"/>
      <c r="EK63" s="55"/>
      <c r="EL63" s="55"/>
      <c r="EM63" s="55"/>
      <c r="EN63" s="55"/>
      <c r="EO63" s="55"/>
      <c r="EP63" s="55"/>
      <c r="EQ63" s="55"/>
      <c r="ER63" s="55"/>
      <c r="ES63" s="55"/>
      <c r="ET63" s="55"/>
      <c r="EU63" s="55"/>
      <c r="EV63" s="55"/>
      <c r="EW63" s="55"/>
      <c r="EX63" s="55"/>
      <c r="EY63" s="55"/>
      <c r="EZ63" s="55"/>
      <c r="FA63" s="55"/>
      <c r="FB63" s="55"/>
      <c r="FC63" s="55"/>
      <c r="FD63" s="55"/>
      <c r="FE63" s="55"/>
      <c r="FF63" s="55"/>
      <c r="FG63" s="55"/>
      <c r="FH63" s="55"/>
      <c r="FI63" s="55"/>
      <c r="FJ63" s="55"/>
      <c r="FK63" s="55"/>
      <c r="FL63" s="55"/>
      <c r="FM63" s="55"/>
      <c r="FN63" s="55"/>
      <c r="FO63" s="55"/>
      <c r="FP63" s="55"/>
      <c r="FQ63" s="55"/>
      <c r="FR63" s="55"/>
      <c r="FS63" s="55"/>
      <c r="FT63" s="55"/>
      <c r="FU63" s="55"/>
      <c r="FV63" s="55"/>
      <c r="FW63" s="55"/>
      <c r="FX63" s="55"/>
      <c r="FY63" s="55"/>
      <c r="FZ63" s="55"/>
      <c r="GA63" s="55"/>
      <c r="GB63" s="55"/>
      <c r="GC63" s="55"/>
      <c r="GD63" s="55"/>
      <c r="GE63" s="55"/>
      <c r="GF63" s="55"/>
      <c r="GG63" s="55"/>
      <c r="GH63" s="55"/>
      <c r="GI63" s="55"/>
      <c r="GJ63" s="55"/>
      <c r="GK63" s="55"/>
      <c r="GL63" s="55"/>
      <c r="GM63" s="55"/>
      <c r="GN63" s="55"/>
      <c r="GO63" s="55"/>
      <c r="GP63" s="55"/>
      <c r="GQ63" s="55"/>
      <c r="GR63" s="55"/>
      <c r="GS63" s="55"/>
      <c r="GT63" s="55"/>
      <c r="GU63" s="55"/>
      <c r="GV63" s="55"/>
      <c r="GW63" s="55"/>
      <c r="GX63" s="55"/>
      <c r="GY63" s="55"/>
      <c r="GZ63" s="55"/>
      <c r="HA63" s="55"/>
      <c r="HB63" s="55"/>
      <c r="HC63" s="55"/>
      <c r="HD63" s="55"/>
      <c r="HE63" s="55"/>
      <c r="HF63" s="55"/>
      <c r="HG63" s="55"/>
      <c r="HH63" s="55"/>
      <c r="HI63" s="55"/>
      <c r="HJ63" s="55"/>
      <c r="HK63" s="55"/>
      <c r="HL63" s="55"/>
      <c r="HM63" s="55"/>
      <c r="HN63" s="55"/>
      <c r="HO63" s="55"/>
      <c r="HP63" s="55"/>
      <c r="HQ63" s="55"/>
      <c r="HR63" s="55"/>
      <c r="HS63" s="55"/>
      <c r="HT63" s="55"/>
      <c r="HU63" s="55"/>
      <c r="HV63" s="55"/>
      <c r="HW63" s="55"/>
      <c r="HX63" s="55"/>
      <c r="HY63" s="55"/>
      <c r="HZ63" s="55"/>
      <c r="IA63" s="55"/>
      <c r="IB63" s="55"/>
    </row>
    <row r="64" spans="1:237" ht="15" customHeight="1" x14ac:dyDescent="0.2">
      <c r="A64" s="63" t="s">
        <v>319</v>
      </c>
      <c r="B64" s="46" t="s">
        <v>218</v>
      </c>
      <c r="C64" s="45" t="s">
        <v>198</v>
      </c>
      <c r="D64" s="451"/>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5"/>
      <c r="BR64" s="55"/>
      <c r="BS64" s="55"/>
      <c r="BT64" s="55"/>
      <c r="BU64" s="55"/>
      <c r="BV64" s="55"/>
      <c r="BW64" s="55"/>
      <c r="BX64" s="55"/>
      <c r="BY64" s="55"/>
      <c r="BZ64" s="55"/>
      <c r="CA64" s="55"/>
      <c r="CB64" s="55"/>
      <c r="CC64" s="55"/>
      <c r="CD64" s="55"/>
      <c r="CE64" s="55"/>
      <c r="CF64" s="55"/>
      <c r="CG64" s="55"/>
      <c r="CH64" s="55"/>
      <c r="CI64" s="55"/>
      <c r="CJ64" s="55"/>
      <c r="CK64" s="55"/>
      <c r="CL64" s="55"/>
      <c r="CM64" s="55"/>
      <c r="CN64" s="55"/>
      <c r="CO64" s="55"/>
      <c r="CP64" s="55"/>
      <c r="CQ64" s="55"/>
      <c r="CR64" s="55"/>
      <c r="CS64" s="55"/>
      <c r="CT64" s="55"/>
      <c r="CU64" s="55"/>
      <c r="CV64" s="55"/>
      <c r="CW64" s="55"/>
      <c r="CX64" s="55"/>
      <c r="CY64" s="55"/>
      <c r="CZ64" s="55"/>
      <c r="DA64" s="55"/>
      <c r="DB64" s="55"/>
      <c r="DC64" s="55"/>
      <c r="DD64" s="55"/>
      <c r="DE64" s="55"/>
      <c r="DF64" s="55"/>
      <c r="DG64" s="55"/>
      <c r="DH64" s="55"/>
      <c r="DI64" s="55"/>
      <c r="DJ64" s="55"/>
      <c r="DK64" s="55"/>
      <c r="DL64" s="55"/>
      <c r="DM64" s="55"/>
      <c r="DN64" s="55"/>
      <c r="DO64" s="55"/>
      <c r="DP64" s="55"/>
      <c r="DQ64" s="55"/>
      <c r="DR64" s="55"/>
      <c r="DS64" s="55"/>
      <c r="DT64" s="55"/>
      <c r="DU64" s="55"/>
      <c r="DV64" s="55"/>
      <c r="DW64" s="55"/>
      <c r="DX64" s="55"/>
      <c r="DY64" s="55"/>
      <c r="DZ64" s="55"/>
      <c r="EA64" s="55"/>
      <c r="EB64" s="55"/>
      <c r="EC64" s="55"/>
      <c r="ED64" s="55"/>
      <c r="EE64" s="55"/>
      <c r="EF64" s="55"/>
      <c r="EG64" s="55"/>
      <c r="EH64" s="55"/>
      <c r="EI64" s="55"/>
      <c r="EJ64" s="55"/>
      <c r="EK64" s="55"/>
      <c r="EL64" s="55"/>
      <c r="EM64" s="55"/>
      <c r="EN64" s="55"/>
      <c r="EO64" s="55"/>
      <c r="EP64" s="55"/>
      <c r="EQ64" s="55"/>
      <c r="ER64" s="55"/>
      <c r="ES64" s="55"/>
      <c r="ET64" s="55"/>
      <c r="EU64" s="55"/>
      <c r="EV64" s="55"/>
      <c r="EW64" s="55"/>
      <c r="EX64" s="55"/>
      <c r="EY64" s="55"/>
      <c r="EZ64" s="55"/>
      <c r="FA64" s="55"/>
      <c r="FB64" s="55"/>
      <c r="FC64" s="55"/>
      <c r="FD64" s="55"/>
      <c r="FE64" s="55"/>
      <c r="FF64" s="55"/>
      <c r="FG64" s="55"/>
      <c r="FH64" s="55"/>
      <c r="FI64" s="55"/>
      <c r="FJ64" s="55"/>
      <c r="FK64" s="55"/>
      <c r="FL64" s="55"/>
      <c r="FM64" s="55"/>
      <c r="FN64" s="55"/>
      <c r="FO64" s="55"/>
      <c r="FP64" s="55"/>
      <c r="FQ64" s="55"/>
      <c r="FR64" s="55"/>
      <c r="FS64" s="55"/>
      <c r="FT64" s="55"/>
      <c r="FU64" s="55"/>
      <c r="FV64" s="55"/>
      <c r="FW64" s="55"/>
      <c r="FX64" s="55"/>
      <c r="FY64" s="55"/>
      <c r="FZ64" s="55"/>
      <c r="GA64" s="55"/>
      <c r="GB64" s="55"/>
      <c r="GC64" s="55"/>
      <c r="GD64" s="55"/>
      <c r="GE64" s="55"/>
      <c r="GF64" s="55"/>
      <c r="GG64" s="55"/>
      <c r="GH64" s="55"/>
      <c r="GI64" s="55"/>
      <c r="GJ64" s="55"/>
      <c r="GK64" s="55"/>
      <c r="GL64" s="55"/>
      <c r="GM64" s="55"/>
      <c r="GN64" s="55"/>
      <c r="GO64" s="55"/>
      <c r="GP64" s="55"/>
      <c r="GQ64" s="55"/>
      <c r="GR64" s="55"/>
      <c r="GS64" s="55"/>
      <c r="GT64" s="55"/>
      <c r="GU64" s="55"/>
      <c r="GV64" s="55"/>
      <c r="GW64" s="55"/>
      <c r="GX64" s="55"/>
      <c r="GY64" s="55"/>
      <c r="GZ64" s="55"/>
      <c r="HA64" s="55"/>
      <c r="HB64" s="55"/>
      <c r="HC64" s="55"/>
      <c r="HD64" s="55"/>
      <c r="HE64" s="55"/>
      <c r="HF64" s="55"/>
      <c r="HG64" s="55"/>
      <c r="HH64" s="55"/>
      <c r="HI64" s="55"/>
      <c r="HJ64" s="55"/>
      <c r="HK64" s="55"/>
      <c r="HL64" s="55"/>
      <c r="HM64" s="55"/>
      <c r="HN64" s="55"/>
      <c r="HO64" s="55"/>
      <c r="HP64" s="55"/>
      <c r="HQ64" s="55"/>
      <c r="HR64" s="55"/>
      <c r="HS64" s="55"/>
      <c r="HT64" s="55"/>
      <c r="HU64" s="55"/>
      <c r="HV64" s="55"/>
      <c r="HW64" s="55"/>
      <c r="HX64" s="55"/>
      <c r="HY64" s="55"/>
      <c r="HZ64" s="55"/>
      <c r="IA64" s="55"/>
      <c r="IB64" s="55"/>
    </row>
    <row r="65" spans="1:236" ht="15" customHeight="1" x14ac:dyDescent="0.2">
      <c r="A65" s="63" t="s">
        <v>320</v>
      </c>
      <c r="B65" s="44" t="s">
        <v>219</v>
      </c>
      <c r="C65" s="45" t="s">
        <v>198</v>
      </c>
      <c r="D65" s="451"/>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c r="CG65" s="55"/>
      <c r="CH65" s="55"/>
      <c r="CI65" s="55"/>
      <c r="CJ65" s="55"/>
      <c r="CK65" s="55"/>
      <c r="CL65" s="55"/>
      <c r="CM65" s="55"/>
      <c r="CN65" s="55"/>
      <c r="CO65" s="55"/>
      <c r="CP65" s="55"/>
      <c r="CQ65" s="55"/>
      <c r="CR65" s="55"/>
      <c r="CS65" s="55"/>
      <c r="CT65" s="55"/>
      <c r="CU65" s="55"/>
      <c r="CV65" s="55"/>
      <c r="CW65" s="55"/>
      <c r="CX65" s="55"/>
      <c r="CY65" s="55"/>
      <c r="CZ65" s="55"/>
      <c r="DA65" s="55"/>
      <c r="DB65" s="55"/>
      <c r="DC65" s="55"/>
      <c r="DD65" s="55"/>
      <c r="DE65" s="55"/>
      <c r="DF65" s="55"/>
      <c r="DG65" s="55"/>
      <c r="DH65" s="55"/>
      <c r="DI65" s="55"/>
      <c r="DJ65" s="55"/>
      <c r="DK65" s="55"/>
      <c r="DL65" s="55"/>
      <c r="DM65" s="55"/>
      <c r="DN65" s="55"/>
      <c r="DO65" s="55"/>
      <c r="DP65" s="55"/>
      <c r="DQ65" s="55"/>
      <c r="DR65" s="55"/>
      <c r="DS65" s="55"/>
      <c r="DT65" s="55"/>
      <c r="DU65" s="55"/>
      <c r="DV65" s="55"/>
      <c r="DW65" s="55"/>
      <c r="DX65" s="55"/>
      <c r="DY65" s="55"/>
      <c r="DZ65" s="55"/>
      <c r="EA65" s="55"/>
      <c r="EB65" s="55"/>
      <c r="EC65" s="55"/>
      <c r="ED65" s="55"/>
      <c r="EE65" s="55"/>
      <c r="EF65" s="55"/>
      <c r="EG65" s="55"/>
      <c r="EH65" s="55"/>
      <c r="EI65" s="55"/>
      <c r="EJ65" s="55"/>
      <c r="EK65" s="55"/>
      <c r="EL65" s="55"/>
      <c r="EM65" s="55"/>
      <c r="EN65" s="55"/>
      <c r="EO65" s="55"/>
      <c r="EP65" s="55"/>
      <c r="EQ65" s="55"/>
      <c r="ER65" s="55"/>
      <c r="ES65" s="55"/>
      <c r="ET65" s="55"/>
      <c r="EU65" s="55"/>
      <c r="EV65" s="55"/>
      <c r="EW65" s="55"/>
      <c r="EX65" s="55"/>
      <c r="EY65" s="55"/>
      <c r="EZ65" s="55"/>
      <c r="FA65" s="55"/>
      <c r="FB65" s="55"/>
      <c r="FC65" s="55"/>
      <c r="FD65" s="55"/>
      <c r="FE65" s="55"/>
      <c r="FF65" s="55"/>
      <c r="FG65" s="55"/>
      <c r="FH65" s="55"/>
      <c r="FI65" s="55"/>
      <c r="FJ65" s="55"/>
      <c r="FK65" s="55"/>
      <c r="FL65" s="55"/>
      <c r="FM65" s="55"/>
      <c r="FN65" s="55"/>
      <c r="FO65" s="55"/>
      <c r="FP65" s="55"/>
      <c r="FQ65" s="55"/>
      <c r="FR65" s="55"/>
      <c r="FS65" s="55"/>
      <c r="FT65" s="55"/>
      <c r="FU65" s="55"/>
      <c r="FV65" s="55"/>
      <c r="FW65" s="55"/>
      <c r="FX65" s="55"/>
      <c r="FY65" s="55"/>
      <c r="FZ65" s="55"/>
      <c r="GA65" s="55"/>
      <c r="GB65" s="55"/>
      <c r="GC65" s="55"/>
      <c r="GD65" s="55"/>
      <c r="GE65" s="55"/>
      <c r="GF65" s="55"/>
      <c r="GG65" s="55"/>
      <c r="GH65" s="55"/>
      <c r="GI65" s="55"/>
      <c r="GJ65" s="55"/>
      <c r="GK65" s="55"/>
      <c r="GL65" s="55"/>
      <c r="GM65" s="55"/>
      <c r="GN65" s="55"/>
      <c r="GO65" s="55"/>
      <c r="GP65" s="55"/>
      <c r="GQ65" s="55"/>
      <c r="GR65" s="55"/>
      <c r="GS65" s="55"/>
      <c r="GT65" s="55"/>
      <c r="GU65" s="55"/>
      <c r="GV65" s="55"/>
      <c r="GW65" s="55"/>
      <c r="GX65" s="55"/>
      <c r="GY65" s="55"/>
      <c r="GZ65" s="55"/>
      <c r="HA65" s="55"/>
      <c r="HB65" s="55"/>
      <c r="HC65" s="55"/>
      <c r="HD65" s="55"/>
      <c r="HE65" s="55"/>
      <c r="HF65" s="55"/>
      <c r="HG65" s="55"/>
      <c r="HH65" s="55"/>
      <c r="HI65" s="55"/>
      <c r="HJ65" s="55"/>
      <c r="HK65" s="55"/>
      <c r="HL65" s="55"/>
      <c r="HM65" s="55"/>
      <c r="HN65" s="55"/>
      <c r="HO65" s="55"/>
      <c r="HP65" s="55"/>
      <c r="HQ65" s="55"/>
      <c r="HR65" s="55"/>
      <c r="HS65" s="55"/>
      <c r="HT65" s="55"/>
      <c r="HU65" s="55"/>
      <c r="HV65" s="55"/>
      <c r="HW65" s="55"/>
      <c r="HX65" s="55"/>
      <c r="HY65" s="55"/>
      <c r="HZ65" s="55"/>
      <c r="IA65" s="55"/>
      <c r="IB65" s="55"/>
    </row>
    <row r="66" spans="1:236" ht="15" customHeight="1" x14ac:dyDescent="0.2">
      <c r="A66" s="63" t="s">
        <v>321</v>
      </c>
      <c r="B66" s="44" t="s">
        <v>220</v>
      </c>
      <c r="C66" s="45" t="s">
        <v>197</v>
      </c>
      <c r="D66" s="451"/>
      <c r="E66" s="55"/>
      <c r="F66" s="55"/>
      <c r="G66" s="55"/>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c r="AH66" s="55"/>
      <c r="AI66" s="55"/>
      <c r="AJ66" s="55"/>
      <c r="AK66" s="55"/>
      <c r="AL66" s="55"/>
      <c r="AM66" s="55"/>
      <c r="AN66" s="55"/>
      <c r="AO66" s="55"/>
      <c r="AP66" s="55"/>
      <c r="AQ66" s="55"/>
      <c r="AR66" s="55"/>
      <c r="AS66" s="55"/>
      <c r="AT66" s="55"/>
      <c r="AU66" s="55"/>
      <c r="AV66" s="55"/>
      <c r="AW66" s="55"/>
      <c r="AX66" s="55"/>
      <c r="AY66" s="55"/>
      <c r="AZ66" s="55"/>
      <c r="BA66" s="55"/>
      <c r="BB66" s="55"/>
      <c r="BC66" s="55"/>
      <c r="BD66" s="55"/>
      <c r="BE66" s="55"/>
      <c r="BF66" s="55"/>
      <c r="BG66" s="55"/>
      <c r="BH66" s="55"/>
      <c r="BI66" s="55"/>
      <c r="BJ66" s="55"/>
      <c r="BK66" s="55"/>
      <c r="BL66" s="55"/>
      <c r="BM66" s="55"/>
      <c r="BN66" s="55"/>
      <c r="BO66" s="55"/>
      <c r="BP66" s="55"/>
      <c r="BQ66" s="55"/>
      <c r="BR66" s="55"/>
      <c r="BS66" s="55"/>
      <c r="BT66" s="55"/>
      <c r="BU66" s="55"/>
      <c r="BV66" s="55"/>
      <c r="BW66" s="55"/>
      <c r="BX66" s="55"/>
      <c r="BY66" s="55"/>
      <c r="BZ66" s="55"/>
      <c r="CA66" s="55"/>
      <c r="CB66" s="55"/>
      <c r="CC66" s="55"/>
      <c r="CD66" s="55"/>
      <c r="CE66" s="55"/>
      <c r="CF66" s="55"/>
      <c r="CG66" s="55"/>
      <c r="CH66" s="55"/>
      <c r="CI66" s="55"/>
      <c r="CJ66" s="55"/>
      <c r="CK66" s="55"/>
      <c r="CL66" s="55"/>
      <c r="CM66" s="55"/>
      <c r="CN66" s="55"/>
      <c r="CO66" s="55"/>
      <c r="CP66" s="55"/>
      <c r="CQ66" s="55"/>
      <c r="CR66" s="55"/>
      <c r="CS66" s="55"/>
      <c r="CT66" s="55"/>
      <c r="CU66" s="55"/>
      <c r="CV66" s="55"/>
      <c r="CW66" s="55"/>
      <c r="CX66" s="55"/>
      <c r="CY66" s="55"/>
      <c r="CZ66" s="55"/>
      <c r="DA66" s="55"/>
      <c r="DB66" s="55"/>
      <c r="DC66" s="55"/>
      <c r="DD66" s="55"/>
      <c r="DE66" s="55"/>
      <c r="DF66" s="55"/>
      <c r="DG66" s="55"/>
      <c r="DH66" s="55"/>
      <c r="DI66" s="55"/>
      <c r="DJ66" s="55"/>
      <c r="DK66" s="55"/>
      <c r="DL66" s="55"/>
      <c r="DM66" s="55"/>
      <c r="DN66" s="55"/>
      <c r="DO66" s="55"/>
      <c r="DP66" s="55"/>
      <c r="DQ66" s="55"/>
      <c r="DR66" s="55"/>
      <c r="DS66" s="55"/>
      <c r="DT66" s="55"/>
      <c r="DU66" s="55"/>
      <c r="DV66" s="55"/>
      <c r="DW66" s="55"/>
      <c r="DX66" s="55"/>
      <c r="DY66" s="55"/>
      <c r="DZ66" s="55"/>
      <c r="EA66" s="55"/>
      <c r="EB66" s="55"/>
      <c r="EC66" s="55"/>
      <c r="ED66" s="55"/>
      <c r="EE66" s="55"/>
      <c r="EF66" s="55"/>
      <c r="EG66" s="55"/>
      <c r="EH66" s="55"/>
      <c r="EI66" s="55"/>
      <c r="EJ66" s="55"/>
      <c r="EK66" s="55"/>
      <c r="EL66" s="55"/>
      <c r="EM66" s="55"/>
      <c r="EN66" s="55"/>
      <c r="EO66" s="55"/>
      <c r="EP66" s="55"/>
      <c r="EQ66" s="55"/>
      <c r="ER66" s="55"/>
      <c r="ES66" s="55"/>
      <c r="ET66" s="55"/>
      <c r="EU66" s="55"/>
      <c r="EV66" s="55"/>
      <c r="EW66" s="55"/>
      <c r="EX66" s="55"/>
      <c r="EY66" s="55"/>
      <c r="EZ66" s="55"/>
      <c r="FA66" s="55"/>
      <c r="FB66" s="55"/>
      <c r="FC66" s="55"/>
      <c r="FD66" s="55"/>
      <c r="FE66" s="55"/>
      <c r="FF66" s="55"/>
      <c r="FG66" s="55"/>
      <c r="FH66" s="55"/>
      <c r="FI66" s="55"/>
      <c r="FJ66" s="55"/>
      <c r="FK66" s="55"/>
      <c r="FL66" s="55"/>
      <c r="FM66" s="55"/>
      <c r="FN66" s="55"/>
      <c r="FO66" s="55"/>
      <c r="FP66" s="55"/>
      <c r="FQ66" s="55"/>
      <c r="FR66" s="55"/>
      <c r="FS66" s="55"/>
      <c r="FT66" s="55"/>
      <c r="FU66" s="55"/>
      <c r="FV66" s="55"/>
      <c r="FW66" s="55"/>
      <c r="FX66" s="55"/>
      <c r="FY66" s="55"/>
      <c r="FZ66" s="55"/>
      <c r="GA66" s="55"/>
      <c r="GB66" s="55"/>
      <c r="GC66" s="55"/>
      <c r="GD66" s="55"/>
      <c r="GE66" s="55"/>
      <c r="GF66" s="55"/>
      <c r="GG66" s="55"/>
      <c r="GH66" s="55"/>
      <c r="GI66" s="55"/>
      <c r="GJ66" s="55"/>
      <c r="GK66" s="55"/>
      <c r="GL66" s="55"/>
      <c r="GM66" s="55"/>
      <c r="GN66" s="55"/>
      <c r="GO66" s="55"/>
      <c r="GP66" s="55"/>
      <c r="GQ66" s="55"/>
      <c r="GR66" s="55"/>
      <c r="GS66" s="55"/>
      <c r="GT66" s="55"/>
      <c r="GU66" s="55"/>
      <c r="GV66" s="55"/>
      <c r="GW66" s="55"/>
      <c r="GX66" s="55"/>
      <c r="GY66" s="55"/>
      <c r="GZ66" s="55"/>
      <c r="HA66" s="55"/>
      <c r="HB66" s="55"/>
      <c r="HC66" s="55"/>
      <c r="HD66" s="55"/>
      <c r="HE66" s="55"/>
      <c r="HF66" s="55"/>
      <c r="HG66" s="55"/>
      <c r="HH66" s="55"/>
      <c r="HI66" s="55"/>
      <c r="HJ66" s="55"/>
      <c r="HK66" s="55"/>
      <c r="HL66" s="55"/>
      <c r="HM66" s="55"/>
      <c r="HN66" s="55"/>
      <c r="HO66" s="55"/>
      <c r="HP66" s="55"/>
      <c r="HQ66" s="55"/>
      <c r="HR66" s="55"/>
      <c r="HS66" s="55"/>
      <c r="HT66" s="55"/>
      <c r="HU66" s="55"/>
      <c r="HV66" s="55"/>
      <c r="HW66" s="55"/>
      <c r="HX66" s="55"/>
      <c r="HY66" s="55"/>
      <c r="HZ66" s="55"/>
      <c r="IA66" s="55"/>
      <c r="IB66" s="55"/>
    </row>
    <row r="67" spans="1:236" ht="15" customHeight="1" x14ac:dyDescent="0.2">
      <c r="A67" s="63" t="s">
        <v>322</v>
      </c>
      <c r="B67" s="44" t="s">
        <v>221</v>
      </c>
      <c r="C67" s="45" t="s">
        <v>198</v>
      </c>
      <c r="D67" s="451"/>
      <c r="E67" s="55"/>
      <c r="F67" s="55"/>
      <c r="G67" s="55"/>
      <c r="H67" s="55"/>
      <c r="I67" s="55"/>
      <c r="J67" s="55"/>
      <c r="K67" s="55"/>
      <c r="L67" s="55"/>
      <c r="M67" s="55"/>
      <c r="N67" s="55"/>
      <c r="O67" s="55"/>
      <c r="P67" s="55"/>
      <c r="Q67" s="55"/>
      <c r="R67" s="55"/>
      <c r="S67" s="55"/>
      <c r="T67" s="55"/>
      <c r="U67" s="55"/>
      <c r="V67" s="55"/>
      <c r="W67" s="55"/>
      <c r="X67" s="55"/>
      <c r="Y67" s="55"/>
      <c r="Z67" s="55"/>
      <c r="AA67" s="55"/>
      <c r="AB67" s="55"/>
      <c r="AC67" s="55"/>
      <c r="AD67" s="55"/>
      <c r="AE67" s="55"/>
      <c r="AF67" s="55"/>
      <c r="AG67" s="55"/>
      <c r="AH67" s="55"/>
      <c r="AI67" s="55"/>
      <c r="AJ67" s="55"/>
      <c r="AK67" s="55"/>
      <c r="AL67" s="55"/>
      <c r="AM67" s="55"/>
      <c r="AN67" s="55"/>
      <c r="AO67" s="55"/>
      <c r="AP67" s="55"/>
      <c r="AQ67" s="55"/>
      <c r="AR67" s="55"/>
      <c r="AS67" s="55"/>
      <c r="AT67" s="55"/>
      <c r="AU67" s="55"/>
      <c r="AV67" s="55"/>
      <c r="AW67" s="55"/>
      <c r="AX67" s="55"/>
      <c r="AY67" s="55"/>
      <c r="AZ67" s="55"/>
      <c r="BA67" s="55"/>
      <c r="BB67" s="55"/>
      <c r="BC67" s="55"/>
      <c r="BD67" s="55"/>
      <c r="BE67" s="55"/>
      <c r="BF67" s="55"/>
      <c r="BG67" s="55"/>
      <c r="BH67" s="55"/>
      <c r="BI67" s="55"/>
      <c r="BJ67" s="55"/>
      <c r="BK67" s="55"/>
      <c r="BL67" s="55"/>
      <c r="BM67" s="55"/>
      <c r="BN67" s="55"/>
      <c r="BO67" s="55"/>
      <c r="BP67" s="55"/>
      <c r="BQ67" s="55"/>
      <c r="BR67" s="55"/>
      <c r="BS67" s="55"/>
      <c r="BT67" s="55"/>
      <c r="BU67" s="55"/>
      <c r="BV67" s="55"/>
      <c r="BW67" s="55"/>
      <c r="BX67" s="55"/>
      <c r="BY67" s="55"/>
      <c r="BZ67" s="55"/>
      <c r="CA67" s="55"/>
      <c r="CB67" s="55"/>
      <c r="CC67" s="55"/>
      <c r="CD67" s="55"/>
      <c r="CE67" s="55"/>
      <c r="CF67" s="55"/>
      <c r="CG67" s="55"/>
      <c r="CH67" s="55"/>
      <c r="CI67" s="55"/>
      <c r="CJ67" s="55"/>
      <c r="CK67" s="55"/>
      <c r="CL67" s="55"/>
      <c r="CM67" s="55"/>
      <c r="CN67" s="55"/>
      <c r="CO67" s="55"/>
      <c r="CP67" s="55"/>
      <c r="CQ67" s="55"/>
      <c r="CR67" s="55"/>
      <c r="CS67" s="55"/>
      <c r="CT67" s="55"/>
      <c r="CU67" s="55"/>
      <c r="CV67" s="55"/>
      <c r="CW67" s="55"/>
      <c r="CX67" s="55"/>
      <c r="CY67" s="55"/>
      <c r="CZ67" s="55"/>
      <c r="DA67" s="55"/>
      <c r="DB67" s="55"/>
      <c r="DC67" s="55"/>
      <c r="DD67" s="55"/>
      <c r="DE67" s="55"/>
      <c r="DF67" s="55"/>
      <c r="DG67" s="55"/>
      <c r="DH67" s="55"/>
      <c r="DI67" s="55"/>
      <c r="DJ67" s="55"/>
      <c r="DK67" s="55"/>
      <c r="DL67" s="55"/>
      <c r="DM67" s="55"/>
      <c r="DN67" s="55"/>
      <c r="DO67" s="55"/>
      <c r="DP67" s="55"/>
      <c r="DQ67" s="55"/>
      <c r="DR67" s="55"/>
      <c r="DS67" s="55"/>
      <c r="DT67" s="55"/>
      <c r="DU67" s="55"/>
      <c r="DV67" s="55"/>
      <c r="DW67" s="55"/>
      <c r="DX67" s="55"/>
      <c r="DY67" s="55"/>
      <c r="DZ67" s="55"/>
      <c r="EA67" s="55"/>
      <c r="EB67" s="55"/>
      <c r="EC67" s="55"/>
      <c r="ED67" s="55"/>
      <c r="EE67" s="55"/>
      <c r="EF67" s="55"/>
      <c r="EG67" s="55"/>
      <c r="EH67" s="55"/>
      <c r="EI67" s="55"/>
      <c r="EJ67" s="55"/>
      <c r="EK67" s="55"/>
      <c r="EL67" s="55"/>
      <c r="EM67" s="55"/>
      <c r="EN67" s="55"/>
      <c r="EO67" s="55"/>
      <c r="EP67" s="55"/>
      <c r="EQ67" s="55"/>
      <c r="ER67" s="55"/>
      <c r="ES67" s="55"/>
      <c r="ET67" s="55"/>
      <c r="EU67" s="55"/>
      <c r="EV67" s="55"/>
      <c r="EW67" s="55"/>
      <c r="EX67" s="55"/>
      <c r="EY67" s="55"/>
      <c r="EZ67" s="55"/>
      <c r="FA67" s="55"/>
      <c r="FB67" s="55"/>
      <c r="FC67" s="55"/>
      <c r="FD67" s="55"/>
      <c r="FE67" s="55"/>
      <c r="FF67" s="55"/>
      <c r="FG67" s="55"/>
      <c r="FH67" s="55"/>
      <c r="FI67" s="55"/>
      <c r="FJ67" s="55"/>
      <c r="FK67" s="55"/>
      <c r="FL67" s="55"/>
      <c r="FM67" s="55"/>
      <c r="FN67" s="55"/>
      <c r="FO67" s="55"/>
      <c r="FP67" s="55"/>
      <c r="FQ67" s="55"/>
      <c r="FR67" s="55"/>
      <c r="FS67" s="55"/>
      <c r="FT67" s="55"/>
      <c r="FU67" s="55"/>
      <c r="FV67" s="55"/>
      <c r="FW67" s="55"/>
      <c r="FX67" s="55"/>
      <c r="FY67" s="55"/>
      <c r="FZ67" s="55"/>
      <c r="GA67" s="55"/>
      <c r="GB67" s="55"/>
      <c r="GC67" s="55"/>
      <c r="GD67" s="55"/>
      <c r="GE67" s="55"/>
      <c r="GF67" s="55"/>
      <c r="GG67" s="55"/>
      <c r="GH67" s="55"/>
      <c r="GI67" s="55"/>
      <c r="GJ67" s="55"/>
      <c r="GK67" s="55"/>
      <c r="GL67" s="55"/>
      <c r="GM67" s="55"/>
      <c r="GN67" s="55"/>
      <c r="GO67" s="55"/>
      <c r="GP67" s="55"/>
      <c r="GQ67" s="55"/>
      <c r="GR67" s="55"/>
      <c r="GS67" s="55"/>
      <c r="GT67" s="55"/>
      <c r="GU67" s="55"/>
      <c r="GV67" s="55"/>
      <c r="GW67" s="55"/>
      <c r="GX67" s="55"/>
      <c r="GY67" s="55"/>
      <c r="GZ67" s="55"/>
      <c r="HA67" s="55"/>
      <c r="HB67" s="55"/>
      <c r="HC67" s="55"/>
      <c r="HD67" s="55"/>
      <c r="HE67" s="55"/>
      <c r="HF67" s="55"/>
      <c r="HG67" s="55"/>
      <c r="HH67" s="55"/>
      <c r="HI67" s="55"/>
      <c r="HJ67" s="55"/>
      <c r="HK67" s="55"/>
      <c r="HL67" s="55"/>
      <c r="HM67" s="55"/>
      <c r="HN67" s="55"/>
      <c r="HO67" s="55"/>
      <c r="HP67" s="55"/>
      <c r="HQ67" s="55"/>
      <c r="HR67" s="55"/>
      <c r="HS67" s="55"/>
      <c r="HT67" s="55"/>
      <c r="HU67" s="55"/>
      <c r="HV67" s="55"/>
      <c r="HW67" s="55"/>
      <c r="HX67" s="55"/>
      <c r="HY67" s="55"/>
      <c r="HZ67" s="55"/>
      <c r="IA67" s="55"/>
      <c r="IB67" s="55"/>
    </row>
    <row r="68" spans="1:236" ht="15" customHeight="1" x14ac:dyDescent="0.2">
      <c r="A68" s="63" t="s">
        <v>323</v>
      </c>
      <c r="B68" s="44" t="s">
        <v>469</v>
      </c>
      <c r="C68" s="45" t="s">
        <v>198</v>
      </c>
      <c r="D68" s="451"/>
      <c r="E68" s="55"/>
      <c r="F68" s="55"/>
      <c r="G68" s="55"/>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c r="AH68" s="55"/>
      <c r="AI68" s="55"/>
      <c r="AJ68" s="55"/>
      <c r="AK68" s="55"/>
      <c r="AL68" s="55"/>
      <c r="AM68" s="55"/>
      <c r="AN68" s="55"/>
      <c r="AO68" s="55"/>
      <c r="AP68" s="55"/>
      <c r="AQ68" s="55"/>
      <c r="AR68" s="55"/>
      <c r="AS68" s="55"/>
      <c r="AT68" s="55"/>
      <c r="AU68" s="55"/>
      <c r="AV68" s="55"/>
      <c r="AW68" s="55"/>
      <c r="AX68" s="55"/>
      <c r="AY68" s="55"/>
      <c r="AZ68" s="55"/>
      <c r="BA68" s="55"/>
      <c r="BB68" s="55"/>
      <c r="BC68" s="55"/>
      <c r="BD68" s="55"/>
      <c r="BE68" s="55"/>
      <c r="BF68" s="55"/>
      <c r="BG68" s="55"/>
      <c r="BH68" s="55"/>
      <c r="BI68" s="55"/>
      <c r="BJ68" s="55"/>
      <c r="BK68" s="55"/>
      <c r="BL68" s="55"/>
      <c r="BM68" s="55"/>
      <c r="BN68" s="55"/>
      <c r="BO68" s="55"/>
      <c r="BP68" s="55"/>
      <c r="BQ68" s="55"/>
      <c r="BR68" s="55"/>
      <c r="BS68" s="55"/>
      <c r="BT68" s="55"/>
      <c r="BU68" s="55"/>
      <c r="BV68" s="55"/>
      <c r="BW68" s="55"/>
      <c r="BX68" s="55"/>
      <c r="BY68" s="55"/>
      <c r="BZ68" s="55"/>
      <c r="CA68" s="55"/>
      <c r="CB68" s="55"/>
      <c r="CC68" s="55"/>
      <c r="CD68" s="55"/>
      <c r="CE68" s="55"/>
      <c r="CF68" s="55"/>
      <c r="CG68" s="55"/>
      <c r="CH68" s="55"/>
      <c r="CI68" s="55"/>
      <c r="CJ68" s="55"/>
      <c r="CK68" s="55"/>
      <c r="CL68" s="55"/>
      <c r="CM68" s="55"/>
      <c r="CN68" s="55"/>
      <c r="CO68" s="55"/>
      <c r="CP68" s="55"/>
      <c r="CQ68" s="55"/>
      <c r="CR68" s="55"/>
      <c r="CS68" s="55"/>
      <c r="CT68" s="55"/>
      <c r="CU68" s="55"/>
      <c r="CV68" s="55"/>
      <c r="CW68" s="55"/>
      <c r="CX68" s="55"/>
      <c r="CY68" s="55"/>
      <c r="CZ68" s="55"/>
      <c r="DA68" s="55"/>
      <c r="DB68" s="55"/>
      <c r="DC68" s="55"/>
      <c r="DD68" s="55"/>
      <c r="DE68" s="55"/>
      <c r="DF68" s="55"/>
      <c r="DG68" s="55"/>
      <c r="DH68" s="55"/>
      <c r="DI68" s="55"/>
      <c r="DJ68" s="55"/>
      <c r="DK68" s="55"/>
      <c r="DL68" s="55"/>
      <c r="DM68" s="55"/>
      <c r="DN68" s="55"/>
      <c r="DO68" s="55"/>
      <c r="DP68" s="55"/>
      <c r="DQ68" s="55"/>
      <c r="DR68" s="55"/>
      <c r="DS68" s="55"/>
      <c r="DT68" s="55"/>
      <c r="DU68" s="55"/>
      <c r="DV68" s="55"/>
      <c r="DW68" s="55"/>
      <c r="DX68" s="55"/>
      <c r="DY68" s="55"/>
      <c r="DZ68" s="55"/>
      <c r="EA68" s="55"/>
      <c r="EB68" s="55"/>
      <c r="EC68" s="55"/>
      <c r="ED68" s="55"/>
      <c r="EE68" s="55"/>
      <c r="EF68" s="55"/>
      <c r="EG68" s="55"/>
      <c r="EH68" s="55"/>
      <c r="EI68" s="55"/>
      <c r="EJ68" s="55"/>
      <c r="EK68" s="55"/>
      <c r="EL68" s="55"/>
      <c r="EM68" s="55"/>
      <c r="EN68" s="55"/>
      <c r="EO68" s="55"/>
      <c r="EP68" s="55"/>
      <c r="EQ68" s="55"/>
      <c r="ER68" s="55"/>
      <c r="ES68" s="55"/>
      <c r="ET68" s="55"/>
      <c r="EU68" s="55"/>
      <c r="EV68" s="55"/>
      <c r="EW68" s="55"/>
      <c r="EX68" s="55"/>
      <c r="EY68" s="55"/>
      <c r="EZ68" s="55"/>
      <c r="FA68" s="55"/>
      <c r="FB68" s="55"/>
      <c r="FC68" s="55"/>
      <c r="FD68" s="55"/>
      <c r="FE68" s="55"/>
      <c r="FF68" s="55"/>
      <c r="FG68" s="55"/>
      <c r="FH68" s="55"/>
      <c r="FI68" s="55"/>
      <c r="FJ68" s="55"/>
      <c r="FK68" s="55"/>
      <c r="FL68" s="55"/>
      <c r="FM68" s="55"/>
      <c r="FN68" s="55"/>
      <c r="FO68" s="55"/>
      <c r="FP68" s="55"/>
      <c r="FQ68" s="55"/>
      <c r="FR68" s="55"/>
      <c r="FS68" s="55"/>
      <c r="FT68" s="55"/>
      <c r="FU68" s="55"/>
      <c r="FV68" s="55"/>
      <c r="FW68" s="55"/>
      <c r="FX68" s="55"/>
      <c r="FY68" s="55"/>
      <c r="FZ68" s="55"/>
      <c r="GA68" s="55"/>
      <c r="GB68" s="55"/>
      <c r="GC68" s="55"/>
      <c r="GD68" s="55"/>
      <c r="GE68" s="55"/>
      <c r="GF68" s="55"/>
      <c r="GG68" s="55"/>
      <c r="GH68" s="55"/>
      <c r="GI68" s="55"/>
      <c r="GJ68" s="55"/>
      <c r="GK68" s="55"/>
      <c r="GL68" s="55"/>
      <c r="GM68" s="55"/>
      <c r="GN68" s="55"/>
      <c r="GO68" s="55"/>
      <c r="GP68" s="55"/>
      <c r="GQ68" s="55"/>
      <c r="GR68" s="55"/>
      <c r="GS68" s="55"/>
      <c r="GT68" s="55"/>
      <c r="GU68" s="55"/>
      <c r="GV68" s="55"/>
      <c r="GW68" s="55"/>
      <c r="GX68" s="55"/>
      <c r="GY68" s="55"/>
      <c r="GZ68" s="55"/>
      <c r="HA68" s="55"/>
      <c r="HB68" s="55"/>
      <c r="HC68" s="55"/>
      <c r="HD68" s="55"/>
      <c r="HE68" s="55"/>
      <c r="HF68" s="55"/>
      <c r="HG68" s="55"/>
      <c r="HH68" s="55"/>
      <c r="HI68" s="55"/>
      <c r="HJ68" s="55"/>
      <c r="HK68" s="55"/>
      <c r="HL68" s="55"/>
      <c r="HM68" s="55"/>
      <c r="HN68" s="55"/>
      <c r="HO68" s="55"/>
      <c r="HP68" s="55"/>
      <c r="HQ68" s="55"/>
      <c r="HR68" s="55"/>
      <c r="HS68" s="55"/>
      <c r="HT68" s="55"/>
      <c r="HU68" s="55"/>
      <c r="HV68" s="55"/>
      <c r="HW68" s="55"/>
      <c r="HX68" s="55"/>
      <c r="HY68" s="55"/>
      <c r="HZ68" s="55"/>
      <c r="IA68" s="55"/>
      <c r="IB68" s="55"/>
    </row>
    <row r="69" spans="1:236" ht="15" customHeight="1" x14ac:dyDescent="0.2">
      <c r="A69" s="63" t="s">
        <v>324</v>
      </c>
      <c r="B69" s="44" t="s">
        <v>468</v>
      </c>
      <c r="C69" s="45" t="s">
        <v>198</v>
      </c>
      <c r="D69" s="451"/>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c r="AK69" s="55"/>
      <c r="AL69" s="55"/>
      <c r="AM69" s="55"/>
      <c r="AN69" s="55"/>
      <c r="AO69" s="55"/>
      <c r="AP69" s="55"/>
      <c r="AQ69" s="55"/>
      <c r="AR69" s="55"/>
      <c r="AS69" s="55"/>
      <c r="AT69" s="55"/>
      <c r="AU69" s="55"/>
      <c r="AV69" s="55"/>
      <c r="AW69" s="55"/>
      <c r="AX69" s="55"/>
      <c r="AY69" s="55"/>
      <c r="AZ69" s="55"/>
      <c r="BA69" s="55"/>
      <c r="BB69" s="55"/>
      <c r="BC69" s="55"/>
      <c r="BD69" s="55"/>
      <c r="BE69" s="55"/>
      <c r="BF69" s="55"/>
      <c r="BG69" s="55"/>
      <c r="BH69" s="55"/>
      <c r="BI69" s="55"/>
      <c r="BJ69" s="55"/>
      <c r="BK69" s="55"/>
      <c r="BL69" s="55"/>
      <c r="BM69" s="55"/>
      <c r="BN69" s="55"/>
      <c r="BO69" s="55"/>
      <c r="BP69" s="55"/>
      <c r="BQ69" s="55"/>
      <c r="BR69" s="55"/>
      <c r="BS69" s="55"/>
      <c r="BT69" s="55"/>
      <c r="BU69" s="55"/>
      <c r="BV69" s="55"/>
      <c r="BW69" s="55"/>
      <c r="BX69" s="55"/>
      <c r="BY69" s="55"/>
      <c r="BZ69" s="55"/>
      <c r="CA69" s="55"/>
      <c r="CB69" s="55"/>
      <c r="CC69" s="55"/>
      <c r="CD69" s="55"/>
      <c r="CE69" s="55"/>
      <c r="CF69" s="55"/>
      <c r="CG69" s="55"/>
      <c r="CH69" s="55"/>
      <c r="CI69" s="55"/>
      <c r="CJ69" s="55"/>
      <c r="CK69" s="55"/>
      <c r="CL69" s="55"/>
      <c r="CM69" s="55"/>
      <c r="CN69" s="55"/>
      <c r="CO69" s="55"/>
      <c r="CP69" s="55"/>
      <c r="CQ69" s="55"/>
      <c r="CR69" s="55"/>
      <c r="CS69" s="55"/>
      <c r="CT69" s="55"/>
      <c r="CU69" s="55"/>
      <c r="CV69" s="55"/>
      <c r="CW69" s="55"/>
      <c r="CX69" s="55"/>
      <c r="CY69" s="55"/>
      <c r="CZ69" s="55"/>
      <c r="DA69" s="55"/>
      <c r="DB69" s="55"/>
      <c r="DC69" s="55"/>
      <c r="DD69" s="55"/>
      <c r="DE69" s="55"/>
      <c r="DF69" s="55"/>
      <c r="DG69" s="55"/>
      <c r="DH69" s="55"/>
      <c r="DI69" s="55"/>
      <c r="DJ69" s="55"/>
      <c r="DK69" s="55"/>
      <c r="DL69" s="55"/>
      <c r="DM69" s="55"/>
      <c r="DN69" s="55"/>
      <c r="DO69" s="55"/>
      <c r="DP69" s="55"/>
      <c r="DQ69" s="55"/>
      <c r="DR69" s="55"/>
      <c r="DS69" s="55"/>
      <c r="DT69" s="55"/>
      <c r="DU69" s="55"/>
      <c r="DV69" s="55"/>
      <c r="DW69" s="55"/>
      <c r="DX69" s="55"/>
      <c r="DY69" s="55"/>
      <c r="DZ69" s="55"/>
      <c r="EA69" s="55"/>
      <c r="EB69" s="55"/>
      <c r="EC69" s="55"/>
      <c r="ED69" s="55"/>
      <c r="EE69" s="55"/>
      <c r="EF69" s="55"/>
      <c r="EG69" s="55"/>
      <c r="EH69" s="55"/>
      <c r="EI69" s="55"/>
      <c r="EJ69" s="55"/>
      <c r="EK69" s="55"/>
      <c r="EL69" s="55"/>
      <c r="EM69" s="55"/>
      <c r="EN69" s="55"/>
      <c r="EO69" s="55"/>
      <c r="EP69" s="55"/>
      <c r="EQ69" s="55"/>
      <c r="ER69" s="55"/>
      <c r="ES69" s="55"/>
      <c r="ET69" s="55"/>
      <c r="EU69" s="55"/>
      <c r="EV69" s="55"/>
      <c r="EW69" s="55"/>
      <c r="EX69" s="55"/>
      <c r="EY69" s="55"/>
      <c r="EZ69" s="55"/>
      <c r="FA69" s="55"/>
      <c r="FB69" s="55"/>
      <c r="FC69" s="55"/>
      <c r="FD69" s="55"/>
      <c r="FE69" s="55"/>
      <c r="FF69" s="55"/>
      <c r="FG69" s="55"/>
      <c r="FH69" s="55"/>
      <c r="FI69" s="55"/>
      <c r="FJ69" s="55"/>
      <c r="FK69" s="55"/>
      <c r="FL69" s="55"/>
      <c r="FM69" s="55"/>
      <c r="FN69" s="55"/>
      <c r="FO69" s="55"/>
      <c r="FP69" s="55"/>
      <c r="FQ69" s="55"/>
      <c r="FR69" s="55"/>
      <c r="FS69" s="55"/>
      <c r="FT69" s="55"/>
      <c r="FU69" s="55"/>
      <c r="FV69" s="55"/>
      <c r="FW69" s="55"/>
      <c r="FX69" s="55"/>
      <c r="FY69" s="55"/>
      <c r="FZ69" s="55"/>
      <c r="GA69" s="55"/>
      <c r="GB69" s="55"/>
      <c r="GC69" s="55"/>
      <c r="GD69" s="55"/>
      <c r="GE69" s="55"/>
      <c r="GF69" s="55"/>
      <c r="GG69" s="55"/>
      <c r="GH69" s="55"/>
      <c r="GI69" s="55"/>
      <c r="GJ69" s="55"/>
      <c r="GK69" s="55"/>
      <c r="GL69" s="55"/>
      <c r="GM69" s="55"/>
      <c r="GN69" s="55"/>
      <c r="GO69" s="55"/>
      <c r="GP69" s="55"/>
      <c r="GQ69" s="55"/>
      <c r="GR69" s="55"/>
      <c r="GS69" s="55"/>
      <c r="GT69" s="55"/>
      <c r="GU69" s="55"/>
      <c r="GV69" s="55"/>
      <c r="GW69" s="55"/>
      <c r="GX69" s="55"/>
      <c r="GY69" s="55"/>
      <c r="GZ69" s="55"/>
      <c r="HA69" s="55"/>
      <c r="HB69" s="55"/>
      <c r="HC69" s="55"/>
      <c r="HD69" s="55"/>
      <c r="HE69" s="55"/>
      <c r="HF69" s="55"/>
      <c r="HG69" s="55"/>
      <c r="HH69" s="55"/>
      <c r="HI69" s="55"/>
      <c r="HJ69" s="55"/>
      <c r="HK69" s="55"/>
      <c r="HL69" s="55"/>
      <c r="HM69" s="55"/>
      <c r="HN69" s="55"/>
      <c r="HO69" s="55"/>
      <c r="HP69" s="55"/>
      <c r="HQ69" s="55"/>
      <c r="HR69" s="55"/>
      <c r="HS69" s="55"/>
      <c r="HT69" s="55"/>
      <c r="HU69" s="55"/>
      <c r="HV69" s="55"/>
      <c r="HW69" s="55"/>
      <c r="HX69" s="55"/>
      <c r="HY69" s="55"/>
      <c r="HZ69" s="55"/>
      <c r="IA69" s="55"/>
      <c r="IB69" s="55"/>
    </row>
    <row r="70" spans="1:236" ht="15" customHeight="1" x14ac:dyDescent="0.2">
      <c r="A70" s="63" t="s">
        <v>325</v>
      </c>
      <c r="B70" s="44" t="s">
        <v>518</v>
      </c>
      <c r="C70" s="45" t="s">
        <v>197</v>
      </c>
      <c r="D70" s="451"/>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c r="AH70" s="55"/>
      <c r="AI70" s="55"/>
      <c r="AJ70" s="55"/>
      <c r="AK70" s="55"/>
      <c r="AL70" s="55"/>
      <c r="AM70" s="55"/>
      <c r="AN70" s="55"/>
      <c r="AO70" s="55"/>
      <c r="AP70" s="55"/>
      <c r="AQ70" s="55"/>
      <c r="AR70" s="55"/>
      <c r="AS70" s="55"/>
      <c r="AT70" s="55"/>
      <c r="AU70" s="55"/>
      <c r="AV70" s="55"/>
      <c r="AW70" s="55"/>
      <c r="AX70" s="55"/>
      <c r="AY70" s="55"/>
      <c r="AZ70" s="55"/>
      <c r="BA70" s="55"/>
      <c r="BB70" s="55"/>
      <c r="BC70" s="55"/>
      <c r="BD70" s="55"/>
      <c r="BE70" s="55"/>
      <c r="BF70" s="55"/>
      <c r="BG70" s="55"/>
      <c r="BH70" s="55"/>
      <c r="BI70" s="55"/>
      <c r="BJ70" s="55"/>
      <c r="BK70" s="55"/>
      <c r="BL70" s="55"/>
      <c r="BM70" s="55"/>
      <c r="BN70" s="55"/>
      <c r="BO70" s="55"/>
      <c r="BP70" s="55"/>
      <c r="BQ70" s="55"/>
      <c r="BR70" s="55"/>
      <c r="BS70" s="55"/>
      <c r="BT70" s="55"/>
      <c r="BU70" s="55"/>
      <c r="BV70" s="55"/>
      <c r="BW70" s="55"/>
      <c r="BX70" s="55"/>
      <c r="BY70" s="55"/>
      <c r="BZ70" s="55"/>
      <c r="CA70" s="55"/>
      <c r="CB70" s="55"/>
      <c r="CC70" s="55"/>
      <c r="CD70" s="55"/>
      <c r="CE70" s="55"/>
      <c r="CF70" s="55"/>
      <c r="CG70" s="55"/>
      <c r="CH70" s="55"/>
      <c r="CI70" s="55"/>
      <c r="CJ70" s="55"/>
      <c r="CK70" s="55"/>
      <c r="CL70" s="55"/>
      <c r="CM70" s="55"/>
      <c r="CN70" s="55"/>
      <c r="CO70" s="55"/>
      <c r="CP70" s="55"/>
      <c r="CQ70" s="55"/>
      <c r="CR70" s="55"/>
      <c r="CS70" s="55"/>
      <c r="CT70" s="55"/>
      <c r="CU70" s="55"/>
      <c r="CV70" s="55"/>
      <c r="CW70" s="55"/>
      <c r="CX70" s="55"/>
      <c r="CY70" s="55"/>
      <c r="CZ70" s="55"/>
      <c r="DA70" s="55"/>
      <c r="DB70" s="55"/>
      <c r="DC70" s="55"/>
      <c r="DD70" s="55"/>
      <c r="DE70" s="55"/>
      <c r="DF70" s="55"/>
      <c r="DG70" s="55"/>
      <c r="DH70" s="55"/>
      <c r="DI70" s="55"/>
      <c r="DJ70" s="55"/>
      <c r="DK70" s="55"/>
      <c r="DL70" s="55"/>
      <c r="DM70" s="55"/>
      <c r="DN70" s="55"/>
      <c r="DO70" s="55"/>
      <c r="DP70" s="55"/>
      <c r="DQ70" s="55"/>
      <c r="DR70" s="55"/>
      <c r="DS70" s="55"/>
      <c r="DT70" s="55"/>
      <c r="DU70" s="55"/>
      <c r="DV70" s="55"/>
      <c r="DW70" s="55"/>
      <c r="DX70" s="55"/>
      <c r="DY70" s="55"/>
      <c r="DZ70" s="55"/>
      <c r="EA70" s="55"/>
      <c r="EB70" s="55"/>
      <c r="EC70" s="55"/>
      <c r="ED70" s="55"/>
      <c r="EE70" s="55"/>
      <c r="EF70" s="55"/>
      <c r="EG70" s="55"/>
      <c r="EH70" s="55"/>
      <c r="EI70" s="55"/>
      <c r="EJ70" s="55"/>
      <c r="EK70" s="55"/>
      <c r="EL70" s="55"/>
      <c r="EM70" s="55"/>
      <c r="EN70" s="55"/>
      <c r="EO70" s="55"/>
      <c r="EP70" s="55"/>
      <c r="EQ70" s="55"/>
      <c r="ER70" s="55"/>
      <c r="ES70" s="55"/>
      <c r="ET70" s="55"/>
      <c r="EU70" s="55"/>
      <c r="EV70" s="55"/>
      <c r="EW70" s="55"/>
      <c r="EX70" s="55"/>
      <c r="EY70" s="55"/>
      <c r="EZ70" s="55"/>
      <c r="FA70" s="55"/>
      <c r="FB70" s="55"/>
      <c r="FC70" s="55"/>
      <c r="FD70" s="55"/>
      <c r="FE70" s="55"/>
      <c r="FF70" s="55"/>
      <c r="FG70" s="55"/>
      <c r="FH70" s="55"/>
      <c r="FI70" s="55"/>
      <c r="FJ70" s="55"/>
      <c r="FK70" s="55"/>
      <c r="FL70" s="55"/>
      <c r="FM70" s="55"/>
      <c r="FN70" s="55"/>
      <c r="FO70" s="55"/>
      <c r="FP70" s="55"/>
      <c r="FQ70" s="55"/>
      <c r="FR70" s="55"/>
      <c r="FS70" s="55"/>
      <c r="FT70" s="55"/>
      <c r="FU70" s="55"/>
      <c r="FV70" s="55"/>
      <c r="FW70" s="55"/>
      <c r="FX70" s="55"/>
      <c r="FY70" s="55"/>
      <c r="FZ70" s="55"/>
      <c r="GA70" s="55"/>
      <c r="GB70" s="55"/>
      <c r="GC70" s="55"/>
      <c r="GD70" s="55"/>
      <c r="GE70" s="55"/>
      <c r="GF70" s="55"/>
      <c r="GG70" s="55"/>
      <c r="GH70" s="55"/>
      <c r="GI70" s="55"/>
      <c r="GJ70" s="55"/>
      <c r="GK70" s="55"/>
      <c r="GL70" s="55"/>
      <c r="GM70" s="55"/>
      <c r="GN70" s="55"/>
      <c r="GO70" s="55"/>
      <c r="GP70" s="55"/>
      <c r="GQ70" s="55"/>
      <c r="GR70" s="55"/>
      <c r="GS70" s="55"/>
      <c r="GT70" s="55"/>
      <c r="GU70" s="55"/>
      <c r="GV70" s="55"/>
      <c r="GW70" s="55"/>
      <c r="GX70" s="55"/>
      <c r="GY70" s="55"/>
      <c r="GZ70" s="55"/>
      <c r="HA70" s="55"/>
      <c r="HB70" s="55"/>
      <c r="HC70" s="55"/>
      <c r="HD70" s="55"/>
      <c r="HE70" s="55"/>
      <c r="HF70" s="55"/>
      <c r="HG70" s="55"/>
      <c r="HH70" s="55"/>
      <c r="HI70" s="55"/>
      <c r="HJ70" s="55"/>
      <c r="HK70" s="55"/>
      <c r="HL70" s="55"/>
      <c r="HM70" s="55"/>
      <c r="HN70" s="55"/>
      <c r="HO70" s="55"/>
      <c r="HP70" s="55"/>
      <c r="HQ70" s="55"/>
      <c r="HR70" s="55"/>
      <c r="HS70" s="55"/>
      <c r="HT70" s="55"/>
      <c r="HU70" s="55"/>
      <c r="HV70" s="55"/>
      <c r="HW70" s="55"/>
      <c r="HX70" s="55"/>
      <c r="HY70" s="55"/>
      <c r="HZ70" s="55"/>
      <c r="IA70" s="55"/>
      <c r="IB70" s="55"/>
    </row>
    <row r="71" spans="1:236" ht="15" customHeight="1" x14ac:dyDescent="0.2">
      <c r="A71" s="63" t="s">
        <v>326</v>
      </c>
      <c r="B71" s="44" t="s">
        <v>223</v>
      </c>
      <c r="C71" s="45" t="s">
        <v>198</v>
      </c>
      <c r="D71" s="451"/>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c r="CG71" s="55"/>
      <c r="CH71" s="55"/>
      <c r="CI71" s="55"/>
      <c r="CJ71" s="55"/>
      <c r="CK71" s="55"/>
      <c r="CL71" s="55"/>
      <c r="CM71" s="55"/>
      <c r="CN71" s="55"/>
      <c r="CO71" s="55"/>
      <c r="CP71" s="55"/>
      <c r="CQ71" s="55"/>
      <c r="CR71" s="55"/>
      <c r="CS71" s="55"/>
      <c r="CT71" s="55"/>
      <c r="CU71" s="55"/>
      <c r="CV71" s="55"/>
      <c r="CW71" s="55"/>
      <c r="CX71" s="55"/>
      <c r="CY71" s="55"/>
      <c r="CZ71" s="55"/>
      <c r="DA71" s="55"/>
      <c r="DB71" s="55"/>
      <c r="DC71" s="55"/>
      <c r="DD71" s="55"/>
      <c r="DE71" s="55"/>
      <c r="DF71" s="55"/>
      <c r="DG71" s="55"/>
      <c r="DH71" s="55"/>
      <c r="DI71" s="55"/>
      <c r="DJ71" s="55"/>
      <c r="DK71" s="55"/>
      <c r="DL71" s="55"/>
      <c r="DM71" s="55"/>
      <c r="DN71" s="55"/>
      <c r="DO71" s="55"/>
      <c r="DP71" s="55"/>
      <c r="DQ71" s="55"/>
      <c r="DR71" s="55"/>
      <c r="DS71" s="55"/>
      <c r="DT71" s="55"/>
      <c r="DU71" s="55"/>
      <c r="DV71" s="55"/>
      <c r="DW71" s="55"/>
      <c r="DX71" s="55"/>
      <c r="DY71" s="55"/>
      <c r="DZ71" s="55"/>
      <c r="EA71" s="55"/>
      <c r="EB71" s="55"/>
      <c r="EC71" s="55"/>
      <c r="ED71" s="55"/>
      <c r="EE71" s="55"/>
      <c r="EF71" s="55"/>
      <c r="EG71" s="55"/>
      <c r="EH71" s="55"/>
      <c r="EI71" s="55"/>
      <c r="EJ71" s="55"/>
      <c r="EK71" s="55"/>
      <c r="EL71" s="55"/>
      <c r="EM71" s="55"/>
      <c r="EN71" s="55"/>
      <c r="EO71" s="55"/>
      <c r="EP71" s="55"/>
      <c r="EQ71" s="55"/>
      <c r="ER71" s="55"/>
      <c r="ES71" s="55"/>
      <c r="ET71" s="55"/>
      <c r="EU71" s="55"/>
      <c r="EV71" s="55"/>
      <c r="EW71" s="55"/>
      <c r="EX71" s="55"/>
      <c r="EY71" s="55"/>
      <c r="EZ71" s="55"/>
      <c r="FA71" s="55"/>
      <c r="FB71" s="55"/>
      <c r="FC71" s="55"/>
      <c r="FD71" s="55"/>
      <c r="FE71" s="55"/>
      <c r="FF71" s="55"/>
      <c r="FG71" s="55"/>
      <c r="FH71" s="55"/>
      <c r="FI71" s="55"/>
      <c r="FJ71" s="55"/>
      <c r="FK71" s="55"/>
      <c r="FL71" s="55"/>
      <c r="FM71" s="55"/>
      <c r="FN71" s="55"/>
      <c r="FO71" s="55"/>
      <c r="FP71" s="55"/>
      <c r="FQ71" s="55"/>
      <c r="FR71" s="55"/>
      <c r="FS71" s="55"/>
      <c r="FT71" s="55"/>
      <c r="FU71" s="55"/>
      <c r="FV71" s="55"/>
      <c r="FW71" s="55"/>
      <c r="FX71" s="55"/>
      <c r="FY71" s="55"/>
      <c r="FZ71" s="55"/>
      <c r="GA71" s="55"/>
      <c r="GB71" s="55"/>
      <c r="GC71" s="55"/>
      <c r="GD71" s="55"/>
      <c r="GE71" s="55"/>
      <c r="GF71" s="55"/>
      <c r="GG71" s="55"/>
      <c r="GH71" s="55"/>
      <c r="GI71" s="55"/>
      <c r="GJ71" s="55"/>
      <c r="GK71" s="55"/>
      <c r="GL71" s="55"/>
      <c r="GM71" s="55"/>
      <c r="GN71" s="55"/>
      <c r="GO71" s="55"/>
      <c r="GP71" s="55"/>
      <c r="GQ71" s="55"/>
      <c r="GR71" s="55"/>
      <c r="GS71" s="55"/>
      <c r="GT71" s="55"/>
      <c r="GU71" s="55"/>
      <c r="GV71" s="55"/>
      <c r="GW71" s="55"/>
      <c r="GX71" s="55"/>
      <c r="GY71" s="55"/>
      <c r="GZ71" s="55"/>
      <c r="HA71" s="55"/>
      <c r="HB71" s="55"/>
      <c r="HC71" s="55"/>
      <c r="HD71" s="55"/>
      <c r="HE71" s="55"/>
      <c r="HF71" s="55"/>
      <c r="HG71" s="55"/>
      <c r="HH71" s="55"/>
      <c r="HI71" s="55"/>
      <c r="HJ71" s="55"/>
      <c r="HK71" s="55"/>
      <c r="HL71" s="55"/>
      <c r="HM71" s="55"/>
      <c r="HN71" s="55"/>
      <c r="HO71" s="55"/>
      <c r="HP71" s="55"/>
      <c r="HQ71" s="55"/>
      <c r="HR71" s="55"/>
      <c r="HS71" s="55"/>
      <c r="HT71" s="55"/>
      <c r="HU71" s="55"/>
      <c r="HV71" s="55"/>
      <c r="HW71" s="55"/>
      <c r="HX71" s="55"/>
      <c r="HY71" s="55"/>
      <c r="HZ71" s="55"/>
      <c r="IA71" s="55"/>
      <c r="IB71" s="55"/>
    </row>
    <row r="72" spans="1:236" ht="15" customHeight="1" x14ac:dyDescent="0.2">
      <c r="A72" s="63" t="s">
        <v>327</v>
      </c>
      <c r="B72" s="46" t="s">
        <v>470</v>
      </c>
      <c r="C72" s="340" t="s">
        <v>254</v>
      </c>
      <c r="D72" s="451"/>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c r="AH72" s="55"/>
      <c r="AI72" s="55"/>
      <c r="AJ72" s="55"/>
      <c r="AK72" s="55"/>
      <c r="AL72" s="55"/>
      <c r="AM72" s="55"/>
      <c r="AN72" s="55"/>
      <c r="AO72" s="55"/>
      <c r="AP72" s="55"/>
      <c r="AQ72" s="55"/>
      <c r="AR72" s="55"/>
      <c r="AS72" s="55"/>
      <c r="AT72" s="55"/>
      <c r="AU72" s="55"/>
      <c r="AV72" s="55"/>
      <c r="AW72" s="55"/>
      <c r="AX72" s="55"/>
      <c r="AY72" s="55"/>
      <c r="AZ72" s="55"/>
      <c r="BA72" s="55"/>
      <c r="BB72" s="55"/>
      <c r="BC72" s="55"/>
      <c r="BD72" s="55"/>
      <c r="BE72" s="55"/>
      <c r="BF72" s="55"/>
      <c r="BG72" s="55"/>
      <c r="BH72" s="55"/>
      <c r="BI72" s="55"/>
      <c r="BJ72" s="55"/>
      <c r="BK72" s="55"/>
      <c r="BL72" s="55"/>
      <c r="BM72" s="55"/>
      <c r="BN72" s="55"/>
      <c r="BO72" s="55"/>
      <c r="BP72" s="55"/>
      <c r="BQ72" s="55"/>
      <c r="BR72" s="55"/>
      <c r="BS72" s="55"/>
      <c r="BT72" s="55"/>
      <c r="BU72" s="55"/>
      <c r="BV72" s="55"/>
      <c r="BW72" s="55"/>
      <c r="BX72" s="55"/>
      <c r="BY72" s="55"/>
      <c r="BZ72" s="55"/>
      <c r="CA72" s="55"/>
      <c r="CB72" s="55"/>
      <c r="CC72" s="55"/>
      <c r="CD72" s="55"/>
      <c r="CE72" s="55"/>
      <c r="CF72" s="55"/>
      <c r="CG72" s="55"/>
      <c r="CH72" s="55"/>
      <c r="CI72" s="55"/>
      <c r="CJ72" s="55"/>
      <c r="CK72" s="55"/>
      <c r="CL72" s="55"/>
      <c r="CM72" s="55"/>
      <c r="CN72" s="55"/>
      <c r="CO72" s="55"/>
      <c r="CP72" s="55"/>
      <c r="CQ72" s="55"/>
      <c r="CR72" s="55"/>
      <c r="CS72" s="55"/>
      <c r="CT72" s="55"/>
      <c r="CU72" s="55"/>
      <c r="CV72" s="55"/>
      <c r="CW72" s="55"/>
      <c r="CX72" s="55"/>
      <c r="CY72" s="55"/>
      <c r="CZ72" s="55"/>
      <c r="DA72" s="55"/>
      <c r="DB72" s="55"/>
      <c r="DC72" s="55"/>
      <c r="DD72" s="55"/>
      <c r="DE72" s="55"/>
      <c r="DF72" s="55"/>
      <c r="DG72" s="55"/>
      <c r="DH72" s="55"/>
      <c r="DI72" s="55"/>
      <c r="DJ72" s="55"/>
      <c r="DK72" s="55"/>
      <c r="DL72" s="55"/>
      <c r="DM72" s="55"/>
      <c r="DN72" s="55"/>
      <c r="DO72" s="55"/>
      <c r="DP72" s="55"/>
      <c r="DQ72" s="55"/>
      <c r="DR72" s="55"/>
      <c r="DS72" s="55"/>
      <c r="DT72" s="55"/>
      <c r="DU72" s="55"/>
      <c r="DV72" s="55"/>
      <c r="DW72" s="55"/>
      <c r="DX72" s="55"/>
      <c r="DY72" s="55"/>
      <c r="DZ72" s="55"/>
      <c r="EA72" s="55"/>
      <c r="EB72" s="55"/>
      <c r="EC72" s="55"/>
      <c r="ED72" s="55"/>
      <c r="EE72" s="55"/>
      <c r="EF72" s="55"/>
      <c r="EG72" s="55"/>
      <c r="EH72" s="55"/>
      <c r="EI72" s="55"/>
      <c r="EJ72" s="55"/>
      <c r="EK72" s="55"/>
      <c r="EL72" s="55"/>
      <c r="EM72" s="55"/>
      <c r="EN72" s="55"/>
      <c r="EO72" s="55"/>
      <c r="EP72" s="55"/>
      <c r="EQ72" s="55"/>
      <c r="ER72" s="55"/>
      <c r="ES72" s="55"/>
      <c r="ET72" s="55"/>
      <c r="EU72" s="55"/>
      <c r="EV72" s="55"/>
      <c r="EW72" s="55"/>
      <c r="EX72" s="55"/>
      <c r="EY72" s="55"/>
      <c r="EZ72" s="55"/>
      <c r="FA72" s="55"/>
      <c r="FB72" s="55"/>
      <c r="FC72" s="55"/>
      <c r="FD72" s="55"/>
      <c r="FE72" s="55"/>
      <c r="FF72" s="55"/>
      <c r="FG72" s="55"/>
      <c r="FH72" s="55"/>
      <c r="FI72" s="55"/>
      <c r="FJ72" s="55"/>
      <c r="FK72" s="55"/>
      <c r="FL72" s="55"/>
      <c r="FM72" s="55"/>
      <c r="FN72" s="55"/>
      <c r="FO72" s="55"/>
      <c r="FP72" s="55"/>
      <c r="FQ72" s="55"/>
      <c r="FR72" s="55"/>
      <c r="FS72" s="55"/>
      <c r="FT72" s="55"/>
      <c r="FU72" s="55"/>
      <c r="FV72" s="55"/>
      <c r="FW72" s="55"/>
      <c r="FX72" s="55"/>
      <c r="FY72" s="55"/>
      <c r="FZ72" s="55"/>
      <c r="GA72" s="55"/>
      <c r="GB72" s="55"/>
      <c r="GC72" s="55"/>
      <c r="GD72" s="55"/>
      <c r="GE72" s="55"/>
      <c r="GF72" s="55"/>
      <c r="GG72" s="55"/>
      <c r="GH72" s="55"/>
      <c r="GI72" s="55"/>
      <c r="GJ72" s="55"/>
      <c r="GK72" s="55"/>
      <c r="GL72" s="55"/>
      <c r="GM72" s="55"/>
      <c r="GN72" s="55"/>
      <c r="GO72" s="55"/>
      <c r="GP72" s="55"/>
      <c r="GQ72" s="55"/>
      <c r="GR72" s="55"/>
      <c r="GS72" s="55"/>
      <c r="GT72" s="55"/>
      <c r="GU72" s="55"/>
      <c r="GV72" s="55"/>
      <c r="GW72" s="55"/>
      <c r="GX72" s="55"/>
      <c r="GY72" s="55"/>
      <c r="GZ72" s="55"/>
      <c r="HA72" s="55"/>
      <c r="HB72" s="55"/>
      <c r="HC72" s="55"/>
      <c r="HD72" s="55"/>
      <c r="HE72" s="55"/>
      <c r="HF72" s="55"/>
      <c r="HG72" s="55"/>
      <c r="HH72" s="55"/>
      <c r="HI72" s="55"/>
      <c r="HJ72" s="55"/>
      <c r="HK72" s="55"/>
      <c r="HL72" s="55"/>
      <c r="HM72" s="55"/>
      <c r="HN72" s="55"/>
      <c r="HO72" s="55"/>
      <c r="HP72" s="55"/>
      <c r="HQ72" s="55"/>
      <c r="HR72" s="55"/>
      <c r="HS72" s="55"/>
      <c r="HT72" s="55"/>
      <c r="HU72" s="55"/>
      <c r="HV72" s="55"/>
      <c r="HW72" s="55"/>
      <c r="HX72" s="55"/>
      <c r="HY72" s="55"/>
      <c r="HZ72" s="55"/>
      <c r="IA72" s="55"/>
      <c r="IB72" s="55"/>
    </row>
    <row r="73" spans="1:236" ht="15" customHeight="1" x14ac:dyDescent="0.2">
      <c r="A73" s="63" t="s">
        <v>328</v>
      </c>
      <c r="B73" s="44" t="s">
        <v>224</v>
      </c>
      <c r="C73" s="45" t="s">
        <v>254</v>
      </c>
      <c r="D73" s="451"/>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c r="AH73" s="55"/>
      <c r="AI73" s="55"/>
      <c r="AJ73" s="55"/>
      <c r="AK73" s="55"/>
      <c r="AL73" s="55"/>
      <c r="AM73" s="55"/>
      <c r="AN73" s="55"/>
      <c r="AO73" s="55"/>
      <c r="AP73" s="55"/>
      <c r="AQ73" s="55"/>
      <c r="AR73" s="55"/>
      <c r="AS73" s="55"/>
      <c r="AT73" s="55"/>
      <c r="AU73" s="55"/>
      <c r="AV73" s="55"/>
      <c r="AW73" s="55"/>
      <c r="AX73" s="55"/>
      <c r="AY73" s="55"/>
      <c r="AZ73" s="55"/>
      <c r="BA73" s="55"/>
      <c r="BB73" s="55"/>
      <c r="BC73" s="55"/>
      <c r="BD73" s="55"/>
      <c r="BE73" s="55"/>
      <c r="BF73" s="55"/>
      <c r="BG73" s="55"/>
      <c r="BH73" s="55"/>
      <c r="BI73" s="55"/>
      <c r="BJ73" s="55"/>
      <c r="BK73" s="55"/>
      <c r="BL73" s="55"/>
      <c r="BM73" s="55"/>
      <c r="BN73" s="55"/>
      <c r="BO73" s="55"/>
      <c r="BP73" s="55"/>
      <c r="BQ73" s="55"/>
      <c r="BR73" s="55"/>
      <c r="BS73" s="55"/>
      <c r="BT73" s="55"/>
      <c r="BU73" s="55"/>
      <c r="BV73" s="55"/>
      <c r="BW73" s="55"/>
      <c r="BX73" s="55"/>
      <c r="BY73" s="55"/>
      <c r="BZ73" s="55"/>
      <c r="CA73" s="55"/>
      <c r="CB73" s="55"/>
      <c r="CC73" s="55"/>
      <c r="CD73" s="55"/>
      <c r="CE73" s="55"/>
      <c r="CF73" s="55"/>
      <c r="CG73" s="55"/>
      <c r="CH73" s="55"/>
      <c r="CI73" s="55"/>
      <c r="CJ73" s="55"/>
      <c r="CK73" s="55"/>
      <c r="CL73" s="55"/>
      <c r="CM73" s="55"/>
      <c r="CN73" s="55"/>
      <c r="CO73" s="55"/>
      <c r="CP73" s="55"/>
      <c r="CQ73" s="55"/>
      <c r="CR73" s="55"/>
      <c r="CS73" s="55"/>
      <c r="CT73" s="55"/>
      <c r="CU73" s="55"/>
      <c r="CV73" s="55"/>
      <c r="CW73" s="55"/>
      <c r="CX73" s="55"/>
      <c r="CY73" s="55"/>
      <c r="CZ73" s="55"/>
      <c r="DA73" s="55"/>
      <c r="DB73" s="55"/>
      <c r="DC73" s="55"/>
      <c r="DD73" s="55"/>
      <c r="DE73" s="55"/>
      <c r="DF73" s="55"/>
      <c r="DG73" s="55"/>
      <c r="DH73" s="55"/>
      <c r="DI73" s="55"/>
      <c r="DJ73" s="55"/>
      <c r="DK73" s="55"/>
      <c r="DL73" s="55"/>
      <c r="DM73" s="55"/>
      <c r="DN73" s="55"/>
      <c r="DO73" s="55"/>
      <c r="DP73" s="55"/>
      <c r="DQ73" s="55"/>
      <c r="DR73" s="55"/>
      <c r="DS73" s="55"/>
      <c r="DT73" s="55"/>
      <c r="DU73" s="55"/>
      <c r="DV73" s="55"/>
      <c r="DW73" s="55"/>
      <c r="DX73" s="55"/>
      <c r="DY73" s="55"/>
      <c r="DZ73" s="55"/>
      <c r="EA73" s="55"/>
      <c r="EB73" s="55"/>
      <c r="EC73" s="55"/>
      <c r="ED73" s="55"/>
      <c r="EE73" s="55"/>
      <c r="EF73" s="55"/>
      <c r="EG73" s="55"/>
      <c r="EH73" s="55"/>
      <c r="EI73" s="55"/>
      <c r="EJ73" s="55"/>
      <c r="EK73" s="55"/>
      <c r="EL73" s="55"/>
      <c r="EM73" s="55"/>
      <c r="EN73" s="55"/>
      <c r="EO73" s="55"/>
      <c r="EP73" s="55"/>
      <c r="EQ73" s="55"/>
      <c r="ER73" s="55"/>
      <c r="ES73" s="55"/>
      <c r="ET73" s="55"/>
      <c r="EU73" s="55"/>
      <c r="EV73" s="55"/>
      <c r="EW73" s="55"/>
      <c r="EX73" s="55"/>
      <c r="EY73" s="55"/>
      <c r="EZ73" s="55"/>
      <c r="FA73" s="55"/>
      <c r="FB73" s="55"/>
      <c r="FC73" s="55"/>
      <c r="FD73" s="55"/>
      <c r="FE73" s="55"/>
      <c r="FF73" s="55"/>
      <c r="FG73" s="55"/>
      <c r="FH73" s="55"/>
      <c r="FI73" s="55"/>
      <c r="FJ73" s="55"/>
      <c r="FK73" s="55"/>
      <c r="FL73" s="55"/>
      <c r="FM73" s="55"/>
      <c r="FN73" s="55"/>
      <c r="FO73" s="55"/>
      <c r="FP73" s="55"/>
      <c r="FQ73" s="55"/>
      <c r="FR73" s="55"/>
      <c r="FS73" s="55"/>
      <c r="FT73" s="55"/>
      <c r="FU73" s="55"/>
      <c r="FV73" s="55"/>
      <c r="FW73" s="55"/>
      <c r="FX73" s="55"/>
      <c r="FY73" s="55"/>
      <c r="FZ73" s="55"/>
      <c r="GA73" s="55"/>
      <c r="GB73" s="55"/>
      <c r="GC73" s="55"/>
      <c r="GD73" s="55"/>
      <c r="GE73" s="55"/>
      <c r="GF73" s="55"/>
      <c r="GG73" s="55"/>
      <c r="GH73" s="55"/>
      <c r="GI73" s="55"/>
      <c r="GJ73" s="55"/>
      <c r="GK73" s="55"/>
      <c r="GL73" s="55"/>
      <c r="GM73" s="55"/>
      <c r="GN73" s="55"/>
      <c r="GO73" s="55"/>
      <c r="GP73" s="55"/>
      <c r="GQ73" s="55"/>
      <c r="GR73" s="55"/>
      <c r="GS73" s="55"/>
      <c r="GT73" s="55"/>
      <c r="GU73" s="55"/>
      <c r="GV73" s="55"/>
      <c r="GW73" s="55"/>
      <c r="GX73" s="55"/>
      <c r="GY73" s="55"/>
      <c r="GZ73" s="55"/>
      <c r="HA73" s="55"/>
      <c r="HB73" s="55"/>
      <c r="HC73" s="55"/>
      <c r="HD73" s="55"/>
      <c r="HE73" s="55"/>
      <c r="HF73" s="55"/>
      <c r="HG73" s="55"/>
      <c r="HH73" s="55"/>
      <c r="HI73" s="55"/>
      <c r="HJ73" s="55"/>
      <c r="HK73" s="55"/>
      <c r="HL73" s="55"/>
      <c r="HM73" s="55"/>
      <c r="HN73" s="55"/>
      <c r="HO73" s="55"/>
      <c r="HP73" s="55"/>
      <c r="HQ73" s="55"/>
      <c r="HR73" s="55"/>
      <c r="HS73" s="55"/>
      <c r="HT73" s="55"/>
      <c r="HU73" s="55"/>
      <c r="HV73" s="55"/>
      <c r="HW73" s="55"/>
      <c r="HX73" s="55"/>
      <c r="HY73" s="55"/>
      <c r="HZ73" s="55"/>
      <c r="IA73" s="55"/>
      <c r="IB73" s="55"/>
    </row>
    <row r="74" spans="1:236" ht="15" customHeight="1" x14ac:dyDescent="0.2">
      <c r="A74" s="63" t="s">
        <v>329</v>
      </c>
      <c r="B74" s="44" t="s">
        <v>476</v>
      </c>
      <c r="C74" s="45" t="s">
        <v>254</v>
      </c>
      <c r="D74" s="451"/>
      <c r="E74" s="55"/>
      <c r="F74" s="55"/>
      <c r="G74" s="55"/>
      <c r="H74" s="55"/>
      <c r="I74" s="55"/>
      <c r="J74" s="55"/>
      <c r="K74" s="55"/>
      <c r="L74" s="55"/>
      <c r="M74" s="55"/>
      <c r="N74" s="55"/>
      <c r="O74" s="55"/>
      <c r="P74" s="55"/>
      <c r="Q74" s="55"/>
      <c r="R74" s="55"/>
      <c r="S74" s="55"/>
      <c r="T74" s="55"/>
      <c r="U74" s="55"/>
      <c r="V74" s="55"/>
      <c r="W74" s="55"/>
      <c r="X74" s="55"/>
      <c r="Y74" s="55"/>
      <c r="Z74" s="55"/>
      <c r="AA74" s="55"/>
      <c r="AB74" s="55"/>
      <c r="AC74" s="55"/>
      <c r="AD74" s="55"/>
      <c r="AE74" s="55"/>
      <c r="AF74" s="55"/>
      <c r="AG74" s="55"/>
      <c r="AH74" s="55"/>
      <c r="AI74" s="55"/>
      <c r="AJ74" s="55"/>
      <c r="AK74" s="55"/>
      <c r="AL74" s="55"/>
      <c r="AM74" s="55"/>
      <c r="AN74" s="55"/>
      <c r="AO74" s="55"/>
      <c r="AP74" s="55"/>
      <c r="AQ74" s="55"/>
      <c r="AR74" s="55"/>
      <c r="AS74" s="55"/>
      <c r="AT74" s="55"/>
      <c r="AU74" s="55"/>
      <c r="AV74" s="55"/>
      <c r="AW74" s="55"/>
      <c r="AX74" s="55"/>
      <c r="AY74" s="55"/>
      <c r="AZ74" s="55"/>
      <c r="BA74" s="55"/>
      <c r="BB74" s="55"/>
      <c r="BC74" s="55"/>
      <c r="BD74" s="55"/>
      <c r="BE74" s="55"/>
      <c r="BF74" s="55"/>
      <c r="BG74" s="55"/>
      <c r="BH74" s="55"/>
      <c r="BI74" s="55"/>
      <c r="BJ74" s="55"/>
      <c r="BK74" s="55"/>
      <c r="BL74" s="55"/>
      <c r="BM74" s="55"/>
      <c r="BN74" s="55"/>
      <c r="BO74" s="55"/>
      <c r="BP74" s="55"/>
      <c r="BQ74" s="55"/>
      <c r="BR74" s="55"/>
      <c r="BS74" s="55"/>
      <c r="BT74" s="55"/>
      <c r="BU74" s="55"/>
      <c r="BV74" s="55"/>
      <c r="BW74" s="55"/>
      <c r="BX74" s="55"/>
      <c r="BY74" s="55"/>
      <c r="BZ74" s="55"/>
      <c r="CA74" s="55"/>
      <c r="CB74" s="55"/>
      <c r="CC74" s="55"/>
      <c r="CD74" s="55"/>
      <c r="CE74" s="55"/>
      <c r="CF74" s="55"/>
      <c r="CG74" s="55"/>
      <c r="CH74" s="55"/>
      <c r="CI74" s="55"/>
      <c r="CJ74" s="55"/>
      <c r="CK74" s="55"/>
      <c r="CL74" s="55"/>
      <c r="CM74" s="55"/>
      <c r="CN74" s="55"/>
      <c r="CO74" s="55"/>
      <c r="CP74" s="55"/>
      <c r="CQ74" s="55"/>
      <c r="CR74" s="55"/>
      <c r="CS74" s="55"/>
      <c r="CT74" s="55"/>
      <c r="CU74" s="55"/>
      <c r="CV74" s="55"/>
      <c r="CW74" s="55"/>
      <c r="CX74" s="55"/>
      <c r="CY74" s="55"/>
      <c r="CZ74" s="55"/>
      <c r="DA74" s="55"/>
      <c r="DB74" s="55"/>
      <c r="DC74" s="55"/>
      <c r="DD74" s="55"/>
      <c r="DE74" s="55"/>
      <c r="DF74" s="55"/>
      <c r="DG74" s="55"/>
      <c r="DH74" s="55"/>
      <c r="DI74" s="55"/>
      <c r="DJ74" s="55"/>
      <c r="DK74" s="55"/>
      <c r="DL74" s="55"/>
      <c r="DM74" s="55"/>
      <c r="DN74" s="55"/>
      <c r="DO74" s="55"/>
      <c r="DP74" s="55"/>
      <c r="DQ74" s="55"/>
      <c r="DR74" s="55"/>
      <c r="DS74" s="55"/>
      <c r="DT74" s="55"/>
      <c r="DU74" s="55"/>
      <c r="DV74" s="55"/>
      <c r="DW74" s="55"/>
      <c r="DX74" s="55"/>
      <c r="DY74" s="55"/>
      <c r="DZ74" s="55"/>
      <c r="EA74" s="55"/>
      <c r="EB74" s="55"/>
      <c r="EC74" s="55"/>
      <c r="ED74" s="55"/>
      <c r="EE74" s="55"/>
      <c r="EF74" s="55"/>
      <c r="EG74" s="55"/>
      <c r="EH74" s="55"/>
      <c r="EI74" s="55"/>
      <c r="EJ74" s="55"/>
      <c r="EK74" s="55"/>
      <c r="EL74" s="55"/>
      <c r="EM74" s="55"/>
      <c r="EN74" s="55"/>
      <c r="EO74" s="55"/>
      <c r="EP74" s="55"/>
      <c r="EQ74" s="55"/>
      <c r="ER74" s="55"/>
      <c r="ES74" s="55"/>
      <c r="ET74" s="55"/>
      <c r="EU74" s="55"/>
      <c r="EV74" s="55"/>
      <c r="EW74" s="55"/>
      <c r="EX74" s="55"/>
      <c r="EY74" s="55"/>
      <c r="EZ74" s="55"/>
      <c r="FA74" s="55"/>
      <c r="FB74" s="55"/>
      <c r="FC74" s="55"/>
      <c r="FD74" s="55"/>
      <c r="FE74" s="55"/>
      <c r="FF74" s="55"/>
      <c r="FG74" s="55"/>
      <c r="FH74" s="55"/>
      <c r="FI74" s="55"/>
      <c r="FJ74" s="55"/>
      <c r="FK74" s="55"/>
      <c r="FL74" s="55"/>
      <c r="FM74" s="55"/>
      <c r="FN74" s="55"/>
      <c r="FO74" s="55"/>
      <c r="FP74" s="55"/>
      <c r="FQ74" s="55"/>
      <c r="FR74" s="55"/>
      <c r="FS74" s="55"/>
      <c r="FT74" s="55"/>
      <c r="FU74" s="55"/>
      <c r="FV74" s="55"/>
      <c r="FW74" s="55"/>
      <c r="FX74" s="55"/>
      <c r="FY74" s="55"/>
      <c r="FZ74" s="55"/>
      <c r="GA74" s="55"/>
      <c r="GB74" s="55"/>
      <c r="GC74" s="55"/>
      <c r="GD74" s="55"/>
      <c r="GE74" s="55"/>
      <c r="GF74" s="55"/>
      <c r="GG74" s="55"/>
      <c r="GH74" s="55"/>
      <c r="GI74" s="55"/>
      <c r="GJ74" s="55"/>
      <c r="GK74" s="55"/>
      <c r="GL74" s="55"/>
      <c r="GM74" s="55"/>
      <c r="GN74" s="55"/>
      <c r="GO74" s="55"/>
      <c r="GP74" s="55"/>
      <c r="GQ74" s="55"/>
      <c r="GR74" s="55"/>
      <c r="GS74" s="55"/>
      <c r="GT74" s="55"/>
      <c r="GU74" s="55"/>
      <c r="GV74" s="55"/>
      <c r="GW74" s="55"/>
      <c r="GX74" s="55"/>
      <c r="GY74" s="55"/>
      <c r="GZ74" s="55"/>
      <c r="HA74" s="55"/>
      <c r="HB74" s="55"/>
      <c r="HC74" s="55"/>
      <c r="HD74" s="55"/>
      <c r="HE74" s="55"/>
      <c r="HF74" s="55"/>
      <c r="HG74" s="55"/>
      <c r="HH74" s="55"/>
      <c r="HI74" s="55"/>
      <c r="HJ74" s="55"/>
      <c r="HK74" s="55"/>
      <c r="HL74" s="55"/>
      <c r="HM74" s="55"/>
      <c r="HN74" s="55"/>
      <c r="HO74" s="55"/>
      <c r="HP74" s="55"/>
      <c r="HQ74" s="55"/>
      <c r="HR74" s="55"/>
      <c r="HS74" s="55"/>
      <c r="HT74" s="55"/>
      <c r="HU74" s="55"/>
      <c r="HV74" s="55"/>
      <c r="HW74" s="55"/>
      <c r="HX74" s="55"/>
      <c r="HY74" s="55"/>
      <c r="HZ74" s="55"/>
      <c r="IA74" s="55"/>
      <c r="IB74" s="55"/>
    </row>
    <row r="75" spans="1:236" ht="15" customHeight="1" x14ac:dyDescent="0.2">
      <c r="A75" s="63" t="s">
        <v>330</v>
      </c>
      <c r="B75" s="44" t="s">
        <v>225</v>
      </c>
      <c r="C75" s="45" t="s">
        <v>198</v>
      </c>
      <c r="D75" s="451"/>
      <c r="E75" s="55"/>
      <c r="F75" s="55"/>
      <c r="G75" s="55"/>
      <c r="H75" s="55"/>
      <c r="I75" s="55"/>
      <c r="J75" s="55"/>
      <c r="K75" s="55"/>
      <c r="L75" s="55"/>
      <c r="M75" s="55"/>
      <c r="N75" s="55"/>
      <c r="O75" s="55"/>
      <c r="P75" s="55"/>
      <c r="Q75" s="55"/>
      <c r="R75" s="55"/>
      <c r="S75" s="55"/>
      <c r="T75" s="55"/>
      <c r="U75" s="55"/>
      <c r="V75" s="55"/>
      <c r="W75" s="55"/>
      <c r="X75" s="55"/>
      <c r="Y75" s="55"/>
      <c r="Z75" s="55"/>
      <c r="AA75" s="55"/>
      <c r="AB75" s="55"/>
      <c r="AC75" s="55"/>
      <c r="AD75" s="55"/>
      <c r="AE75" s="55"/>
      <c r="AF75" s="55"/>
      <c r="AG75" s="55"/>
      <c r="AH75" s="55"/>
      <c r="AI75" s="55"/>
      <c r="AJ75" s="55"/>
      <c r="AK75" s="55"/>
      <c r="AL75" s="55"/>
      <c r="AM75" s="55"/>
      <c r="AN75" s="55"/>
      <c r="AO75" s="55"/>
      <c r="AP75" s="55"/>
      <c r="AQ75" s="55"/>
      <c r="AR75" s="55"/>
      <c r="AS75" s="55"/>
      <c r="AT75" s="55"/>
      <c r="AU75" s="55"/>
      <c r="AV75" s="55"/>
      <c r="AW75" s="55"/>
      <c r="AX75" s="55"/>
      <c r="AY75" s="55"/>
      <c r="AZ75" s="55"/>
      <c r="BA75" s="55"/>
      <c r="BB75" s="55"/>
      <c r="BC75" s="55"/>
      <c r="BD75" s="55"/>
      <c r="BE75" s="55"/>
      <c r="BF75" s="55"/>
      <c r="BG75" s="55"/>
      <c r="BH75" s="55"/>
      <c r="BI75" s="55"/>
      <c r="BJ75" s="55"/>
      <c r="BK75" s="55"/>
      <c r="BL75" s="55"/>
      <c r="BM75" s="55"/>
      <c r="BN75" s="55"/>
      <c r="BO75" s="55"/>
      <c r="BP75" s="55"/>
      <c r="BQ75" s="55"/>
      <c r="BR75" s="55"/>
      <c r="BS75" s="55"/>
      <c r="BT75" s="55"/>
      <c r="BU75" s="55"/>
      <c r="BV75" s="55"/>
      <c r="BW75" s="55"/>
      <c r="BX75" s="55"/>
      <c r="BY75" s="55"/>
      <c r="BZ75" s="55"/>
      <c r="CA75" s="55"/>
      <c r="CB75" s="55"/>
      <c r="CC75" s="55"/>
      <c r="CD75" s="55"/>
      <c r="CE75" s="55"/>
      <c r="CF75" s="55"/>
      <c r="CG75" s="55"/>
      <c r="CH75" s="55"/>
      <c r="CI75" s="55"/>
      <c r="CJ75" s="55"/>
      <c r="CK75" s="55"/>
      <c r="CL75" s="55"/>
      <c r="CM75" s="55"/>
      <c r="CN75" s="55"/>
      <c r="CO75" s="55"/>
      <c r="CP75" s="55"/>
      <c r="CQ75" s="55"/>
      <c r="CR75" s="55"/>
      <c r="CS75" s="55"/>
      <c r="CT75" s="55"/>
      <c r="CU75" s="55"/>
      <c r="CV75" s="55"/>
      <c r="CW75" s="55"/>
      <c r="CX75" s="55"/>
      <c r="CY75" s="55"/>
      <c r="CZ75" s="55"/>
      <c r="DA75" s="55"/>
      <c r="DB75" s="55"/>
      <c r="DC75" s="55"/>
      <c r="DD75" s="55"/>
      <c r="DE75" s="55"/>
      <c r="DF75" s="55"/>
      <c r="DG75" s="55"/>
      <c r="DH75" s="55"/>
      <c r="DI75" s="55"/>
      <c r="DJ75" s="55"/>
      <c r="DK75" s="55"/>
      <c r="DL75" s="55"/>
      <c r="DM75" s="55"/>
      <c r="DN75" s="55"/>
      <c r="DO75" s="55"/>
      <c r="DP75" s="55"/>
      <c r="DQ75" s="55"/>
      <c r="DR75" s="55"/>
      <c r="DS75" s="55"/>
      <c r="DT75" s="55"/>
      <c r="DU75" s="55"/>
      <c r="DV75" s="55"/>
      <c r="DW75" s="55"/>
      <c r="DX75" s="55"/>
      <c r="DY75" s="55"/>
      <c r="DZ75" s="55"/>
      <c r="EA75" s="55"/>
      <c r="EB75" s="55"/>
      <c r="EC75" s="55"/>
      <c r="ED75" s="55"/>
      <c r="EE75" s="55"/>
      <c r="EF75" s="55"/>
      <c r="EG75" s="55"/>
      <c r="EH75" s="55"/>
      <c r="EI75" s="55"/>
      <c r="EJ75" s="55"/>
      <c r="EK75" s="55"/>
      <c r="EL75" s="55"/>
      <c r="EM75" s="55"/>
      <c r="EN75" s="55"/>
      <c r="EO75" s="55"/>
      <c r="EP75" s="55"/>
      <c r="EQ75" s="55"/>
      <c r="ER75" s="55"/>
      <c r="ES75" s="55"/>
      <c r="ET75" s="55"/>
      <c r="EU75" s="55"/>
      <c r="EV75" s="55"/>
      <c r="EW75" s="55"/>
      <c r="EX75" s="55"/>
      <c r="EY75" s="55"/>
      <c r="EZ75" s="55"/>
      <c r="FA75" s="55"/>
      <c r="FB75" s="55"/>
      <c r="FC75" s="55"/>
      <c r="FD75" s="55"/>
      <c r="FE75" s="55"/>
      <c r="FF75" s="55"/>
      <c r="FG75" s="55"/>
      <c r="FH75" s="55"/>
      <c r="FI75" s="55"/>
      <c r="FJ75" s="55"/>
      <c r="FK75" s="55"/>
      <c r="FL75" s="55"/>
      <c r="FM75" s="55"/>
      <c r="FN75" s="55"/>
      <c r="FO75" s="55"/>
      <c r="FP75" s="55"/>
      <c r="FQ75" s="55"/>
      <c r="FR75" s="55"/>
      <c r="FS75" s="55"/>
      <c r="FT75" s="55"/>
      <c r="FU75" s="55"/>
      <c r="FV75" s="55"/>
      <c r="FW75" s="55"/>
      <c r="FX75" s="55"/>
      <c r="FY75" s="55"/>
      <c r="FZ75" s="55"/>
      <c r="GA75" s="55"/>
      <c r="GB75" s="55"/>
      <c r="GC75" s="55"/>
      <c r="GD75" s="55"/>
      <c r="GE75" s="55"/>
      <c r="GF75" s="55"/>
      <c r="GG75" s="55"/>
      <c r="GH75" s="55"/>
      <c r="GI75" s="55"/>
      <c r="GJ75" s="55"/>
      <c r="GK75" s="55"/>
      <c r="GL75" s="55"/>
      <c r="GM75" s="55"/>
      <c r="GN75" s="55"/>
      <c r="GO75" s="55"/>
      <c r="GP75" s="55"/>
      <c r="GQ75" s="55"/>
      <c r="GR75" s="55"/>
      <c r="GS75" s="55"/>
      <c r="GT75" s="55"/>
      <c r="GU75" s="55"/>
      <c r="GV75" s="55"/>
      <c r="GW75" s="55"/>
      <c r="GX75" s="55"/>
      <c r="GY75" s="55"/>
      <c r="GZ75" s="55"/>
      <c r="HA75" s="55"/>
      <c r="HB75" s="55"/>
      <c r="HC75" s="55"/>
      <c r="HD75" s="55"/>
      <c r="HE75" s="55"/>
      <c r="HF75" s="55"/>
      <c r="HG75" s="55"/>
      <c r="HH75" s="55"/>
      <c r="HI75" s="55"/>
      <c r="HJ75" s="55"/>
      <c r="HK75" s="55"/>
      <c r="HL75" s="55"/>
      <c r="HM75" s="55"/>
      <c r="HN75" s="55"/>
      <c r="HO75" s="55"/>
      <c r="HP75" s="55"/>
      <c r="HQ75" s="55"/>
      <c r="HR75" s="55"/>
      <c r="HS75" s="55"/>
      <c r="HT75" s="55"/>
      <c r="HU75" s="55"/>
      <c r="HV75" s="55"/>
      <c r="HW75" s="55"/>
      <c r="HX75" s="55"/>
      <c r="HY75" s="55"/>
      <c r="HZ75" s="55"/>
      <c r="IA75" s="55"/>
      <c r="IB75" s="55"/>
    </row>
    <row r="76" spans="1:236" ht="15" customHeight="1" x14ac:dyDescent="0.2">
      <c r="A76" s="63" t="s">
        <v>331</v>
      </c>
      <c r="B76" s="44" t="s">
        <v>487</v>
      </c>
      <c r="C76" s="45" t="s">
        <v>198</v>
      </c>
      <c r="D76" s="451"/>
      <c r="E76" s="55"/>
      <c r="F76" s="55"/>
      <c r="G76" s="55"/>
      <c r="H76" s="55"/>
      <c r="I76" s="55"/>
      <c r="J76" s="55"/>
      <c r="K76" s="55"/>
      <c r="L76" s="55"/>
      <c r="M76" s="55"/>
      <c r="N76" s="55"/>
      <c r="O76" s="55"/>
      <c r="P76" s="55"/>
      <c r="Q76" s="55"/>
      <c r="R76" s="55"/>
      <c r="S76" s="55"/>
      <c r="T76" s="55"/>
      <c r="U76" s="55"/>
      <c r="V76" s="55"/>
      <c r="W76" s="55"/>
      <c r="X76" s="55"/>
      <c r="Y76" s="55"/>
      <c r="Z76" s="55"/>
      <c r="AA76" s="55"/>
      <c r="AB76" s="55"/>
      <c r="AC76" s="55"/>
      <c r="AD76" s="55"/>
      <c r="AE76" s="55"/>
      <c r="AF76" s="55"/>
      <c r="AG76" s="55"/>
      <c r="AH76" s="55"/>
      <c r="AI76" s="55"/>
      <c r="AJ76" s="55"/>
      <c r="AK76" s="55"/>
      <c r="AL76" s="55"/>
      <c r="AM76" s="55"/>
      <c r="AN76" s="55"/>
      <c r="AO76" s="55"/>
      <c r="AP76" s="55"/>
      <c r="AQ76" s="55"/>
      <c r="AR76" s="55"/>
      <c r="AS76" s="55"/>
      <c r="AT76" s="55"/>
      <c r="AU76" s="55"/>
      <c r="AV76" s="55"/>
      <c r="AW76" s="55"/>
      <c r="AX76" s="55"/>
      <c r="AY76" s="55"/>
      <c r="AZ76" s="55"/>
      <c r="BA76" s="55"/>
      <c r="BB76" s="55"/>
      <c r="BC76" s="55"/>
      <c r="BD76" s="55"/>
      <c r="BE76" s="55"/>
      <c r="BF76" s="55"/>
      <c r="BG76" s="55"/>
      <c r="BH76" s="55"/>
      <c r="BI76" s="55"/>
      <c r="BJ76" s="55"/>
      <c r="BK76" s="55"/>
      <c r="BL76" s="55"/>
      <c r="BM76" s="55"/>
      <c r="BN76" s="55"/>
      <c r="BO76" s="55"/>
      <c r="BP76" s="55"/>
      <c r="BQ76" s="55"/>
      <c r="BR76" s="55"/>
      <c r="BS76" s="55"/>
      <c r="BT76" s="55"/>
      <c r="BU76" s="55"/>
      <c r="BV76" s="55"/>
      <c r="BW76" s="55"/>
      <c r="BX76" s="55"/>
      <c r="BY76" s="55"/>
      <c r="BZ76" s="55"/>
      <c r="CA76" s="55"/>
      <c r="CB76" s="55"/>
      <c r="CC76" s="55"/>
      <c r="CD76" s="55"/>
      <c r="CE76" s="55"/>
      <c r="CF76" s="55"/>
      <c r="CG76" s="55"/>
      <c r="CH76" s="55"/>
      <c r="CI76" s="55"/>
      <c r="CJ76" s="55"/>
      <c r="CK76" s="55"/>
      <c r="CL76" s="55"/>
      <c r="CM76" s="55"/>
      <c r="CN76" s="55"/>
      <c r="CO76" s="55"/>
      <c r="CP76" s="55"/>
      <c r="CQ76" s="55"/>
      <c r="CR76" s="55"/>
      <c r="CS76" s="55"/>
      <c r="CT76" s="55"/>
      <c r="CU76" s="55"/>
      <c r="CV76" s="55"/>
      <c r="CW76" s="55"/>
      <c r="CX76" s="55"/>
      <c r="CY76" s="55"/>
      <c r="CZ76" s="55"/>
      <c r="DA76" s="55"/>
      <c r="DB76" s="55"/>
      <c r="DC76" s="55"/>
      <c r="DD76" s="55"/>
      <c r="DE76" s="55"/>
      <c r="DF76" s="55"/>
      <c r="DG76" s="55"/>
      <c r="DH76" s="55"/>
      <c r="DI76" s="55"/>
      <c r="DJ76" s="55"/>
      <c r="DK76" s="55"/>
      <c r="DL76" s="55"/>
      <c r="DM76" s="55"/>
      <c r="DN76" s="55"/>
      <c r="DO76" s="55"/>
      <c r="DP76" s="55"/>
      <c r="DQ76" s="55"/>
      <c r="DR76" s="55"/>
      <c r="DS76" s="55"/>
      <c r="DT76" s="55"/>
      <c r="DU76" s="55"/>
      <c r="DV76" s="55"/>
      <c r="DW76" s="55"/>
      <c r="DX76" s="55"/>
      <c r="DY76" s="55"/>
      <c r="DZ76" s="55"/>
      <c r="EA76" s="55"/>
      <c r="EB76" s="55"/>
      <c r="EC76" s="55"/>
      <c r="ED76" s="55"/>
      <c r="EE76" s="55"/>
      <c r="EF76" s="55"/>
      <c r="EG76" s="55"/>
      <c r="EH76" s="55"/>
      <c r="EI76" s="55"/>
      <c r="EJ76" s="55"/>
      <c r="EK76" s="55"/>
      <c r="EL76" s="55"/>
      <c r="EM76" s="55"/>
      <c r="EN76" s="55"/>
      <c r="EO76" s="55"/>
      <c r="EP76" s="55"/>
      <c r="EQ76" s="55"/>
      <c r="ER76" s="55"/>
      <c r="ES76" s="55"/>
      <c r="ET76" s="55"/>
      <c r="EU76" s="55"/>
      <c r="EV76" s="55"/>
      <c r="EW76" s="55"/>
      <c r="EX76" s="55"/>
      <c r="EY76" s="55"/>
      <c r="EZ76" s="55"/>
      <c r="FA76" s="55"/>
      <c r="FB76" s="55"/>
      <c r="FC76" s="55"/>
      <c r="FD76" s="55"/>
      <c r="FE76" s="55"/>
      <c r="FF76" s="55"/>
      <c r="FG76" s="55"/>
      <c r="FH76" s="55"/>
      <c r="FI76" s="55"/>
      <c r="FJ76" s="55"/>
      <c r="FK76" s="55"/>
      <c r="FL76" s="55"/>
      <c r="FM76" s="55"/>
      <c r="FN76" s="55"/>
      <c r="FO76" s="55"/>
      <c r="FP76" s="55"/>
      <c r="FQ76" s="55"/>
      <c r="FR76" s="55"/>
      <c r="FS76" s="55"/>
      <c r="FT76" s="55"/>
      <c r="FU76" s="55"/>
      <c r="FV76" s="55"/>
      <c r="FW76" s="55"/>
      <c r="FX76" s="55"/>
      <c r="FY76" s="55"/>
      <c r="FZ76" s="55"/>
      <c r="GA76" s="55"/>
      <c r="GB76" s="55"/>
      <c r="GC76" s="55"/>
      <c r="GD76" s="55"/>
      <c r="GE76" s="55"/>
      <c r="GF76" s="55"/>
      <c r="GG76" s="55"/>
      <c r="GH76" s="55"/>
      <c r="GI76" s="55"/>
      <c r="GJ76" s="55"/>
      <c r="GK76" s="55"/>
      <c r="GL76" s="55"/>
      <c r="GM76" s="55"/>
      <c r="GN76" s="55"/>
      <c r="GO76" s="55"/>
      <c r="GP76" s="55"/>
      <c r="GQ76" s="55"/>
      <c r="GR76" s="55"/>
      <c r="GS76" s="55"/>
      <c r="GT76" s="55"/>
      <c r="GU76" s="55"/>
      <c r="GV76" s="55"/>
      <c r="GW76" s="55"/>
      <c r="GX76" s="55"/>
      <c r="GY76" s="55"/>
      <c r="GZ76" s="55"/>
      <c r="HA76" s="55"/>
      <c r="HB76" s="55"/>
      <c r="HC76" s="55"/>
      <c r="HD76" s="55"/>
      <c r="HE76" s="55"/>
      <c r="HF76" s="55"/>
      <c r="HG76" s="55"/>
      <c r="HH76" s="55"/>
      <c r="HI76" s="55"/>
      <c r="HJ76" s="55"/>
      <c r="HK76" s="55"/>
      <c r="HL76" s="55"/>
      <c r="HM76" s="55"/>
      <c r="HN76" s="55"/>
      <c r="HO76" s="55"/>
      <c r="HP76" s="55"/>
      <c r="HQ76" s="55"/>
      <c r="HR76" s="55"/>
      <c r="HS76" s="55"/>
      <c r="HT76" s="55"/>
      <c r="HU76" s="55"/>
      <c r="HV76" s="55"/>
      <c r="HW76" s="55"/>
      <c r="HX76" s="55"/>
      <c r="HY76" s="55"/>
      <c r="HZ76" s="55"/>
      <c r="IA76" s="55"/>
      <c r="IB76" s="55"/>
    </row>
    <row r="77" spans="1:236" ht="15" customHeight="1" x14ac:dyDescent="0.2">
      <c r="A77" s="63" t="s">
        <v>332</v>
      </c>
      <c r="B77" s="44" t="s">
        <v>714</v>
      </c>
      <c r="C77" s="45" t="s">
        <v>198</v>
      </c>
      <c r="D77" s="451"/>
      <c r="E77" s="55"/>
      <c r="F77" s="55"/>
      <c r="G77" s="55"/>
      <c r="H77" s="55"/>
      <c r="I77" s="55"/>
      <c r="J77" s="55"/>
      <c r="K77" s="55"/>
      <c r="L77" s="55"/>
      <c r="M77" s="55"/>
      <c r="N77" s="55"/>
      <c r="O77" s="55"/>
      <c r="P77" s="55"/>
      <c r="Q77" s="55"/>
      <c r="R77" s="55"/>
      <c r="S77" s="55"/>
      <c r="T77" s="55"/>
      <c r="U77" s="55"/>
      <c r="V77" s="55"/>
      <c r="W77" s="55"/>
      <c r="X77" s="55"/>
      <c r="Y77" s="55"/>
      <c r="Z77" s="55"/>
      <c r="AA77" s="55"/>
      <c r="AB77" s="55"/>
      <c r="AC77" s="55"/>
      <c r="AD77" s="55"/>
      <c r="AE77" s="55"/>
      <c r="AF77" s="55"/>
      <c r="AG77" s="55"/>
      <c r="AH77" s="55"/>
      <c r="AI77" s="55"/>
      <c r="AJ77" s="55"/>
      <c r="AK77" s="55"/>
      <c r="AL77" s="55"/>
      <c r="AM77" s="55"/>
      <c r="AN77" s="55"/>
      <c r="AO77" s="55"/>
      <c r="AP77" s="55"/>
      <c r="AQ77" s="55"/>
      <c r="AR77" s="55"/>
      <c r="AS77" s="55"/>
      <c r="AT77" s="55"/>
      <c r="AU77" s="55"/>
      <c r="AV77" s="55"/>
      <c r="AW77" s="55"/>
      <c r="AX77" s="55"/>
      <c r="AY77" s="55"/>
      <c r="AZ77" s="55"/>
      <c r="BA77" s="55"/>
      <c r="BB77" s="55"/>
      <c r="BC77" s="55"/>
      <c r="BD77" s="55"/>
      <c r="BE77" s="55"/>
      <c r="BF77" s="55"/>
      <c r="BG77" s="55"/>
      <c r="BH77" s="55"/>
      <c r="BI77" s="55"/>
      <c r="BJ77" s="55"/>
      <c r="BK77" s="55"/>
      <c r="BL77" s="55"/>
      <c r="BM77" s="55"/>
      <c r="BN77" s="55"/>
      <c r="BO77" s="55"/>
      <c r="BP77" s="55"/>
      <c r="BQ77" s="55"/>
      <c r="BR77" s="55"/>
      <c r="BS77" s="55"/>
      <c r="BT77" s="55"/>
      <c r="BU77" s="55"/>
      <c r="BV77" s="55"/>
      <c r="BW77" s="55"/>
      <c r="BX77" s="55"/>
      <c r="BY77" s="55"/>
      <c r="BZ77" s="55"/>
      <c r="CA77" s="55"/>
      <c r="CB77" s="55"/>
      <c r="CC77" s="55"/>
      <c r="CD77" s="55"/>
      <c r="CE77" s="55"/>
      <c r="CF77" s="55"/>
      <c r="CG77" s="55"/>
      <c r="CH77" s="55"/>
      <c r="CI77" s="55"/>
      <c r="CJ77" s="55"/>
      <c r="CK77" s="55"/>
      <c r="CL77" s="55"/>
      <c r="CM77" s="55"/>
      <c r="CN77" s="55"/>
      <c r="CO77" s="55"/>
      <c r="CP77" s="55"/>
      <c r="CQ77" s="55"/>
      <c r="CR77" s="55"/>
      <c r="CS77" s="55"/>
      <c r="CT77" s="55"/>
      <c r="CU77" s="55"/>
      <c r="CV77" s="55"/>
      <c r="CW77" s="55"/>
      <c r="CX77" s="55"/>
      <c r="CY77" s="55"/>
      <c r="CZ77" s="55"/>
      <c r="DA77" s="55"/>
      <c r="DB77" s="55"/>
      <c r="DC77" s="55"/>
      <c r="DD77" s="55"/>
      <c r="DE77" s="55"/>
      <c r="DF77" s="55"/>
      <c r="DG77" s="55"/>
      <c r="DH77" s="55"/>
      <c r="DI77" s="55"/>
      <c r="DJ77" s="55"/>
      <c r="DK77" s="55"/>
      <c r="DL77" s="55"/>
      <c r="DM77" s="55"/>
      <c r="DN77" s="55"/>
      <c r="DO77" s="55"/>
      <c r="DP77" s="55"/>
      <c r="DQ77" s="55"/>
      <c r="DR77" s="55"/>
      <c r="DS77" s="55"/>
      <c r="DT77" s="55"/>
      <c r="DU77" s="55"/>
      <c r="DV77" s="55"/>
      <c r="DW77" s="55"/>
      <c r="DX77" s="55"/>
      <c r="DY77" s="55"/>
      <c r="DZ77" s="55"/>
      <c r="EA77" s="55"/>
      <c r="EB77" s="55"/>
      <c r="EC77" s="55"/>
      <c r="ED77" s="55"/>
      <c r="EE77" s="55"/>
      <c r="EF77" s="55"/>
      <c r="EG77" s="55"/>
      <c r="EH77" s="55"/>
      <c r="EI77" s="55"/>
      <c r="EJ77" s="55"/>
      <c r="EK77" s="55"/>
      <c r="EL77" s="55"/>
      <c r="EM77" s="55"/>
      <c r="EN77" s="55"/>
      <c r="EO77" s="55"/>
      <c r="EP77" s="55"/>
      <c r="EQ77" s="55"/>
      <c r="ER77" s="55"/>
      <c r="ES77" s="55"/>
      <c r="ET77" s="55"/>
      <c r="EU77" s="55"/>
      <c r="EV77" s="55"/>
      <c r="EW77" s="55"/>
      <c r="EX77" s="55"/>
      <c r="EY77" s="55"/>
      <c r="EZ77" s="55"/>
      <c r="FA77" s="55"/>
      <c r="FB77" s="55"/>
      <c r="FC77" s="55"/>
      <c r="FD77" s="55"/>
      <c r="FE77" s="55"/>
      <c r="FF77" s="55"/>
      <c r="FG77" s="55"/>
      <c r="FH77" s="55"/>
      <c r="FI77" s="55"/>
      <c r="FJ77" s="55"/>
      <c r="FK77" s="55"/>
      <c r="FL77" s="55"/>
      <c r="FM77" s="55"/>
      <c r="FN77" s="55"/>
      <c r="FO77" s="55"/>
      <c r="FP77" s="55"/>
      <c r="FQ77" s="55"/>
      <c r="FR77" s="55"/>
      <c r="FS77" s="55"/>
      <c r="FT77" s="55"/>
      <c r="FU77" s="55"/>
      <c r="FV77" s="55"/>
      <c r="FW77" s="55"/>
      <c r="FX77" s="55"/>
      <c r="FY77" s="55"/>
      <c r="FZ77" s="55"/>
      <c r="GA77" s="55"/>
      <c r="GB77" s="55"/>
      <c r="GC77" s="55"/>
      <c r="GD77" s="55"/>
      <c r="GE77" s="55"/>
      <c r="GF77" s="55"/>
      <c r="GG77" s="55"/>
      <c r="GH77" s="55"/>
      <c r="GI77" s="55"/>
      <c r="GJ77" s="55"/>
      <c r="GK77" s="55"/>
      <c r="GL77" s="55"/>
      <c r="GM77" s="55"/>
      <c r="GN77" s="55"/>
      <c r="GO77" s="55"/>
      <c r="GP77" s="55"/>
      <c r="GQ77" s="55"/>
      <c r="GR77" s="55"/>
      <c r="GS77" s="55"/>
      <c r="GT77" s="55"/>
      <c r="GU77" s="55"/>
      <c r="GV77" s="55"/>
      <c r="GW77" s="55"/>
      <c r="GX77" s="55"/>
      <c r="GY77" s="55"/>
      <c r="GZ77" s="55"/>
      <c r="HA77" s="55"/>
      <c r="HB77" s="55"/>
      <c r="HC77" s="55"/>
      <c r="HD77" s="55"/>
      <c r="HE77" s="55"/>
      <c r="HF77" s="55"/>
      <c r="HG77" s="55"/>
      <c r="HH77" s="55"/>
      <c r="HI77" s="55"/>
      <c r="HJ77" s="55"/>
      <c r="HK77" s="55"/>
      <c r="HL77" s="55"/>
      <c r="HM77" s="55"/>
      <c r="HN77" s="55"/>
      <c r="HO77" s="55"/>
      <c r="HP77" s="55"/>
      <c r="HQ77" s="55"/>
      <c r="HR77" s="55"/>
      <c r="HS77" s="55"/>
      <c r="HT77" s="55"/>
      <c r="HU77" s="55"/>
      <c r="HV77" s="55"/>
      <c r="HW77" s="55"/>
      <c r="HX77" s="55"/>
      <c r="HY77" s="55"/>
      <c r="HZ77" s="55"/>
      <c r="IA77" s="55"/>
      <c r="IB77" s="55"/>
    </row>
    <row r="78" spans="1:236" ht="25.5" x14ac:dyDescent="0.2">
      <c r="A78" s="63" t="s">
        <v>333</v>
      </c>
      <c r="B78" s="44" t="s">
        <v>251</v>
      </c>
      <c r="C78" s="45" t="s">
        <v>198</v>
      </c>
      <c r="D78" s="451"/>
      <c r="E78" s="55"/>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J78" s="55"/>
      <c r="AK78" s="55"/>
      <c r="AL78" s="55"/>
      <c r="AM78" s="55"/>
      <c r="AN78" s="55"/>
      <c r="AO78" s="55"/>
      <c r="AP78" s="55"/>
      <c r="AQ78" s="55"/>
      <c r="AR78" s="55"/>
      <c r="AS78" s="55"/>
      <c r="AT78" s="55"/>
      <c r="AU78" s="55"/>
      <c r="AV78" s="55"/>
      <c r="AW78" s="55"/>
      <c r="AX78" s="55"/>
      <c r="AY78" s="55"/>
      <c r="AZ78" s="55"/>
      <c r="BA78" s="55"/>
      <c r="BB78" s="55"/>
      <c r="BC78" s="55"/>
      <c r="BD78" s="55"/>
      <c r="BE78" s="55"/>
      <c r="BF78" s="55"/>
      <c r="BG78" s="55"/>
      <c r="BH78" s="55"/>
      <c r="BI78" s="55"/>
      <c r="BJ78" s="55"/>
      <c r="BK78" s="55"/>
      <c r="BL78" s="55"/>
      <c r="BM78" s="55"/>
      <c r="BN78" s="55"/>
      <c r="BO78" s="55"/>
      <c r="BP78" s="55"/>
      <c r="BQ78" s="55"/>
      <c r="BR78" s="55"/>
      <c r="BS78" s="55"/>
      <c r="BT78" s="55"/>
      <c r="BU78" s="55"/>
      <c r="BV78" s="55"/>
      <c r="BW78" s="55"/>
      <c r="BX78" s="55"/>
      <c r="BY78" s="55"/>
      <c r="BZ78" s="55"/>
      <c r="CA78" s="55"/>
      <c r="CB78" s="55"/>
      <c r="CC78" s="55"/>
      <c r="CD78" s="55"/>
      <c r="CE78" s="55"/>
      <c r="CF78" s="55"/>
      <c r="CG78" s="55"/>
      <c r="CH78" s="55"/>
      <c r="CI78" s="55"/>
      <c r="CJ78" s="55"/>
      <c r="CK78" s="55"/>
      <c r="CL78" s="55"/>
      <c r="CM78" s="55"/>
      <c r="CN78" s="55"/>
      <c r="CO78" s="55"/>
      <c r="CP78" s="55"/>
      <c r="CQ78" s="55"/>
      <c r="CR78" s="55"/>
      <c r="CS78" s="55"/>
      <c r="CT78" s="55"/>
      <c r="CU78" s="55"/>
      <c r="CV78" s="55"/>
      <c r="CW78" s="55"/>
      <c r="CX78" s="55"/>
      <c r="CY78" s="55"/>
      <c r="CZ78" s="55"/>
      <c r="DA78" s="55"/>
      <c r="DB78" s="55"/>
      <c r="DC78" s="55"/>
      <c r="DD78" s="55"/>
      <c r="DE78" s="55"/>
      <c r="DF78" s="55"/>
      <c r="DG78" s="55"/>
      <c r="DH78" s="55"/>
      <c r="DI78" s="55"/>
      <c r="DJ78" s="55"/>
      <c r="DK78" s="55"/>
      <c r="DL78" s="55"/>
      <c r="DM78" s="55"/>
      <c r="DN78" s="55"/>
      <c r="DO78" s="55"/>
      <c r="DP78" s="55"/>
      <c r="DQ78" s="55"/>
      <c r="DR78" s="55"/>
      <c r="DS78" s="55"/>
      <c r="DT78" s="55"/>
      <c r="DU78" s="55"/>
      <c r="DV78" s="55"/>
      <c r="DW78" s="55"/>
      <c r="DX78" s="55"/>
      <c r="DY78" s="55"/>
      <c r="DZ78" s="55"/>
      <c r="EA78" s="55"/>
      <c r="EB78" s="55"/>
      <c r="EC78" s="55"/>
      <c r="ED78" s="55"/>
      <c r="EE78" s="55"/>
      <c r="EF78" s="55"/>
      <c r="EG78" s="55"/>
      <c r="EH78" s="55"/>
      <c r="EI78" s="55"/>
      <c r="EJ78" s="55"/>
      <c r="EK78" s="55"/>
      <c r="EL78" s="55"/>
      <c r="EM78" s="55"/>
      <c r="EN78" s="55"/>
      <c r="EO78" s="55"/>
      <c r="EP78" s="55"/>
      <c r="EQ78" s="55"/>
      <c r="ER78" s="55"/>
      <c r="ES78" s="55"/>
      <c r="ET78" s="55"/>
      <c r="EU78" s="55"/>
      <c r="EV78" s="55"/>
      <c r="EW78" s="55"/>
      <c r="EX78" s="55"/>
      <c r="EY78" s="55"/>
      <c r="EZ78" s="55"/>
      <c r="FA78" s="55"/>
      <c r="FB78" s="55"/>
      <c r="FC78" s="55"/>
      <c r="FD78" s="55"/>
      <c r="FE78" s="55"/>
      <c r="FF78" s="55"/>
      <c r="FG78" s="55"/>
      <c r="FH78" s="55"/>
      <c r="FI78" s="55"/>
      <c r="FJ78" s="55"/>
      <c r="FK78" s="55"/>
      <c r="FL78" s="55"/>
      <c r="FM78" s="55"/>
      <c r="FN78" s="55"/>
      <c r="FO78" s="55"/>
      <c r="FP78" s="55"/>
      <c r="FQ78" s="55"/>
      <c r="FR78" s="55"/>
      <c r="FS78" s="55"/>
      <c r="FT78" s="55"/>
      <c r="FU78" s="55"/>
      <c r="FV78" s="55"/>
      <c r="FW78" s="55"/>
      <c r="FX78" s="55"/>
      <c r="FY78" s="55"/>
      <c r="FZ78" s="55"/>
      <c r="GA78" s="55"/>
      <c r="GB78" s="55"/>
      <c r="GC78" s="55"/>
      <c r="GD78" s="55"/>
      <c r="GE78" s="55"/>
      <c r="GF78" s="55"/>
      <c r="GG78" s="55"/>
      <c r="GH78" s="55"/>
      <c r="GI78" s="55"/>
      <c r="GJ78" s="55"/>
      <c r="GK78" s="55"/>
      <c r="GL78" s="55"/>
      <c r="GM78" s="55"/>
      <c r="GN78" s="55"/>
      <c r="GO78" s="55"/>
      <c r="GP78" s="55"/>
      <c r="GQ78" s="55"/>
      <c r="GR78" s="55"/>
      <c r="GS78" s="55"/>
      <c r="GT78" s="55"/>
      <c r="GU78" s="55"/>
      <c r="GV78" s="55"/>
      <c r="GW78" s="55"/>
      <c r="GX78" s="55"/>
      <c r="GY78" s="55"/>
      <c r="GZ78" s="55"/>
      <c r="HA78" s="55"/>
      <c r="HB78" s="55"/>
      <c r="HC78" s="55"/>
      <c r="HD78" s="55"/>
      <c r="HE78" s="55"/>
      <c r="HF78" s="55"/>
      <c r="HG78" s="55"/>
      <c r="HH78" s="55"/>
      <c r="HI78" s="55"/>
      <c r="HJ78" s="55"/>
      <c r="HK78" s="55"/>
      <c r="HL78" s="55"/>
      <c r="HM78" s="55"/>
      <c r="HN78" s="55"/>
      <c r="HO78" s="55"/>
      <c r="HP78" s="55"/>
      <c r="HQ78" s="55"/>
      <c r="HR78" s="55"/>
      <c r="HS78" s="55"/>
      <c r="HT78" s="55"/>
      <c r="HU78" s="55"/>
      <c r="HV78" s="55"/>
      <c r="HW78" s="55"/>
      <c r="HX78" s="55"/>
      <c r="HY78" s="55"/>
      <c r="HZ78" s="55"/>
      <c r="IA78" s="55"/>
      <c r="IB78" s="55"/>
    </row>
    <row r="79" spans="1:236" ht="15" customHeight="1" x14ac:dyDescent="0.2">
      <c r="A79" s="63" t="s">
        <v>334</v>
      </c>
      <c r="B79" s="44" t="s">
        <v>488</v>
      </c>
      <c r="C79" s="45" t="s">
        <v>196</v>
      </c>
      <c r="D79" s="451"/>
      <c r="E79" s="55"/>
      <c r="F79" s="55"/>
      <c r="G79" s="55"/>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c r="AH79" s="55"/>
      <c r="AI79" s="55"/>
      <c r="AJ79" s="55"/>
      <c r="AK79" s="55"/>
      <c r="AL79" s="55"/>
      <c r="AM79" s="55"/>
      <c r="AN79" s="55"/>
      <c r="AO79" s="55"/>
      <c r="AP79" s="55"/>
      <c r="AQ79" s="55"/>
      <c r="AR79" s="55"/>
      <c r="AS79" s="55"/>
      <c r="AT79" s="55"/>
      <c r="AU79" s="55"/>
      <c r="AV79" s="55"/>
      <c r="AW79" s="55"/>
      <c r="AX79" s="55"/>
      <c r="AY79" s="55"/>
      <c r="AZ79" s="55"/>
      <c r="BA79" s="55"/>
      <c r="BB79" s="55"/>
      <c r="BC79" s="55"/>
      <c r="BD79" s="55"/>
      <c r="BE79" s="55"/>
      <c r="BF79" s="55"/>
      <c r="BG79" s="55"/>
      <c r="BH79" s="55"/>
      <c r="BI79" s="55"/>
      <c r="BJ79" s="55"/>
      <c r="BK79" s="55"/>
      <c r="BL79" s="55"/>
      <c r="BM79" s="55"/>
      <c r="BN79" s="55"/>
      <c r="BO79" s="55"/>
      <c r="BP79" s="55"/>
      <c r="BQ79" s="55"/>
      <c r="BR79" s="55"/>
      <c r="BS79" s="55"/>
      <c r="BT79" s="55"/>
      <c r="BU79" s="55"/>
      <c r="BV79" s="55"/>
      <c r="BW79" s="55"/>
      <c r="BX79" s="55"/>
      <c r="BY79" s="55"/>
      <c r="BZ79" s="55"/>
      <c r="CA79" s="55"/>
      <c r="CB79" s="55"/>
      <c r="CC79" s="55"/>
      <c r="CD79" s="55"/>
      <c r="CE79" s="55"/>
      <c r="CF79" s="55"/>
      <c r="CG79" s="55"/>
      <c r="CH79" s="55"/>
      <c r="CI79" s="55"/>
      <c r="CJ79" s="55"/>
      <c r="CK79" s="55"/>
      <c r="CL79" s="55"/>
      <c r="CM79" s="55"/>
      <c r="CN79" s="55"/>
      <c r="CO79" s="55"/>
      <c r="CP79" s="55"/>
      <c r="CQ79" s="55"/>
      <c r="CR79" s="55"/>
      <c r="CS79" s="55"/>
      <c r="CT79" s="55"/>
      <c r="CU79" s="55"/>
      <c r="CV79" s="55"/>
      <c r="CW79" s="55"/>
      <c r="CX79" s="55"/>
      <c r="CY79" s="55"/>
      <c r="CZ79" s="55"/>
      <c r="DA79" s="55"/>
      <c r="DB79" s="55"/>
      <c r="DC79" s="55"/>
      <c r="DD79" s="55"/>
      <c r="DE79" s="55"/>
      <c r="DF79" s="55"/>
      <c r="DG79" s="55"/>
      <c r="DH79" s="55"/>
      <c r="DI79" s="55"/>
      <c r="DJ79" s="55"/>
      <c r="DK79" s="55"/>
      <c r="DL79" s="55"/>
      <c r="DM79" s="55"/>
      <c r="DN79" s="55"/>
      <c r="DO79" s="55"/>
      <c r="DP79" s="55"/>
      <c r="DQ79" s="55"/>
      <c r="DR79" s="55"/>
      <c r="DS79" s="55"/>
      <c r="DT79" s="55"/>
      <c r="DU79" s="55"/>
      <c r="DV79" s="55"/>
      <c r="DW79" s="55"/>
      <c r="DX79" s="55"/>
      <c r="DY79" s="55"/>
      <c r="DZ79" s="55"/>
      <c r="EA79" s="55"/>
      <c r="EB79" s="55"/>
      <c r="EC79" s="55"/>
      <c r="ED79" s="55"/>
      <c r="EE79" s="55"/>
      <c r="EF79" s="55"/>
      <c r="EG79" s="55"/>
      <c r="EH79" s="55"/>
      <c r="EI79" s="55"/>
      <c r="EJ79" s="55"/>
      <c r="EK79" s="55"/>
      <c r="EL79" s="55"/>
      <c r="EM79" s="55"/>
      <c r="EN79" s="55"/>
      <c r="EO79" s="55"/>
      <c r="EP79" s="55"/>
      <c r="EQ79" s="55"/>
      <c r="ER79" s="55"/>
      <c r="ES79" s="55"/>
      <c r="ET79" s="55"/>
      <c r="EU79" s="55"/>
      <c r="EV79" s="55"/>
      <c r="EW79" s="55"/>
      <c r="EX79" s="55"/>
      <c r="EY79" s="55"/>
      <c r="EZ79" s="55"/>
      <c r="FA79" s="55"/>
      <c r="FB79" s="55"/>
      <c r="FC79" s="55"/>
      <c r="FD79" s="55"/>
      <c r="FE79" s="55"/>
      <c r="FF79" s="55"/>
      <c r="FG79" s="55"/>
      <c r="FH79" s="55"/>
      <c r="FI79" s="55"/>
      <c r="FJ79" s="55"/>
      <c r="FK79" s="55"/>
      <c r="FL79" s="55"/>
      <c r="FM79" s="55"/>
      <c r="FN79" s="55"/>
      <c r="FO79" s="55"/>
      <c r="FP79" s="55"/>
      <c r="FQ79" s="55"/>
      <c r="FR79" s="55"/>
      <c r="FS79" s="55"/>
      <c r="FT79" s="55"/>
      <c r="FU79" s="55"/>
      <c r="FV79" s="55"/>
      <c r="FW79" s="55"/>
      <c r="FX79" s="55"/>
      <c r="FY79" s="55"/>
      <c r="FZ79" s="55"/>
      <c r="GA79" s="55"/>
      <c r="GB79" s="55"/>
      <c r="GC79" s="55"/>
      <c r="GD79" s="55"/>
      <c r="GE79" s="55"/>
      <c r="GF79" s="55"/>
      <c r="GG79" s="55"/>
      <c r="GH79" s="55"/>
      <c r="GI79" s="55"/>
      <c r="GJ79" s="55"/>
      <c r="GK79" s="55"/>
      <c r="GL79" s="55"/>
      <c r="GM79" s="55"/>
      <c r="GN79" s="55"/>
      <c r="GO79" s="55"/>
      <c r="GP79" s="55"/>
      <c r="GQ79" s="55"/>
      <c r="GR79" s="55"/>
      <c r="GS79" s="55"/>
      <c r="GT79" s="55"/>
      <c r="GU79" s="55"/>
      <c r="GV79" s="55"/>
      <c r="GW79" s="55"/>
      <c r="GX79" s="55"/>
      <c r="GY79" s="55"/>
      <c r="GZ79" s="55"/>
      <c r="HA79" s="55"/>
      <c r="HB79" s="55"/>
      <c r="HC79" s="55"/>
      <c r="HD79" s="55"/>
      <c r="HE79" s="55"/>
      <c r="HF79" s="55"/>
      <c r="HG79" s="55"/>
      <c r="HH79" s="55"/>
      <c r="HI79" s="55"/>
      <c r="HJ79" s="55"/>
      <c r="HK79" s="55"/>
      <c r="HL79" s="55"/>
      <c r="HM79" s="55"/>
      <c r="HN79" s="55"/>
      <c r="HO79" s="55"/>
      <c r="HP79" s="55"/>
      <c r="HQ79" s="55"/>
      <c r="HR79" s="55"/>
      <c r="HS79" s="55"/>
      <c r="HT79" s="55"/>
      <c r="HU79" s="55"/>
      <c r="HV79" s="55"/>
      <c r="HW79" s="55"/>
      <c r="HX79" s="55"/>
      <c r="HY79" s="55"/>
      <c r="HZ79" s="55"/>
      <c r="IA79" s="55"/>
      <c r="IB79" s="55"/>
    </row>
    <row r="80" spans="1:236" ht="15" customHeight="1" x14ac:dyDescent="0.2">
      <c r="A80" s="63" t="s">
        <v>335</v>
      </c>
      <c r="B80" s="44" t="s">
        <v>1004</v>
      </c>
      <c r="C80" s="45" t="s">
        <v>196</v>
      </c>
      <c r="D80" s="451"/>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c r="AH80" s="55"/>
      <c r="AI80" s="55"/>
      <c r="AJ80" s="55"/>
      <c r="AK80" s="55"/>
      <c r="AL80" s="55"/>
      <c r="AM80" s="55"/>
      <c r="AN80" s="55"/>
      <c r="AO80" s="55"/>
      <c r="AP80" s="55"/>
      <c r="AQ80" s="55"/>
      <c r="AR80" s="55"/>
      <c r="AS80" s="55"/>
      <c r="AT80" s="55"/>
      <c r="AU80" s="55"/>
      <c r="AV80" s="55"/>
      <c r="AW80" s="55"/>
      <c r="AX80" s="55"/>
      <c r="AY80" s="55"/>
      <c r="AZ80" s="55"/>
      <c r="BA80" s="55"/>
      <c r="BB80" s="55"/>
      <c r="BC80" s="55"/>
      <c r="BD80" s="55"/>
      <c r="BE80" s="55"/>
      <c r="BF80" s="55"/>
      <c r="BG80" s="55"/>
      <c r="BH80" s="55"/>
      <c r="BI80" s="55"/>
      <c r="BJ80" s="55"/>
      <c r="BK80" s="55"/>
      <c r="BL80" s="55"/>
      <c r="BM80" s="55"/>
      <c r="BN80" s="55"/>
      <c r="BO80" s="55"/>
      <c r="BP80" s="55"/>
      <c r="BQ80" s="55"/>
      <c r="BR80" s="55"/>
      <c r="BS80" s="55"/>
      <c r="BT80" s="55"/>
      <c r="BU80" s="55"/>
      <c r="BV80" s="55"/>
      <c r="BW80" s="55"/>
      <c r="BX80" s="55"/>
      <c r="BY80" s="55"/>
      <c r="BZ80" s="55"/>
      <c r="CA80" s="55"/>
      <c r="CB80" s="55"/>
      <c r="CC80" s="55"/>
      <c r="CD80" s="55"/>
      <c r="CE80" s="55"/>
      <c r="CF80" s="55"/>
      <c r="CG80" s="55"/>
      <c r="CH80" s="55"/>
      <c r="CI80" s="55"/>
      <c r="CJ80" s="55"/>
      <c r="CK80" s="55"/>
      <c r="CL80" s="55"/>
      <c r="CM80" s="55"/>
      <c r="CN80" s="55"/>
      <c r="CO80" s="55"/>
      <c r="CP80" s="55"/>
      <c r="CQ80" s="55"/>
      <c r="CR80" s="55"/>
      <c r="CS80" s="55"/>
      <c r="CT80" s="55"/>
      <c r="CU80" s="55"/>
      <c r="CV80" s="55"/>
      <c r="CW80" s="55"/>
      <c r="CX80" s="55"/>
      <c r="CY80" s="55"/>
      <c r="CZ80" s="55"/>
      <c r="DA80" s="55"/>
      <c r="DB80" s="55"/>
      <c r="DC80" s="55"/>
      <c r="DD80" s="55"/>
      <c r="DE80" s="55"/>
      <c r="DF80" s="55"/>
      <c r="DG80" s="55"/>
      <c r="DH80" s="55"/>
      <c r="DI80" s="55"/>
      <c r="DJ80" s="55"/>
      <c r="DK80" s="55"/>
      <c r="DL80" s="55"/>
      <c r="DM80" s="55"/>
      <c r="DN80" s="55"/>
      <c r="DO80" s="55"/>
      <c r="DP80" s="55"/>
      <c r="DQ80" s="55"/>
      <c r="DR80" s="55"/>
      <c r="DS80" s="55"/>
      <c r="DT80" s="55"/>
      <c r="DU80" s="55"/>
      <c r="DV80" s="55"/>
      <c r="DW80" s="55"/>
      <c r="DX80" s="55"/>
      <c r="DY80" s="55"/>
      <c r="DZ80" s="55"/>
      <c r="EA80" s="55"/>
      <c r="EB80" s="55"/>
      <c r="EC80" s="55"/>
      <c r="ED80" s="55"/>
      <c r="EE80" s="55"/>
      <c r="EF80" s="55"/>
      <c r="EG80" s="55"/>
      <c r="EH80" s="55"/>
      <c r="EI80" s="55"/>
      <c r="EJ80" s="55"/>
      <c r="EK80" s="55"/>
      <c r="EL80" s="55"/>
      <c r="EM80" s="55"/>
      <c r="EN80" s="55"/>
      <c r="EO80" s="55"/>
      <c r="EP80" s="55"/>
      <c r="EQ80" s="55"/>
      <c r="ER80" s="55"/>
      <c r="ES80" s="55"/>
      <c r="ET80" s="55"/>
      <c r="EU80" s="55"/>
      <c r="EV80" s="55"/>
      <c r="EW80" s="55"/>
      <c r="EX80" s="55"/>
      <c r="EY80" s="55"/>
      <c r="EZ80" s="55"/>
      <c r="FA80" s="55"/>
      <c r="FB80" s="55"/>
      <c r="FC80" s="55"/>
      <c r="FD80" s="55"/>
      <c r="FE80" s="55"/>
      <c r="FF80" s="55"/>
      <c r="FG80" s="55"/>
      <c r="FH80" s="55"/>
      <c r="FI80" s="55"/>
      <c r="FJ80" s="55"/>
      <c r="FK80" s="55"/>
      <c r="FL80" s="55"/>
      <c r="FM80" s="55"/>
      <c r="FN80" s="55"/>
      <c r="FO80" s="55"/>
      <c r="FP80" s="55"/>
      <c r="FQ80" s="55"/>
      <c r="FR80" s="55"/>
      <c r="FS80" s="55"/>
      <c r="FT80" s="55"/>
      <c r="FU80" s="55"/>
      <c r="FV80" s="55"/>
      <c r="FW80" s="55"/>
      <c r="FX80" s="55"/>
      <c r="FY80" s="55"/>
      <c r="FZ80" s="55"/>
      <c r="GA80" s="55"/>
      <c r="GB80" s="55"/>
      <c r="GC80" s="55"/>
      <c r="GD80" s="55"/>
      <c r="GE80" s="55"/>
      <c r="GF80" s="55"/>
      <c r="GG80" s="55"/>
      <c r="GH80" s="55"/>
      <c r="GI80" s="55"/>
      <c r="GJ80" s="55"/>
      <c r="GK80" s="55"/>
      <c r="GL80" s="55"/>
      <c r="GM80" s="55"/>
      <c r="GN80" s="55"/>
      <c r="GO80" s="55"/>
      <c r="GP80" s="55"/>
      <c r="GQ80" s="55"/>
      <c r="GR80" s="55"/>
      <c r="GS80" s="55"/>
      <c r="GT80" s="55"/>
      <c r="GU80" s="55"/>
      <c r="GV80" s="55"/>
      <c r="GW80" s="55"/>
      <c r="GX80" s="55"/>
      <c r="GY80" s="55"/>
      <c r="GZ80" s="55"/>
      <c r="HA80" s="55"/>
      <c r="HB80" s="55"/>
      <c r="HC80" s="55"/>
      <c r="HD80" s="55"/>
      <c r="HE80" s="55"/>
      <c r="HF80" s="55"/>
      <c r="HG80" s="55"/>
      <c r="HH80" s="55"/>
      <c r="HI80" s="55"/>
      <c r="HJ80" s="55"/>
      <c r="HK80" s="55"/>
      <c r="HL80" s="55"/>
      <c r="HM80" s="55"/>
      <c r="HN80" s="55"/>
      <c r="HO80" s="55"/>
      <c r="HP80" s="55"/>
      <c r="HQ80" s="55"/>
      <c r="HR80" s="55"/>
      <c r="HS80" s="55"/>
      <c r="HT80" s="55"/>
      <c r="HU80" s="55"/>
      <c r="HV80" s="55"/>
      <c r="HW80" s="55"/>
      <c r="HX80" s="55"/>
      <c r="HY80" s="55"/>
      <c r="HZ80" s="55"/>
      <c r="IA80" s="55"/>
      <c r="IB80" s="55"/>
    </row>
    <row r="81" spans="1:237" ht="15" customHeight="1" x14ac:dyDescent="0.2">
      <c r="A81" s="63" t="s">
        <v>336</v>
      </c>
      <c r="B81" s="44" t="s">
        <v>1065</v>
      </c>
      <c r="C81" s="45" t="s">
        <v>255</v>
      </c>
      <c r="D81" s="451"/>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c r="AH81" s="55"/>
      <c r="AI81" s="55"/>
      <c r="AJ81" s="55"/>
      <c r="AK81" s="55"/>
      <c r="AL81" s="55"/>
      <c r="AM81" s="55"/>
      <c r="AN81" s="55"/>
      <c r="AO81" s="55"/>
      <c r="AP81" s="55"/>
      <c r="AQ81" s="55"/>
      <c r="AR81" s="55"/>
      <c r="AS81" s="55"/>
      <c r="AT81" s="55"/>
      <c r="AU81" s="55"/>
      <c r="AV81" s="55"/>
      <c r="AW81" s="55"/>
      <c r="AX81" s="55"/>
      <c r="AY81" s="55"/>
      <c r="AZ81" s="55"/>
      <c r="BA81" s="55"/>
      <c r="BB81" s="55"/>
      <c r="BC81" s="55"/>
      <c r="BD81" s="55"/>
      <c r="BE81" s="55"/>
      <c r="BF81" s="55"/>
      <c r="BG81" s="55"/>
      <c r="BH81" s="55"/>
      <c r="BI81" s="55"/>
      <c r="BJ81" s="55"/>
      <c r="BK81" s="55"/>
      <c r="BL81" s="55"/>
      <c r="BM81" s="55"/>
      <c r="BN81" s="55"/>
      <c r="BO81" s="55"/>
      <c r="BP81" s="55"/>
      <c r="BQ81" s="55"/>
      <c r="BR81" s="55"/>
      <c r="BS81" s="55"/>
      <c r="BT81" s="55"/>
      <c r="BU81" s="55"/>
      <c r="BV81" s="55"/>
      <c r="BW81" s="55"/>
      <c r="BX81" s="55"/>
      <c r="BY81" s="55"/>
      <c r="BZ81" s="55"/>
      <c r="CA81" s="55"/>
      <c r="CB81" s="55"/>
      <c r="CC81" s="55"/>
      <c r="CD81" s="55"/>
      <c r="CE81" s="55"/>
      <c r="CF81" s="55"/>
      <c r="CG81" s="55"/>
      <c r="CH81" s="55"/>
      <c r="CI81" s="55"/>
      <c r="CJ81" s="55"/>
      <c r="CK81" s="55"/>
      <c r="CL81" s="55"/>
      <c r="CM81" s="55"/>
      <c r="CN81" s="55"/>
      <c r="CO81" s="55"/>
      <c r="CP81" s="55"/>
      <c r="CQ81" s="55"/>
      <c r="CR81" s="55"/>
      <c r="CS81" s="55"/>
      <c r="CT81" s="55"/>
      <c r="CU81" s="55"/>
      <c r="CV81" s="55"/>
      <c r="CW81" s="55"/>
      <c r="CX81" s="55"/>
      <c r="CY81" s="55"/>
      <c r="CZ81" s="55"/>
      <c r="DA81" s="55"/>
      <c r="DB81" s="55"/>
      <c r="DC81" s="55"/>
      <c r="DD81" s="55"/>
      <c r="DE81" s="55"/>
      <c r="DF81" s="55"/>
      <c r="DG81" s="55"/>
      <c r="DH81" s="55"/>
      <c r="DI81" s="55"/>
      <c r="DJ81" s="55"/>
      <c r="DK81" s="55"/>
      <c r="DL81" s="55"/>
      <c r="DM81" s="55"/>
      <c r="DN81" s="55"/>
      <c r="DO81" s="55"/>
      <c r="DP81" s="55"/>
      <c r="DQ81" s="55"/>
      <c r="DR81" s="55"/>
      <c r="DS81" s="55"/>
      <c r="DT81" s="55"/>
      <c r="DU81" s="55"/>
      <c r="DV81" s="55"/>
      <c r="DW81" s="55"/>
      <c r="DX81" s="55"/>
      <c r="DY81" s="55"/>
      <c r="DZ81" s="55"/>
      <c r="EA81" s="55"/>
      <c r="EB81" s="55"/>
      <c r="EC81" s="55"/>
      <c r="ED81" s="55"/>
      <c r="EE81" s="55"/>
      <c r="EF81" s="55"/>
      <c r="EG81" s="55"/>
      <c r="EH81" s="55"/>
      <c r="EI81" s="55"/>
      <c r="EJ81" s="55"/>
      <c r="EK81" s="55"/>
      <c r="EL81" s="55"/>
      <c r="EM81" s="55"/>
      <c r="EN81" s="55"/>
      <c r="EO81" s="55"/>
      <c r="EP81" s="55"/>
      <c r="EQ81" s="55"/>
      <c r="ER81" s="55"/>
      <c r="ES81" s="55"/>
      <c r="ET81" s="55"/>
      <c r="EU81" s="55"/>
      <c r="EV81" s="55"/>
      <c r="EW81" s="55"/>
      <c r="EX81" s="55"/>
      <c r="EY81" s="55"/>
      <c r="EZ81" s="55"/>
      <c r="FA81" s="55"/>
      <c r="FB81" s="55"/>
      <c r="FC81" s="55"/>
      <c r="FD81" s="55"/>
      <c r="FE81" s="55"/>
      <c r="FF81" s="55"/>
      <c r="FG81" s="55"/>
      <c r="FH81" s="55"/>
      <c r="FI81" s="55"/>
      <c r="FJ81" s="55"/>
      <c r="FK81" s="55"/>
      <c r="FL81" s="55"/>
      <c r="FM81" s="55"/>
      <c r="FN81" s="55"/>
      <c r="FO81" s="55"/>
      <c r="FP81" s="55"/>
      <c r="FQ81" s="55"/>
      <c r="FR81" s="55"/>
      <c r="FS81" s="55"/>
      <c r="FT81" s="55"/>
      <c r="FU81" s="55"/>
      <c r="FV81" s="55"/>
      <c r="FW81" s="55"/>
      <c r="FX81" s="55"/>
      <c r="FY81" s="55"/>
      <c r="FZ81" s="55"/>
      <c r="GA81" s="55"/>
      <c r="GB81" s="55"/>
      <c r="GC81" s="55"/>
      <c r="GD81" s="55"/>
      <c r="GE81" s="55"/>
      <c r="GF81" s="55"/>
      <c r="GG81" s="55"/>
      <c r="GH81" s="55"/>
      <c r="GI81" s="55"/>
      <c r="GJ81" s="55"/>
      <c r="GK81" s="55"/>
      <c r="GL81" s="55"/>
      <c r="GM81" s="55"/>
      <c r="GN81" s="55"/>
      <c r="GO81" s="55"/>
      <c r="GP81" s="55"/>
      <c r="GQ81" s="55"/>
      <c r="GR81" s="55"/>
      <c r="GS81" s="55"/>
      <c r="GT81" s="55"/>
      <c r="GU81" s="55"/>
      <c r="GV81" s="55"/>
      <c r="GW81" s="55"/>
      <c r="GX81" s="55"/>
      <c r="GY81" s="55"/>
      <c r="GZ81" s="55"/>
      <c r="HA81" s="55"/>
      <c r="HB81" s="55"/>
      <c r="HC81" s="55"/>
      <c r="HD81" s="55"/>
      <c r="HE81" s="55"/>
      <c r="HF81" s="55"/>
      <c r="HG81" s="55"/>
      <c r="HH81" s="55"/>
      <c r="HI81" s="55"/>
      <c r="HJ81" s="55"/>
      <c r="HK81" s="55"/>
      <c r="HL81" s="55"/>
      <c r="HM81" s="55"/>
      <c r="HN81" s="55"/>
      <c r="HO81" s="55"/>
      <c r="HP81" s="55"/>
      <c r="HQ81" s="55"/>
      <c r="HR81" s="55"/>
      <c r="HS81" s="55"/>
      <c r="HT81" s="55"/>
      <c r="HU81" s="55"/>
      <c r="HV81" s="55"/>
      <c r="HW81" s="55"/>
      <c r="HX81" s="55"/>
      <c r="HY81" s="55"/>
      <c r="HZ81" s="55"/>
      <c r="IA81" s="55"/>
      <c r="IB81" s="55"/>
    </row>
    <row r="82" spans="1:237" ht="15" customHeight="1" thickBot="1" x14ac:dyDescent="0.25">
      <c r="A82" s="63" t="s">
        <v>337</v>
      </c>
      <c r="B82" s="68" t="s">
        <v>1063</v>
      </c>
      <c r="C82" s="48" t="s">
        <v>255</v>
      </c>
      <c r="D82" s="452"/>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c r="AH82" s="55"/>
      <c r="AI82" s="55"/>
      <c r="AJ82" s="55"/>
      <c r="AK82" s="55"/>
      <c r="AL82" s="55"/>
      <c r="AM82" s="55"/>
      <c r="AN82" s="55"/>
      <c r="AO82" s="55"/>
      <c r="AP82" s="55"/>
      <c r="AQ82" s="55"/>
      <c r="AR82" s="55"/>
      <c r="AS82" s="55"/>
      <c r="AT82" s="55"/>
      <c r="AU82" s="55"/>
      <c r="AV82" s="55"/>
      <c r="AW82" s="55"/>
      <c r="AX82" s="55"/>
      <c r="AY82" s="55"/>
      <c r="AZ82" s="55"/>
      <c r="BA82" s="55"/>
      <c r="BB82" s="55"/>
      <c r="BC82" s="55"/>
      <c r="BD82" s="55"/>
      <c r="BE82" s="55"/>
      <c r="BF82" s="55"/>
      <c r="BG82" s="55"/>
      <c r="BH82" s="55"/>
      <c r="BI82" s="55"/>
      <c r="BJ82" s="55"/>
      <c r="BK82" s="55"/>
      <c r="BL82" s="55"/>
      <c r="BM82" s="55"/>
      <c r="BN82" s="55"/>
      <c r="BO82" s="55"/>
      <c r="BP82" s="55"/>
      <c r="BQ82" s="55"/>
      <c r="BR82" s="55"/>
      <c r="BS82" s="55"/>
      <c r="BT82" s="55"/>
      <c r="BU82" s="55"/>
      <c r="BV82" s="55"/>
      <c r="BW82" s="55"/>
      <c r="BX82" s="55"/>
      <c r="BY82" s="55"/>
      <c r="BZ82" s="55"/>
      <c r="CA82" s="55"/>
      <c r="CB82" s="55"/>
      <c r="CC82" s="55"/>
      <c r="CD82" s="55"/>
      <c r="CE82" s="55"/>
      <c r="CF82" s="55"/>
      <c r="CG82" s="55"/>
      <c r="CH82" s="55"/>
      <c r="CI82" s="55"/>
      <c r="CJ82" s="55"/>
      <c r="CK82" s="55"/>
      <c r="CL82" s="55"/>
      <c r="CM82" s="55"/>
      <c r="CN82" s="55"/>
      <c r="CO82" s="55"/>
      <c r="CP82" s="55"/>
      <c r="CQ82" s="55"/>
      <c r="CR82" s="55"/>
      <c r="CS82" s="55"/>
      <c r="CT82" s="55"/>
      <c r="CU82" s="55"/>
      <c r="CV82" s="55"/>
      <c r="CW82" s="55"/>
      <c r="CX82" s="55"/>
      <c r="CY82" s="55"/>
      <c r="CZ82" s="55"/>
      <c r="DA82" s="55"/>
      <c r="DB82" s="55"/>
      <c r="DC82" s="55"/>
      <c r="DD82" s="55"/>
      <c r="DE82" s="55"/>
      <c r="DF82" s="55"/>
      <c r="DG82" s="55"/>
      <c r="DH82" s="55"/>
      <c r="DI82" s="55"/>
      <c r="DJ82" s="55"/>
      <c r="DK82" s="55"/>
      <c r="DL82" s="55"/>
      <c r="DM82" s="55"/>
      <c r="DN82" s="55"/>
      <c r="DO82" s="55"/>
      <c r="DP82" s="55"/>
      <c r="DQ82" s="55"/>
      <c r="DR82" s="55"/>
      <c r="DS82" s="55"/>
      <c r="DT82" s="55"/>
      <c r="DU82" s="55"/>
      <c r="DV82" s="55"/>
      <c r="DW82" s="55"/>
      <c r="DX82" s="55"/>
      <c r="DY82" s="55"/>
      <c r="DZ82" s="55"/>
      <c r="EA82" s="55"/>
      <c r="EB82" s="55"/>
      <c r="EC82" s="55"/>
      <c r="ED82" s="55"/>
      <c r="EE82" s="55"/>
      <c r="EF82" s="55"/>
      <c r="EG82" s="55"/>
      <c r="EH82" s="55"/>
      <c r="EI82" s="55"/>
      <c r="EJ82" s="55"/>
      <c r="EK82" s="55"/>
      <c r="EL82" s="55"/>
      <c r="EM82" s="55"/>
      <c r="EN82" s="55"/>
      <c r="EO82" s="55"/>
      <c r="EP82" s="55"/>
      <c r="EQ82" s="55"/>
      <c r="ER82" s="55"/>
      <c r="ES82" s="55"/>
      <c r="ET82" s="55"/>
      <c r="EU82" s="55"/>
      <c r="EV82" s="55"/>
      <c r="EW82" s="55"/>
      <c r="EX82" s="55"/>
      <c r="EY82" s="55"/>
      <c r="EZ82" s="55"/>
      <c r="FA82" s="55"/>
      <c r="FB82" s="55"/>
      <c r="FC82" s="55"/>
      <c r="FD82" s="55"/>
      <c r="FE82" s="55"/>
      <c r="FF82" s="55"/>
      <c r="FG82" s="55"/>
      <c r="FH82" s="55"/>
      <c r="FI82" s="55"/>
      <c r="FJ82" s="55"/>
      <c r="FK82" s="55"/>
      <c r="FL82" s="55"/>
      <c r="FM82" s="55"/>
      <c r="FN82" s="55"/>
      <c r="FO82" s="55"/>
      <c r="FP82" s="55"/>
      <c r="FQ82" s="55"/>
      <c r="FR82" s="55"/>
      <c r="FS82" s="55"/>
      <c r="FT82" s="55"/>
      <c r="FU82" s="55"/>
      <c r="FV82" s="55"/>
      <c r="FW82" s="55"/>
      <c r="FX82" s="55"/>
      <c r="FY82" s="55"/>
      <c r="FZ82" s="55"/>
      <c r="GA82" s="55"/>
      <c r="GB82" s="55"/>
      <c r="GC82" s="55"/>
      <c r="GD82" s="55"/>
      <c r="GE82" s="55"/>
      <c r="GF82" s="55"/>
      <c r="GG82" s="55"/>
      <c r="GH82" s="55"/>
      <c r="GI82" s="55"/>
      <c r="GJ82" s="55"/>
      <c r="GK82" s="55"/>
      <c r="GL82" s="55"/>
      <c r="GM82" s="55"/>
      <c r="GN82" s="55"/>
      <c r="GO82" s="55"/>
      <c r="GP82" s="55"/>
      <c r="GQ82" s="55"/>
      <c r="GR82" s="55"/>
      <c r="GS82" s="55"/>
      <c r="GT82" s="55"/>
      <c r="GU82" s="55"/>
      <c r="GV82" s="55"/>
      <c r="GW82" s="55"/>
      <c r="GX82" s="55"/>
      <c r="GY82" s="55"/>
      <c r="GZ82" s="55"/>
      <c r="HA82" s="55"/>
      <c r="HB82" s="55"/>
      <c r="HC82" s="55"/>
      <c r="HD82" s="55"/>
      <c r="HE82" s="55"/>
      <c r="HF82" s="55"/>
      <c r="HG82" s="55"/>
      <c r="HH82" s="55"/>
      <c r="HI82" s="55"/>
      <c r="HJ82" s="55"/>
      <c r="HK82" s="55"/>
      <c r="HL82" s="55"/>
      <c r="HM82" s="55"/>
      <c r="HN82" s="55"/>
      <c r="HO82" s="55"/>
      <c r="HP82" s="55"/>
      <c r="HQ82" s="55"/>
      <c r="HR82" s="55"/>
      <c r="HS82" s="55"/>
      <c r="HT82" s="55"/>
      <c r="HU82" s="55"/>
      <c r="HV82" s="55"/>
      <c r="HW82" s="55"/>
      <c r="HX82" s="55"/>
      <c r="HY82" s="55"/>
      <c r="HZ82" s="55"/>
      <c r="IA82" s="55"/>
      <c r="IB82" s="55"/>
    </row>
    <row r="83" spans="1:237" ht="20.100000000000001" customHeight="1" thickBot="1" x14ac:dyDescent="0.25">
      <c r="A83" s="377"/>
      <c r="B83" s="16" t="s">
        <v>222</v>
      </c>
      <c r="C83" s="17" t="s">
        <v>198</v>
      </c>
      <c r="D83" s="739" t="s">
        <v>1080</v>
      </c>
      <c r="IC83" s="62"/>
    </row>
    <row r="84" spans="1:237" ht="15" customHeight="1" x14ac:dyDescent="0.2">
      <c r="A84" s="374" t="s">
        <v>338</v>
      </c>
      <c r="B84" s="69" t="s">
        <v>1064</v>
      </c>
      <c r="C84" s="47" t="s">
        <v>255</v>
      </c>
      <c r="D84" s="451"/>
      <c r="E84" s="55"/>
      <c r="F84" s="55"/>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c r="AH84" s="55"/>
      <c r="AI84" s="55"/>
      <c r="AJ84" s="55"/>
      <c r="AK84" s="55"/>
      <c r="AL84" s="55"/>
      <c r="AM84" s="55"/>
      <c r="AN84" s="55"/>
      <c r="AO84" s="55"/>
      <c r="AP84" s="55"/>
      <c r="AQ84" s="55"/>
      <c r="AR84" s="55"/>
      <c r="AS84" s="55"/>
      <c r="AT84" s="55"/>
      <c r="AU84" s="55"/>
      <c r="AV84" s="55"/>
      <c r="AW84" s="55"/>
      <c r="AX84" s="55"/>
      <c r="AY84" s="55"/>
      <c r="AZ84" s="55"/>
      <c r="BA84" s="55"/>
      <c r="BB84" s="55"/>
      <c r="BC84" s="55"/>
      <c r="BD84" s="55"/>
      <c r="BE84" s="55"/>
      <c r="BF84" s="55"/>
      <c r="BG84" s="55"/>
      <c r="BH84" s="55"/>
      <c r="BI84" s="55"/>
      <c r="BJ84" s="55"/>
      <c r="BK84" s="55"/>
      <c r="BL84" s="55"/>
      <c r="BM84" s="55"/>
      <c r="BN84" s="55"/>
      <c r="BO84" s="55"/>
      <c r="BP84" s="55"/>
      <c r="BQ84" s="55"/>
      <c r="BR84" s="55"/>
      <c r="BS84" s="55"/>
      <c r="BT84" s="55"/>
      <c r="BU84" s="55"/>
      <c r="BV84" s="55"/>
      <c r="BW84" s="55"/>
      <c r="BX84" s="55"/>
      <c r="BY84" s="55"/>
      <c r="BZ84" s="55"/>
      <c r="CA84" s="55"/>
      <c r="CB84" s="55"/>
      <c r="CC84" s="55"/>
      <c r="CD84" s="55"/>
      <c r="CE84" s="55"/>
      <c r="CF84" s="55"/>
      <c r="CG84" s="55"/>
      <c r="CH84" s="55"/>
      <c r="CI84" s="55"/>
      <c r="CJ84" s="55"/>
      <c r="CK84" s="55"/>
      <c r="CL84" s="55"/>
      <c r="CM84" s="55"/>
      <c r="CN84" s="55"/>
      <c r="CO84" s="55"/>
      <c r="CP84" s="55"/>
      <c r="CQ84" s="55"/>
      <c r="CR84" s="55"/>
      <c r="CS84" s="55"/>
      <c r="CT84" s="55"/>
      <c r="CU84" s="55"/>
      <c r="CV84" s="55"/>
      <c r="CW84" s="55"/>
      <c r="CX84" s="55"/>
      <c r="CY84" s="55"/>
      <c r="CZ84" s="55"/>
      <c r="DA84" s="55"/>
      <c r="DB84" s="55"/>
      <c r="DC84" s="55"/>
      <c r="DD84" s="55"/>
      <c r="DE84" s="55"/>
      <c r="DF84" s="55"/>
      <c r="DG84" s="55"/>
      <c r="DH84" s="55"/>
      <c r="DI84" s="55"/>
      <c r="DJ84" s="55"/>
      <c r="DK84" s="55"/>
      <c r="DL84" s="55"/>
      <c r="DM84" s="55"/>
      <c r="DN84" s="55"/>
      <c r="DO84" s="55"/>
      <c r="DP84" s="55"/>
      <c r="DQ84" s="55"/>
      <c r="DR84" s="55"/>
      <c r="DS84" s="55"/>
      <c r="DT84" s="55"/>
      <c r="DU84" s="55"/>
      <c r="DV84" s="55"/>
      <c r="DW84" s="55"/>
      <c r="DX84" s="55"/>
      <c r="DY84" s="55"/>
      <c r="DZ84" s="55"/>
      <c r="EA84" s="55"/>
      <c r="EB84" s="55"/>
      <c r="EC84" s="55"/>
      <c r="ED84" s="55"/>
      <c r="EE84" s="55"/>
      <c r="EF84" s="55"/>
      <c r="EG84" s="55"/>
      <c r="EH84" s="55"/>
      <c r="EI84" s="55"/>
      <c r="EJ84" s="55"/>
      <c r="EK84" s="55"/>
      <c r="EL84" s="55"/>
      <c r="EM84" s="55"/>
      <c r="EN84" s="55"/>
      <c r="EO84" s="55"/>
      <c r="EP84" s="55"/>
      <c r="EQ84" s="55"/>
      <c r="ER84" s="55"/>
      <c r="ES84" s="55"/>
      <c r="ET84" s="55"/>
      <c r="EU84" s="55"/>
      <c r="EV84" s="55"/>
      <c r="EW84" s="55"/>
      <c r="EX84" s="55"/>
      <c r="EY84" s="55"/>
      <c r="EZ84" s="55"/>
      <c r="FA84" s="55"/>
      <c r="FB84" s="55"/>
      <c r="FC84" s="55"/>
      <c r="FD84" s="55"/>
      <c r="FE84" s="55"/>
      <c r="FF84" s="55"/>
      <c r="FG84" s="55"/>
      <c r="FH84" s="55"/>
      <c r="FI84" s="55"/>
      <c r="FJ84" s="55"/>
      <c r="FK84" s="55"/>
      <c r="FL84" s="55"/>
      <c r="FM84" s="55"/>
      <c r="FN84" s="55"/>
      <c r="FO84" s="55"/>
      <c r="FP84" s="55"/>
      <c r="FQ84" s="55"/>
      <c r="FR84" s="55"/>
      <c r="FS84" s="55"/>
      <c r="FT84" s="55"/>
      <c r="FU84" s="55"/>
      <c r="FV84" s="55"/>
      <c r="FW84" s="55"/>
      <c r="FX84" s="55"/>
      <c r="FY84" s="55"/>
      <c r="FZ84" s="55"/>
      <c r="GA84" s="55"/>
      <c r="GB84" s="55"/>
      <c r="GC84" s="55"/>
      <c r="GD84" s="55"/>
      <c r="GE84" s="55"/>
      <c r="GF84" s="55"/>
      <c r="GG84" s="55"/>
      <c r="GH84" s="55"/>
      <c r="GI84" s="55"/>
      <c r="GJ84" s="55"/>
      <c r="GK84" s="55"/>
      <c r="GL84" s="55"/>
      <c r="GM84" s="55"/>
      <c r="GN84" s="55"/>
      <c r="GO84" s="55"/>
      <c r="GP84" s="55"/>
      <c r="GQ84" s="55"/>
      <c r="GR84" s="55"/>
      <c r="GS84" s="55"/>
      <c r="GT84" s="55"/>
      <c r="GU84" s="55"/>
      <c r="GV84" s="55"/>
      <c r="GW84" s="55"/>
      <c r="GX84" s="55"/>
      <c r="GY84" s="55"/>
      <c r="GZ84" s="55"/>
      <c r="HA84" s="55"/>
      <c r="HB84" s="55"/>
      <c r="HC84" s="55"/>
      <c r="HD84" s="55"/>
      <c r="HE84" s="55"/>
      <c r="HF84" s="55"/>
      <c r="HG84" s="55"/>
      <c r="HH84" s="55"/>
      <c r="HI84" s="55"/>
      <c r="HJ84" s="55"/>
      <c r="HK84" s="55"/>
      <c r="HL84" s="55"/>
      <c r="HM84" s="55"/>
      <c r="HN84" s="55"/>
      <c r="HO84" s="55"/>
      <c r="HP84" s="55"/>
      <c r="HQ84" s="55"/>
      <c r="HR84" s="55"/>
      <c r="HS84" s="55"/>
      <c r="HT84" s="55"/>
      <c r="HU84" s="55"/>
      <c r="HV84" s="55"/>
      <c r="HW84" s="55"/>
      <c r="HX84" s="55"/>
      <c r="HY84" s="55"/>
      <c r="HZ84" s="55"/>
      <c r="IA84" s="55"/>
      <c r="IB84" s="55"/>
    </row>
    <row r="85" spans="1:237" ht="15" customHeight="1" x14ac:dyDescent="0.2">
      <c r="A85" s="63" t="s">
        <v>339</v>
      </c>
      <c r="B85" s="44" t="s">
        <v>253</v>
      </c>
      <c r="C85" s="45" t="s">
        <v>198</v>
      </c>
      <c r="D85" s="451"/>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c r="AH85" s="55"/>
      <c r="AI85" s="55"/>
      <c r="AJ85" s="55"/>
      <c r="AK85" s="55"/>
      <c r="AL85" s="55"/>
      <c r="AM85" s="55"/>
      <c r="AN85" s="55"/>
      <c r="AO85" s="55"/>
      <c r="AP85" s="55"/>
      <c r="AQ85" s="55"/>
      <c r="AR85" s="55"/>
      <c r="AS85" s="55"/>
      <c r="AT85" s="55"/>
      <c r="AU85" s="55"/>
      <c r="AV85" s="55"/>
      <c r="AW85" s="55"/>
      <c r="AX85" s="55"/>
      <c r="AY85" s="55"/>
      <c r="AZ85" s="55"/>
      <c r="BA85" s="55"/>
      <c r="BB85" s="55"/>
      <c r="BC85" s="55"/>
      <c r="BD85" s="55"/>
      <c r="BE85" s="55"/>
      <c r="BF85" s="55"/>
      <c r="BG85" s="55"/>
      <c r="BH85" s="55"/>
      <c r="BI85" s="55"/>
      <c r="BJ85" s="55"/>
      <c r="BK85" s="55"/>
      <c r="BL85" s="55"/>
      <c r="BM85" s="55"/>
      <c r="BN85" s="55"/>
      <c r="BO85" s="55"/>
      <c r="BP85" s="55"/>
      <c r="BQ85" s="55"/>
      <c r="BR85" s="55"/>
      <c r="BS85" s="55"/>
      <c r="BT85" s="55"/>
      <c r="BU85" s="55"/>
      <c r="BV85" s="55"/>
      <c r="BW85" s="55"/>
      <c r="BX85" s="55"/>
      <c r="BY85" s="55"/>
      <c r="BZ85" s="55"/>
      <c r="CA85" s="55"/>
      <c r="CB85" s="55"/>
      <c r="CC85" s="55"/>
      <c r="CD85" s="55"/>
      <c r="CE85" s="55"/>
      <c r="CF85" s="55"/>
      <c r="CG85" s="55"/>
      <c r="CH85" s="55"/>
      <c r="CI85" s="55"/>
      <c r="CJ85" s="55"/>
      <c r="CK85" s="55"/>
      <c r="CL85" s="55"/>
      <c r="CM85" s="55"/>
      <c r="CN85" s="55"/>
      <c r="CO85" s="55"/>
      <c r="CP85" s="55"/>
      <c r="CQ85" s="55"/>
      <c r="CR85" s="55"/>
      <c r="CS85" s="55"/>
      <c r="CT85" s="55"/>
      <c r="CU85" s="55"/>
      <c r="CV85" s="55"/>
      <c r="CW85" s="55"/>
      <c r="CX85" s="55"/>
      <c r="CY85" s="55"/>
      <c r="CZ85" s="55"/>
      <c r="DA85" s="55"/>
      <c r="DB85" s="55"/>
      <c r="DC85" s="55"/>
      <c r="DD85" s="55"/>
      <c r="DE85" s="55"/>
      <c r="DF85" s="55"/>
      <c r="DG85" s="55"/>
      <c r="DH85" s="55"/>
      <c r="DI85" s="55"/>
      <c r="DJ85" s="55"/>
      <c r="DK85" s="55"/>
      <c r="DL85" s="55"/>
      <c r="DM85" s="55"/>
      <c r="DN85" s="55"/>
      <c r="DO85" s="55"/>
      <c r="DP85" s="55"/>
      <c r="DQ85" s="55"/>
      <c r="DR85" s="55"/>
      <c r="DS85" s="55"/>
      <c r="DT85" s="55"/>
      <c r="DU85" s="55"/>
      <c r="DV85" s="55"/>
      <c r="DW85" s="55"/>
      <c r="DX85" s="55"/>
      <c r="DY85" s="55"/>
      <c r="DZ85" s="55"/>
      <c r="EA85" s="55"/>
      <c r="EB85" s="55"/>
      <c r="EC85" s="55"/>
      <c r="ED85" s="55"/>
      <c r="EE85" s="55"/>
      <c r="EF85" s="55"/>
      <c r="EG85" s="55"/>
      <c r="EH85" s="55"/>
      <c r="EI85" s="55"/>
      <c r="EJ85" s="55"/>
      <c r="EK85" s="55"/>
      <c r="EL85" s="55"/>
      <c r="EM85" s="55"/>
      <c r="EN85" s="55"/>
      <c r="EO85" s="55"/>
      <c r="EP85" s="55"/>
      <c r="EQ85" s="55"/>
      <c r="ER85" s="55"/>
      <c r="ES85" s="55"/>
      <c r="ET85" s="55"/>
      <c r="EU85" s="55"/>
      <c r="EV85" s="55"/>
      <c r="EW85" s="55"/>
      <c r="EX85" s="55"/>
      <c r="EY85" s="55"/>
      <c r="EZ85" s="55"/>
      <c r="FA85" s="55"/>
      <c r="FB85" s="55"/>
      <c r="FC85" s="55"/>
      <c r="FD85" s="55"/>
      <c r="FE85" s="55"/>
      <c r="FF85" s="55"/>
      <c r="FG85" s="55"/>
      <c r="FH85" s="55"/>
      <c r="FI85" s="55"/>
      <c r="FJ85" s="55"/>
      <c r="FK85" s="55"/>
      <c r="FL85" s="55"/>
      <c r="FM85" s="55"/>
      <c r="FN85" s="55"/>
      <c r="FO85" s="55"/>
      <c r="FP85" s="55"/>
      <c r="FQ85" s="55"/>
      <c r="FR85" s="55"/>
      <c r="FS85" s="55"/>
      <c r="FT85" s="55"/>
      <c r="FU85" s="55"/>
      <c r="FV85" s="55"/>
      <c r="FW85" s="55"/>
      <c r="FX85" s="55"/>
      <c r="FY85" s="55"/>
      <c r="FZ85" s="55"/>
      <c r="GA85" s="55"/>
      <c r="GB85" s="55"/>
      <c r="GC85" s="55"/>
      <c r="GD85" s="55"/>
      <c r="GE85" s="55"/>
      <c r="GF85" s="55"/>
      <c r="GG85" s="55"/>
      <c r="GH85" s="55"/>
      <c r="GI85" s="55"/>
      <c r="GJ85" s="55"/>
      <c r="GK85" s="55"/>
      <c r="GL85" s="55"/>
      <c r="GM85" s="55"/>
      <c r="GN85" s="55"/>
      <c r="GO85" s="55"/>
      <c r="GP85" s="55"/>
      <c r="GQ85" s="55"/>
      <c r="GR85" s="55"/>
      <c r="GS85" s="55"/>
      <c r="GT85" s="55"/>
      <c r="GU85" s="55"/>
      <c r="GV85" s="55"/>
      <c r="GW85" s="55"/>
      <c r="GX85" s="55"/>
      <c r="GY85" s="55"/>
      <c r="GZ85" s="55"/>
      <c r="HA85" s="55"/>
      <c r="HB85" s="55"/>
      <c r="HC85" s="55"/>
      <c r="HD85" s="55"/>
      <c r="HE85" s="55"/>
      <c r="HF85" s="55"/>
      <c r="HG85" s="55"/>
      <c r="HH85" s="55"/>
      <c r="HI85" s="55"/>
      <c r="HJ85" s="55"/>
      <c r="HK85" s="55"/>
      <c r="HL85" s="55"/>
      <c r="HM85" s="55"/>
      <c r="HN85" s="55"/>
      <c r="HO85" s="55"/>
      <c r="HP85" s="55"/>
      <c r="HQ85" s="55"/>
      <c r="HR85" s="55"/>
      <c r="HS85" s="55"/>
      <c r="HT85" s="55"/>
      <c r="HU85" s="55"/>
      <c r="HV85" s="55"/>
      <c r="HW85" s="55"/>
      <c r="HX85" s="55"/>
      <c r="HY85" s="55"/>
      <c r="HZ85" s="55"/>
      <c r="IA85" s="55"/>
      <c r="IB85" s="55"/>
    </row>
    <row r="86" spans="1:237" ht="15" customHeight="1" x14ac:dyDescent="0.2">
      <c r="A86" s="63" t="s">
        <v>340</v>
      </c>
      <c r="B86" s="46" t="s">
        <v>965</v>
      </c>
      <c r="C86" s="45" t="s">
        <v>197</v>
      </c>
      <c r="D86" s="451"/>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c r="AH86" s="55"/>
      <c r="AI86" s="55"/>
      <c r="AJ86" s="55"/>
      <c r="AK86" s="55"/>
      <c r="AL86" s="55"/>
      <c r="AM86" s="55"/>
      <c r="AN86" s="55"/>
      <c r="AO86" s="55"/>
      <c r="AP86" s="55"/>
      <c r="AQ86" s="55"/>
      <c r="AR86" s="55"/>
      <c r="AS86" s="55"/>
      <c r="AT86" s="55"/>
      <c r="AU86" s="55"/>
      <c r="AV86" s="55"/>
      <c r="AW86" s="55"/>
      <c r="AX86" s="55"/>
      <c r="AY86" s="55"/>
      <c r="AZ86" s="55"/>
      <c r="BA86" s="55"/>
      <c r="BB86" s="55"/>
      <c r="BC86" s="55"/>
      <c r="BD86" s="55"/>
      <c r="BE86" s="55"/>
      <c r="BF86" s="55"/>
      <c r="BG86" s="55"/>
      <c r="BH86" s="55"/>
      <c r="BI86" s="55"/>
      <c r="BJ86" s="55"/>
      <c r="BK86" s="55"/>
      <c r="BL86" s="55"/>
      <c r="BM86" s="55"/>
      <c r="BN86" s="55"/>
      <c r="BO86" s="55"/>
      <c r="BP86" s="55"/>
      <c r="BQ86" s="55"/>
      <c r="BR86" s="55"/>
      <c r="BS86" s="55"/>
      <c r="BT86" s="55"/>
      <c r="BU86" s="55"/>
      <c r="BV86" s="55"/>
      <c r="BW86" s="55"/>
      <c r="BX86" s="55"/>
      <c r="BY86" s="55"/>
      <c r="BZ86" s="55"/>
      <c r="CA86" s="55"/>
      <c r="CB86" s="55"/>
      <c r="CC86" s="55"/>
      <c r="CD86" s="55"/>
      <c r="CE86" s="55"/>
      <c r="CF86" s="55"/>
      <c r="CG86" s="55"/>
      <c r="CH86" s="55"/>
      <c r="CI86" s="55"/>
      <c r="CJ86" s="55"/>
      <c r="CK86" s="55"/>
      <c r="CL86" s="55"/>
      <c r="CM86" s="55"/>
      <c r="CN86" s="55"/>
      <c r="CO86" s="55"/>
      <c r="CP86" s="55"/>
      <c r="CQ86" s="55"/>
      <c r="CR86" s="55"/>
      <c r="CS86" s="55"/>
      <c r="CT86" s="55"/>
      <c r="CU86" s="55"/>
      <c r="CV86" s="55"/>
      <c r="CW86" s="55"/>
      <c r="CX86" s="55"/>
      <c r="CY86" s="55"/>
      <c r="CZ86" s="55"/>
      <c r="DA86" s="55"/>
      <c r="DB86" s="55"/>
      <c r="DC86" s="55"/>
      <c r="DD86" s="55"/>
      <c r="DE86" s="55"/>
      <c r="DF86" s="55"/>
      <c r="DG86" s="55"/>
      <c r="DH86" s="55"/>
      <c r="DI86" s="55"/>
      <c r="DJ86" s="55"/>
      <c r="DK86" s="55"/>
      <c r="DL86" s="55"/>
      <c r="DM86" s="55"/>
      <c r="DN86" s="55"/>
      <c r="DO86" s="55"/>
      <c r="DP86" s="55"/>
      <c r="DQ86" s="55"/>
      <c r="DR86" s="55"/>
      <c r="DS86" s="55"/>
      <c r="DT86" s="55"/>
      <c r="DU86" s="55"/>
      <c r="DV86" s="55"/>
      <c r="DW86" s="55"/>
      <c r="DX86" s="55"/>
      <c r="DY86" s="55"/>
      <c r="DZ86" s="55"/>
      <c r="EA86" s="55"/>
      <c r="EB86" s="55"/>
      <c r="EC86" s="55"/>
      <c r="ED86" s="55"/>
      <c r="EE86" s="55"/>
      <c r="EF86" s="55"/>
      <c r="EG86" s="55"/>
      <c r="EH86" s="55"/>
      <c r="EI86" s="55"/>
      <c r="EJ86" s="55"/>
      <c r="EK86" s="55"/>
      <c r="EL86" s="55"/>
      <c r="EM86" s="55"/>
      <c r="EN86" s="55"/>
      <c r="EO86" s="55"/>
      <c r="EP86" s="55"/>
      <c r="EQ86" s="55"/>
      <c r="ER86" s="55"/>
      <c r="ES86" s="55"/>
      <c r="ET86" s="55"/>
      <c r="EU86" s="55"/>
      <c r="EV86" s="55"/>
      <c r="EW86" s="55"/>
      <c r="EX86" s="55"/>
      <c r="EY86" s="55"/>
      <c r="EZ86" s="55"/>
      <c r="FA86" s="55"/>
      <c r="FB86" s="55"/>
      <c r="FC86" s="55"/>
      <c r="FD86" s="55"/>
      <c r="FE86" s="55"/>
      <c r="FF86" s="55"/>
      <c r="FG86" s="55"/>
      <c r="FH86" s="55"/>
      <c r="FI86" s="55"/>
      <c r="FJ86" s="55"/>
      <c r="FK86" s="55"/>
      <c r="FL86" s="55"/>
      <c r="FM86" s="55"/>
      <c r="FN86" s="55"/>
      <c r="FO86" s="55"/>
      <c r="FP86" s="55"/>
      <c r="FQ86" s="55"/>
      <c r="FR86" s="55"/>
      <c r="FS86" s="55"/>
      <c r="FT86" s="55"/>
      <c r="FU86" s="55"/>
      <c r="FV86" s="55"/>
      <c r="FW86" s="55"/>
      <c r="FX86" s="55"/>
      <c r="FY86" s="55"/>
      <c r="FZ86" s="55"/>
      <c r="GA86" s="55"/>
      <c r="GB86" s="55"/>
      <c r="GC86" s="55"/>
      <c r="GD86" s="55"/>
      <c r="GE86" s="55"/>
      <c r="GF86" s="55"/>
      <c r="GG86" s="55"/>
      <c r="GH86" s="55"/>
      <c r="GI86" s="55"/>
      <c r="GJ86" s="55"/>
      <c r="GK86" s="55"/>
      <c r="GL86" s="55"/>
      <c r="GM86" s="55"/>
      <c r="GN86" s="55"/>
      <c r="GO86" s="55"/>
      <c r="GP86" s="55"/>
      <c r="GQ86" s="55"/>
      <c r="GR86" s="55"/>
      <c r="GS86" s="55"/>
      <c r="GT86" s="55"/>
      <c r="GU86" s="55"/>
      <c r="GV86" s="55"/>
      <c r="GW86" s="55"/>
      <c r="GX86" s="55"/>
      <c r="GY86" s="55"/>
      <c r="GZ86" s="55"/>
      <c r="HA86" s="55"/>
      <c r="HB86" s="55"/>
      <c r="HC86" s="55"/>
      <c r="HD86" s="55"/>
      <c r="HE86" s="55"/>
      <c r="HF86" s="55"/>
      <c r="HG86" s="55"/>
      <c r="HH86" s="55"/>
      <c r="HI86" s="55"/>
      <c r="HJ86" s="55"/>
      <c r="HK86" s="55"/>
      <c r="HL86" s="55"/>
      <c r="HM86" s="55"/>
      <c r="HN86" s="55"/>
      <c r="HO86" s="55"/>
      <c r="HP86" s="55"/>
      <c r="HQ86" s="55"/>
      <c r="HR86" s="55"/>
      <c r="HS86" s="55"/>
      <c r="HT86" s="55"/>
      <c r="HU86" s="55"/>
      <c r="HV86" s="55"/>
      <c r="HW86" s="55"/>
      <c r="HX86" s="55"/>
      <c r="HY86" s="55"/>
      <c r="HZ86" s="55"/>
      <c r="IA86" s="55"/>
      <c r="IB86" s="55"/>
    </row>
    <row r="87" spans="1:237" ht="15" customHeight="1" x14ac:dyDescent="0.2">
      <c r="A87" s="63" t="s">
        <v>341</v>
      </c>
      <c r="B87" s="46" t="s">
        <v>715</v>
      </c>
      <c r="C87" s="45" t="s">
        <v>197</v>
      </c>
      <c r="D87" s="451"/>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c r="AH87" s="55"/>
      <c r="AI87" s="55"/>
      <c r="AJ87" s="55"/>
      <c r="AK87" s="55"/>
      <c r="AL87" s="55"/>
      <c r="AM87" s="55"/>
      <c r="AN87" s="55"/>
      <c r="AO87" s="55"/>
      <c r="AP87" s="55"/>
      <c r="AQ87" s="55"/>
      <c r="AR87" s="55"/>
      <c r="AS87" s="55"/>
      <c r="AT87" s="55"/>
      <c r="AU87" s="55"/>
      <c r="AV87" s="55"/>
      <c r="AW87" s="55"/>
      <c r="AX87" s="55"/>
      <c r="AY87" s="55"/>
      <c r="AZ87" s="55"/>
      <c r="BA87" s="55"/>
      <c r="BB87" s="55"/>
      <c r="BC87" s="55"/>
      <c r="BD87" s="55"/>
      <c r="BE87" s="55"/>
      <c r="BF87" s="55"/>
      <c r="BG87" s="55"/>
      <c r="BH87" s="55"/>
      <c r="BI87" s="55"/>
      <c r="BJ87" s="55"/>
      <c r="BK87" s="55"/>
      <c r="BL87" s="55"/>
      <c r="BM87" s="55"/>
      <c r="BN87" s="55"/>
      <c r="BO87" s="55"/>
      <c r="BP87" s="55"/>
      <c r="BQ87" s="55"/>
      <c r="BR87" s="55"/>
      <c r="BS87" s="55"/>
      <c r="BT87" s="55"/>
      <c r="BU87" s="55"/>
      <c r="BV87" s="55"/>
      <c r="BW87" s="55"/>
      <c r="BX87" s="55"/>
      <c r="BY87" s="55"/>
      <c r="BZ87" s="55"/>
      <c r="CA87" s="55"/>
      <c r="CB87" s="55"/>
      <c r="CC87" s="55"/>
      <c r="CD87" s="55"/>
      <c r="CE87" s="55"/>
      <c r="CF87" s="55"/>
      <c r="CG87" s="55"/>
      <c r="CH87" s="55"/>
      <c r="CI87" s="55"/>
      <c r="CJ87" s="55"/>
      <c r="CK87" s="55"/>
      <c r="CL87" s="55"/>
      <c r="CM87" s="55"/>
      <c r="CN87" s="55"/>
      <c r="CO87" s="55"/>
      <c r="CP87" s="55"/>
      <c r="CQ87" s="55"/>
      <c r="CR87" s="55"/>
      <c r="CS87" s="55"/>
      <c r="CT87" s="55"/>
      <c r="CU87" s="55"/>
      <c r="CV87" s="55"/>
      <c r="CW87" s="55"/>
      <c r="CX87" s="55"/>
      <c r="CY87" s="55"/>
      <c r="CZ87" s="55"/>
      <c r="DA87" s="55"/>
      <c r="DB87" s="55"/>
      <c r="DC87" s="55"/>
      <c r="DD87" s="55"/>
      <c r="DE87" s="55"/>
      <c r="DF87" s="55"/>
      <c r="DG87" s="55"/>
      <c r="DH87" s="55"/>
      <c r="DI87" s="55"/>
      <c r="DJ87" s="55"/>
      <c r="DK87" s="55"/>
      <c r="DL87" s="55"/>
      <c r="DM87" s="55"/>
      <c r="DN87" s="55"/>
      <c r="DO87" s="55"/>
      <c r="DP87" s="55"/>
      <c r="DQ87" s="55"/>
      <c r="DR87" s="55"/>
      <c r="DS87" s="55"/>
      <c r="DT87" s="55"/>
      <c r="DU87" s="55"/>
      <c r="DV87" s="55"/>
      <c r="DW87" s="55"/>
      <c r="DX87" s="55"/>
      <c r="DY87" s="55"/>
      <c r="DZ87" s="55"/>
      <c r="EA87" s="55"/>
      <c r="EB87" s="55"/>
      <c r="EC87" s="55"/>
      <c r="ED87" s="55"/>
      <c r="EE87" s="55"/>
      <c r="EF87" s="55"/>
      <c r="EG87" s="55"/>
      <c r="EH87" s="55"/>
      <c r="EI87" s="55"/>
      <c r="EJ87" s="55"/>
      <c r="EK87" s="55"/>
      <c r="EL87" s="55"/>
      <c r="EM87" s="55"/>
      <c r="EN87" s="55"/>
      <c r="EO87" s="55"/>
      <c r="EP87" s="55"/>
      <c r="EQ87" s="55"/>
      <c r="ER87" s="55"/>
      <c r="ES87" s="55"/>
      <c r="ET87" s="55"/>
      <c r="EU87" s="55"/>
      <c r="EV87" s="55"/>
      <c r="EW87" s="55"/>
      <c r="EX87" s="55"/>
      <c r="EY87" s="55"/>
      <c r="EZ87" s="55"/>
      <c r="FA87" s="55"/>
      <c r="FB87" s="55"/>
      <c r="FC87" s="55"/>
      <c r="FD87" s="55"/>
      <c r="FE87" s="55"/>
      <c r="FF87" s="55"/>
      <c r="FG87" s="55"/>
      <c r="FH87" s="55"/>
      <c r="FI87" s="55"/>
      <c r="FJ87" s="55"/>
      <c r="FK87" s="55"/>
      <c r="FL87" s="55"/>
      <c r="FM87" s="55"/>
      <c r="FN87" s="55"/>
      <c r="FO87" s="55"/>
      <c r="FP87" s="55"/>
      <c r="FQ87" s="55"/>
      <c r="FR87" s="55"/>
      <c r="FS87" s="55"/>
      <c r="FT87" s="55"/>
      <c r="FU87" s="55"/>
      <c r="FV87" s="55"/>
      <c r="FW87" s="55"/>
      <c r="FX87" s="55"/>
      <c r="FY87" s="55"/>
      <c r="FZ87" s="55"/>
      <c r="GA87" s="55"/>
      <c r="GB87" s="55"/>
      <c r="GC87" s="55"/>
      <c r="GD87" s="55"/>
      <c r="GE87" s="55"/>
      <c r="GF87" s="55"/>
      <c r="GG87" s="55"/>
      <c r="GH87" s="55"/>
      <c r="GI87" s="55"/>
      <c r="GJ87" s="55"/>
      <c r="GK87" s="55"/>
      <c r="GL87" s="55"/>
      <c r="GM87" s="55"/>
      <c r="GN87" s="55"/>
      <c r="GO87" s="55"/>
      <c r="GP87" s="55"/>
      <c r="GQ87" s="55"/>
      <c r="GR87" s="55"/>
      <c r="GS87" s="55"/>
      <c r="GT87" s="55"/>
      <c r="GU87" s="55"/>
      <c r="GV87" s="55"/>
      <c r="GW87" s="55"/>
      <c r="GX87" s="55"/>
      <c r="GY87" s="55"/>
      <c r="GZ87" s="55"/>
      <c r="HA87" s="55"/>
      <c r="HB87" s="55"/>
      <c r="HC87" s="55"/>
      <c r="HD87" s="55"/>
      <c r="HE87" s="55"/>
      <c r="HF87" s="55"/>
      <c r="HG87" s="55"/>
      <c r="HH87" s="55"/>
      <c r="HI87" s="55"/>
      <c r="HJ87" s="55"/>
      <c r="HK87" s="55"/>
      <c r="HL87" s="55"/>
      <c r="HM87" s="55"/>
      <c r="HN87" s="55"/>
      <c r="HO87" s="55"/>
      <c r="HP87" s="55"/>
      <c r="HQ87" s="55"/>
      <c r="HR87" s="55"/>
      <c r="HS87" s="55"/>
      <c r="HT87" s="55"/>
      <c r="HU87" s="55"/>
      <c r="HV87" s="55"/>
      <c r="HW87" s="55"/>
      <c r="HX87" s="55"/>
      <c r="HY87" s="55"/>
      <c r="HZ87" s="55"/>
      <c r="IA87" s="55"/>
      <c r="IB87" s="55"/>
    </row>
    <row r="88" spans="1:237" ht="15" customHeight="1" x14ac:dyDescent="0.2">
      <c r="A88" s="63" t="s">
        <v>342</v>
      </c>
      <c r="B88" s="44" t="s">
        <v>227</v>
      </c>
      <c r="C88" s="45" t="s">
        <v>198</v>
      </c>
      <c r="D88" s="451"/>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c r="AH88" s="55"/>
      <c r="AI88" s="55"/>
      <c r="AJ88" s="55"/>
      <c r="AK88" s="55"/>
      <c r="AL88" s="55"/>
      <c r="AM88" s="55"/>
      <c r="AN88" s="55"/>
      <c r="AO88" s="55"/>
      <c r="AP88" s="55"/>
      <c r="AQ88" s="55"/>
      <c r="AR88" s="55"/>
      <c r="AS88" s="55"/>
      <c r="AT88" s="55"/>
      <c r="AU88" s="55"/>
      <c r="AV88" s="55"/>
      <c r="AW88" s="55"/>
      <c r="AX88" s="55"/>
      <c r="AY88" s="55"/>
      <c r="AZ88" s="55"/>
      <c r="BA88" s="55"/>
      <c r="BB88" s="55"/>
      <c r="BC88" s="55"/>
      <c r="BD88" s="55"/>
      <c r="BE88" s="55"/>
      <c r="BF88" s="55"/>
      <c r="BG88" s="55"/>
      <c r="BH88" s="55"/>
      <c r="BI88" s="55"/>
      <c r="BJ88" s="55"/>
      <c r="BK88" s="55"/>
      <c r="BL88" s="55"/>
      <c r="BM88" s="55"/>
      <c r="BN88" s="55"/>
      <c r="BO88" s="55"/>
      <c r="BP88" s="55"/>
      <c r="BQ88" s="55"/>
      <c r="BR88" s="55"/>
      <c r="BS88" s="55"/>
      <c r="BT88" s="55"/>
      <c r="BU88" s="55"/>
      <c r="BV88" s="55"/>
      <c r="BW88" s="55"/>
      <c r="BX88" s="55"/>
      <c r="BY88" s="55"/>
      <c r="BZ88" s="55"/>
      <c r="CA88" s="55"/>
      <c r="CB88" s="55"/>
      <c r="CC88" s="55"/>
      <c r="CD88" s="55"/>
      <c r="CE88" s="55"/>
      <c r="CF88" s="55"/>
      <c r="CG88" s="55"/>
      <c r="CH88" s="55"/>
      <c r="CI88" s="55"/>
      <c r="CJ88" s="55"/>
      <c r="CK88" s="55"/>
      <c r="CL88" s="55"/>
      <c r="CM88" s="55"/>
      <c r="CN88" s="55"/>
      <c r="CO88" s="55"/>
      <c r="CP88" s="55"/>
      <c r="CQ88" s="55"/>
      <c r="CR88" s="55"/>
      <c r="CS88" s="55"/>
      <c r="CT88" s="55"/>
      <c r="CU88" s="55"/>
      <c r="CV88" s="55"/>
      <c r="CW88" s="55"/>
      <c r="CX88" s="55"/>
      <c r="CY88" s="55"/>
      <c r="CZ88" s="55"/>
      <c r="DA88" s="55"/>
      <c r="DB88" s="55"/>
      <c r="DC88" s="55"/>
      <c r="DD88" s="55"/>
      <c r="DE88" s="55"/>
      <c r="DF88" s="55"/>
      <c r="DG88" s="55"/>
      <c r="DH88" s="55"/>
      <c r="DI88" s="55"/>
      <c r="DJ88" s="55"/>
      <c r="DK88" s="55"/>
      <c r="DL88" s="55"/>
      <c r="DM88" s="55"/>
      <c r="DN88" s="55"/>
      <c r="DO88" s="55"/>
      <c r="DP88" s="55"/>
      <c r="DQ88" s="55"/>
      <c r="DR88" s="55"/>
      <c r="DS88" s="55"/>
      <c r="DT88" s="55"/>
      <c r="DU88" s="55"/>
      <c r="DV88" s="55"/>
      <c r="DW88" s="55"/>
      <c r="DX88" s="55"/>
      <c r="DY88" s="55"/>
      <c r="DZ88" s="55"/>
      <c r="EA88" s="55"/>
      <c r="EB88" s="55"/>
      <c r="EC88" s="55"/>
      <c r="ED88" s="55"/>
      <c r="EE88" s="55"/>
      <c r="EF88" s="55"/>
      <c r="EG88" s="55"/>
      <c r="EH88" s="55"/>
      <c r="EI88" s="55"/>
      <c r="EJ88" s="55"/>
      <c r="EK88" s="55"/>
      <c r="EL88" s="55"/>
      <c r="EM88" s="55"/>
      <c r="EN88" s="55"/>
      <c r="EO88" s="55"/>
      <c r="EP88" s="55"/>
      <c r="EQ88" s="55"/>
      <c r="ER88" s="55"/>
      <c r="ES88" s="55"/>
      <c r="ET88" s="55"/>
      <c r="EU88" s="55"/>
      <c r="EV88" s="55"/>
      <c r="EW88" s="55"/>
      <c r="EX88" s="55"/>
      <c r="EY88" s="55"/>
      <c r="EZ88" s="55"/>
      <c r="FA88" s="55"/>
      <c r="FB88" s="55"/>
      <c r="FC88" s="55"/>
      <c r="FD88" s="55"/>
      <c r="FE88" s="55"/>
      <c r="FF88" s="55"/>
      <c r="FG88" s="55"/>
      <c r="FH88" s="55"/>
      <c r="FI88" s="55"/>
      <c r="FJ88" s="55"/>
      <c r="FK88" s="55"/>
      <c r="FL88" s="55"/>
      <c r="FM88" s="55"/>
      <c r="FN88" s="55"/>
      <c r="FO88" s="55"/>
      <c r="FP88" s="55"/>
      <c r="FQ88" s="55"/>
      <c r="FR88" s="55"/>
      <c r="FS88" s="55"/>
      <c r="FT88" s="55"/>
      <c r="FU88" s="55"/>
      <c r="FV88" s="55"/>
      <c r="FW88" s="55"/>
      <c r="FX88" s="55"/>
      <c r="FY88" s="55"/>
      <c r="FZ88" s="55"/>
      <c r="GA88" s="55"/>
      <c r="GB88" s="55"/>
      <c r="GC88" s="55"/>
      <c r="GD88" s="55"/>
      <c r="GE88" s="55"/>
      <c r="GF88" s="55"/>
      <c r="GG88" s="55"/>
      <c r="GH88" s="55"/>
      <c r="GI88" s="55"/>
      <c r="GJ88" s="55"/>
      <c r="GK88" s="55"/>
      <c r="GL88" s="55"/>
      <c r="GM88" s="55"/>
      <c r="GN88" s="55"/>
      <c r="GO88" s="55"/>
      <c r="GP88" s="55"/>
      <c r="GQ88" s="55"/>
      <c r="GR88" s="55"/>
      <c r="GS88" s="55"/>
      <c r="GT88" s="55"/>
      <c r="GU88" s="55"/>
      <c r="GV88" s="55"/>
      <c r="GW88" s="55"/>
      <c r="GX88" s="55"/>
      <c r="GY88" s="55"/>
      <c r="GZ88" s="55"/>
      <c r="HA88" s="55"/>
      <c r="HB88" s="55"/>
      <c r="HC88" s="55"/>
      <c r="HD88" s="55"/>
      <c r="HE88" s="55"/>
      <c r="HF88" s="55"/>
      <c r="HG88" s="55"/>
      <c r="HH88" s="55"/>
      <c r="HI88" s="55"/>
      <c r="HJ88" s="55"/>
      <c r="HK88" s="55"/>
      <c r="HL88" s="55"/>
      <c r="HM88" s="55"/>
      <c r="HN88" s="55"/>
      <c r="HO88" s="55"/>
      <c r="HP88" s="55"/>
      <c r="HQ88" s="55"/>
      <c r="HR88" s="55"/>
      <c r="HS88" s="55"/>
      <c r="HT88" s="55"/>
      <c r="HU88" s="55"/>
      <c r="HV88" s="55"/>
      <c r="HW88" s="55"/>
      <c r="HX88" s="55"/>
      <c r="HY88" s="55"/>
      <c r="HZ88" s="55"/>
      <c r="IA88" s="55"/>
      <c r="IB88" s="55"/>
    </row>
    <row r="89" spans="1:237" ht="25.5" x14ac:dyDescent="0.2">
      <c r="A89" s="63" t="s">
        <v>343</v>
      </c>
      <c r="B89" s="44" t="s">
        <v>252</v>
      </c>
      <c r="C89" s="45" t="s">
        <v>197</v>
      </c>
      <c r="D89" s="451"/>
      <c r="E89" s="55"/>
      <c r="F89" s="55"/>
      <c r="G89" s="55"/>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c r="AH89" s="55"/>
      <c r="AI89" s="55"/>
      <c r="AJ89" s="55"/>
      <c r="AK89" s="55"/>
      <c r="AL89" s="55"/>
      <c r="AM89" s="55"/>
      <c r="AN89" s="55"/>
      <c r="AO89" s="55"/>
      <c r="AP89" s="55"/>
      <c r="AQ89" s="55"/>
      <c r="AR89" s="55"/>
      <c r="AS89" s="55"/>
      <c r="AT89" s="55"/>
      <c r="AU89" s="55"/>
      <c r="AV89" s="55"/>
      <c r="AW89" s="55"/>
      <c r="AX89" s="55"/>
      <c r="AY89" s="55"/>
      <c r="AZ89" s="55"/>
      <c r="BA89" s="55"/>
      <c r="BB89" s="55"/>
      <c r="BC89" s="55"/>
      <c r="BD89" s="55"/>
      <c r="BE89" s="55"/>
      <c r="BF89" s="55"/>
      <c r="BG89" s="55"/>
      <c r="BH89" s="55"/>
      <c r="BI89" s="55"/>
      <c r="BJ89" s="55"/>
      <c r="BK89" s="55"/>
      <c r="BL89" s="55"/>
      <c r="BM89" s="55"/>
      <c r="BN89" s="55"/>
      <c r="BO89" s="55"/>
      <c r="BP89" s="55"/>
      <c r="BQ89" s="55"/>
      <c r="BR89" s="55"/>
      <c r="BS89" s="55"/>
      <c r="BT89" s="55"/>
      <c r="BU89" s="55"/>
      <c r="BV89" s="55"/>
      <c r="BW89" s="55"/>
      <c r="BX89" s="55"/>
      <c r="BY89" s="55"/>
      <c r="BZ89" s="55"/>
      <c r="CA89" s="55"/>
      <c r="CB89" s="55"/>
      <c r="CC89" s="55"/>
      <c r="CD89" s="55"/>
      <c r="CE89" s="55"/>
      <c r="CF89" s="55"/>
      <c r="CG89" s="55"/>
      <c r="CH89" s="55"/>
      <c r="CI89" s="55"/>
      <c r="CJ89" s="55"/>
      <c r="CK89" s="55"/>
      <c r="CL89" s="55"/>
      <c r="CM89" s="55"/>
      <c r="CN89" s="55"/>
      <c r="CO89" s="55"/>
      <c r="CP89" s="55"/>
      <c r="CQ89" s="55"/>
      <c r="CR89" s="55"/>
      <c r="CS89" s="55"/>
      <c r="CT89" s="55"/>
      <c r="CU89" s="55"/>
      <c r="CV89" s="55"/>
      <c r="CW89" s="55"/>
      <c r="CX89" s="55"/>
      <c r="CY89" s="55"/>
      <c r="CZ89" s="55"/>
      <c r="DA89" s="55"/>
      <c r="DB89" s="55"/>
      <c r="DC89" s="55"/>
      <c r="DD89" s="55"/>
      <c r="DE89" s="55"/>
      <c r="DF89" s="55"/>
      <c r="DG89" s="55"/>
      <c r="DH89" s="55"/>
      <c r="DI89" s="55"/>
      <c r="DJ89" s="55"/>
      <c r="DK89" s="55"/>
      <c r="DL89" s="55"/>
      <c r="DM89" s="55"/>
      <c r="DN89" s="55"/>
      <c r="DO89" s="55"/>
      <c r="DP89" s="55"/>
      <c r="DQ89" s="55"/>
      <c r="DR89" s="55"/>
      <c r="DS89" s="55"/>
      <c r="DT89" s="55"/>
      <c r="DU89" s="55"/>
      <c r="DV89" s="55"/>
      <c r="DW89" s="55"/>
      <c r="DX89" s="55"/>
      <c r="DY89" s="55"/>
      <c r="DZ89" s="55"/>
      <c r="EA89" s="55"/>
      <c r="EB89" s="55"/>
      <c r="EC89" s="55"/>
      <c r="ED89" s="55"/>
      <c r="EE89" s="55"/>
      <c r="EF89" s="55"/>
      <c r="EG89" s="55"/>
      <c r="EH89" s="55"/>
      <c r="EI89" s="55"/>
      <c r="EJ89" s="55"/>
      <c r="EK89" s="55"/>
      <c r="EL89" s="55"/>
      <c r="EM89" s="55"/>
      <c r="EN89" s="55"/>
      <c r="EO89" s="55"/>
      <c r="EP89" s="55"/>
      <c r="EQ89" s="55"/>
      <c r="ER89" s="55"/>
      <c r="ES89" s="55"/>
      <c r="ET89" s="55"/>
      <c r="EU89" s="55"/>
      <c r="EV89" s="55"/>
      <c r="EW89" s="55"/>
      <c r="EX89" s="55"/>
      <c r="EY89" s="55"/>
      <c r="EZ89" s="55"/>
      <c r="FA89" s="55"/>
      <c r="FB89" s="55"/>
      <c r="FC89" s="55"/>
      <c r="FD89" s="55"/>
      <c r="FE89" s="55"/>
      <c r="FF89" s="55"/>
      <c r="FG89" s="55"/>
      <c r="FH89" s="55"/>
      <c r="FI89" s="55"/>
      <c r="FJ89" s="55"/>
      <c r="FK89" s="55"/>
      <c r="FL89" s="55"/>
      <c r="FM89" s="55"/>
      <c r="FN89" s="55"/>
      <c r="FO89" s="55"/>
      <c r="FP89" s="55"/>
      <c r="FQ89" s="55"/>
      <c r="FR89" s="55"/>
      <c r="FS89" s="55"/>
      <c r="FT89" s="55"/>
      <c r="FU89" s="55"/>
      <c r="FV89" s="55"/>
      <c r="FW89" s="55"/>
      <c r="FX89" s="55"/>
      <c r="FY89" s="55"/>
      <c r="FZ89" s="55"/>
      <c r="GA89" s="55"/>
      <c r="GB89" s="55"/>
      <c r="GC89" s="55"/>
      <c r="GD89" s="55"/>
      <c r="GE89" s="55"/>
      <c r="GF89" s="55"/>
      <c r="GG89" s="55"/>
      <c r="GH89" s="55"/>
      <c r="GI89" s="55"/>
      <c r="GJ89" s="55"/>
      <c r="GK89" s="55"/>
      <c r="GL89" s="55"/>
      <c r="GM89" s="55"/>
      <c r="GN89" s="55"/>
      <c r="GO89" s="55"/>
      <c r="GP89" s="55"/>
      <c r="GQ89" s="55"/>
      <c r="GR89" s="55"/>
      <c r="GS89" s="55"/>
      <c r="GT89" s="55"/>
      <c r="GU89" s="55"/>
      <c r="GV89" s="55"/>
      <c r="GW89" s="55"/>
      <c r="GX89" s="55"/>
      <c r="GY89" s="55"/>
      <c r="GZ89" s="55"/>
      <c r="HA89" s="55"/>
      <c r="HB89" s="55"/>
      <c r="HC89" s="55"/>
      <c r="HD89" s="55"/>
      <c r="HE89" s="55"/>
      <c r="HF89" s="55"/>
      <c r="HG89" s="55"/>
      <c r="HH89" s="55"/>
      <c r="HI89" s="55"/>
      <c r="HJ89" s="55"/>
      <c r="HK89" s="55"/>
      <c r="HL89" s="55"/>
      <c r="HM89" s="55"/>
      <c r="HN89" s="55"/>
      <c r="HO89" s="55"/>
      <c r="HP89" s="55"/>
      <c r="HQ89" s="55"/>
      <c r="HR89" s="55"/>
      <c r="HS89" s="55"/>
      <c r="HT89" s="55"/>
      <c r="HU89" s="55"/>
      <c r="HV89" s="55"/>
      <c r="HW89" s="55"/>
      <c r="HX89" s="55"/>
      <c r="HY89" s="55"/>
      <c r="HZ89" s="55"/>
      <c r="IA89" s="55"/>
      <c r="IB89" s="55"/>
    </row>
    <row r="90" spans="1:237" ht="15" customHeight="1" x14ac:dyDescent="0.2">
      <c r="A90" s="63" t="s">
        <v>344</v>
      </c>
      <c r="B90" s="44" t="s">
        <v>228</v>
      </c>
      <c r="C90" s="45" t="s">
        <v>254</v>
      </c>
      <c r="D90" s="451"/>
      <c r="E90" s="55"/>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c r="AH90" s="55"/>
      <c r="AI90" s="55"/>
      <c r="AJ90" s="55"/>
      <c r="AK90" s="55"/>
      <c r="AL90" s="55"/>
      <c r="AM90" s="55"/>
      <c r="AN90" s="55"/>
      <c r="AO90" s="55"/>
      <c r="AP90" s="55"/>
      <c r="AQ90" s="55"/>
      <c r="AR90" s="55"/>
      <c r="AS90" s="55"/>
      <c r="AT90" s="55"/>
      <c r="AU90" s="55"/>
      <c r="AV90" s="55"/>
      <c r="AW90" s="55"/>
      <c r="AX90" s="55"/>
      <c r="AY90" s="55"/>
      <c r="AZ90" s="55"/>
      <c r="BA90" s="55"/>
      <c r="BB90" s="55"/>
      <c r="BC90" s="55"/>
      <c r="BD90" s="55"/>
      <c r="BE90" s="55"/>
      <c r="BF90" s="55"/>
      <c r="BG90" s="55"/>
      <c r="BH90" s="55"/>
      <c r="BI90" s="55"/>
      <c r="BJ90" s="55"/>
      <c r="BK90" s="55"/>
      <c r="BL90" s="55"/>
      <c r="BM90" s="55"/>
      <c r="BN90" s="55"/>
      <c r="BO90" s="55"/>
      <c r="BP90" s="55"/>
      <c r="BQ90" s="55"/>
      <c r="BR90" s="55"/>
      <c r="BS90" s="55"/>
      <c r="BT90" s="55"/>
      <c r="BU90" s="55"/>
      <c r="BV90" s="55"/>
      <c r="BW90" s="55"/>
      <c r="BX90" s="55"/>
      <c r="BY90" s="55"/>
      <c r="BZ90" s="55"/>
      <c r="CA90" s="55"/>
      <c r="CB90" s="55"/>
      <c r="CC90" s="55"/>
      <c r="CD90" s="55"/>
      <c r="CE90" s="55"/>
      <c r="CF90" s="55"/>
      <c r="CG90" s="55"/>
      <c r="CH90" s="55"/>
      <c r="CI90" s="55"/>
      <c r="CJ90" s="55"/>
      <c r="CK90" s="55"/>
      <c r="CL90" s="55"/>
      <c r="CM90" s="55"/>
      <c r="CN90" s="55"/>
      <c r="CO90" s="55"/>
      <c r="CP90" s="55"/>
      <c r="CQ90" s="55"/>
      <c r="CR90" s="55"/>
      <c r="CS90" s="55"/>
      <c r="CT90" s="55"/>
      <c r="CU90" s="55"/>
      <c r="CV90" s="55"/>
      <c r="CW90" s="55"/>
      <c r="CX90" s="55"/>
      <c r="CY90" s="55"/>
      <c r="CZ90" s="55"/>
      <c r="DA90" s="55"/>
      <c r="DB90" s="55"/>
      <c r="DC90" s="55"/>
      <c r="DD90" s="55"/>
      <c r="DE90" s="55"/>
      <c r="DF90" s="55"/>
      <c r="DG90" s="55"/>
      <c r="DH90" s="55"/>
      <c r="DI90" s="55"/>
      <c r="DJ90" s="55"/>
      <c r="DK90" s="55"/>
      <c r="DL90" s="55"/>
      <c r="DM90" s="55"/>
      <c r="DN90" s="55"/>
      <c r="DO90" s="55"/>
      <c r="DP90" s="55"/>
      <c r="DQ90" s="55"/>
      <c r="DR90" s="55"/>
      <c r="DS90" s="55"/>
      <c r="DT90" s="55"/>
      <c r="DU90" s="55"/>
      <c r="DV90" s="55"/>
      <c r="DW90" s="55"/>
      <c r="DX90" s="55"/>
      <c r="DY90" s="55"/>
      <c r="DZ90" s="55"/>
      <c r="EA90" s="55"/>
      <c r="EB90" s="55"/>
      <c r="EC90" s="55"/>
      <c r="ED90" s="55"/>
      <c r="EE90" s="55"/>
      <c r="EF90" s="55"/>
      <c r="EG90" s="55"/>
      <c r="EH90" s="55"/>
      <c r="EI90" s="55"/>
      <c r="EJ90" s="55"/>
      <c r="EK90" s="55"/>
      <c r="EL90" s="55"/>
      <c r="EM90" s="55"/>
      <c r="EN90" s="55"/>
      <c r="EO90" s="55"/>
      <c r="EP90" s="55"/>
      <c r="EQ90" s="55"/>
      <c r="ER90" s="55"/>
      <c r="ES90" s="55"/>
      <c r="ET90" s="55"/>
      <c r="EU90" s="55"/>
      <c r="EV90" s="55"/>
      <c r="EW90" s="55"/>
      <c r="EX90" s="55"/>
      <c r="EY90" s="55"/>
      <c r="EZ90" s="55"/>
      <c r="FA90" s="55"/>
      <c r="FB90" s="55"/>
      <c r="FC90" s="55"/>
      <c r="FD90" s="55"/>
      <c r="FE90" s="55"/>
      <c r="FF90" s="55"/>
      <c r="FG90" s="55"/>
      <c r="FH90" s="55"/>
      <c r="FI90" s="55"/>
      <c r="FJ90" s="55"/>
      <c r="FK90" s="55"/>
      <c r="FL90" s="55"/>
      <c r="FM90" s="55"/>
      <c r="FN90" s="55"/>
      <c r="FO90" s="55"/>
      <c r="FP90" s="55"/>
      <c r="FQ90" s="55"/>
      <c r="FR90" s="55"/>
      <c r="FS90" s="55"/>
      <c r="FT90" s="55"/>
      <c r="FU90" s="55"/>
      <c r="FV90" s="55"/>
      <c r="FW90" s="55"/>
      <c r="FX90" s="55"/>
      <c r="FY90" s="55"/>
      <c r="FZ90" s="55"/>
      <c r="GA90" s="55"/>
      <c r="GB90" s="55"/>
      <c r="GC90" s="55"/>
      <c r="GD90" s="55"/>
      <c r="GE90" s="55"/>
      <c r="GF90" s="55"/>
      <c r="GG90" s="55"/>
      <c r="GH90" s="55"/>
      <c r="GI90" s="55"/>
      <c r="GJ90" s="55"/>
      <c r="GK90" s="55"/>
      <c r="GL90" s="55"/>
      <c r="GM90" s="55"/>
      <c r="GN90" s="55"/>
      <c r="GO90" s="55"/>
      <c r="GP90" s="55"/>
      <c r="GQ90" s="55"/>
      <c r="GR90" s="55"/>
      <c r="GS90" s="55"/>
      <c r="GT90" s="55"/>
      <c r="GU90" s="55"/>
      <c r="GV90" s="55"/>
      <c r="GW90" s="55"/>
      <c r="GX90" s="55"/>
      <c r="GY90" s="55"/>
      <c r="GZ90" s="55"/>
      <c r="HA90" s="55"/>
      <c r="HB90" s="55"/>
      <c r="HC90" s="55"/>
      <c r="HD90" s="55"/>
      <c r="HE90" s="55"/>
      <c r="HF90" s="55"/>
      <c r="HG90" s="55"/>
      <c r="HH90" s="55"/>
      <c r="HI90" s="55"/>
      <c r="HJ90" s="55"/>
      <c r="HK90" s="55"/>
      <c r="HL90" s="55"/>
      <c r="HM90" s="55"/>
      <c r="HN90" s="55"/>
      <c r="HO90" s="55"/>
      <c r="HP90" s="55"/>
      <c r="HQ90" s="55"/>
      <c r="HR90" s="55"/>
      <c r="HS90" s="55"/>
      <c r="HT90" s="55"/>
      <c r="HU90" s="55"/>
      <c r="HV90" s="55"/>
      <c r="HW90" s="55"/>
      <c r="HX90" s="55"/>
      <c r="HY90" s="55"/>
      <c r="HZ90" s="55"/>
      <c r="IA90" s="55"/>
      <c r="IB90" s="55"/>
    </row>
    <row r="91" spans="1:237" ht="15" customHeight="1" x14ac:dyDescent="0.2">
      <c r="A91" s="63" t="s">
        <v>345</v>
      </c>
      <c r="B91" s="46" t="s">
        <v>492</v>
      </c>
      <c r="C91" s="45" t="s">
        <v>198</v>
      </c>
      <c r="D91" s="451"/>
      <c r="E91" s="55"/>
      <c r="F91" s="55"/>
      <c r="G91" s="55"/>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c r="AH91" s="55"/>
      <c r="AI91" s="55"/>
      <c r="AJ91" s="55"/>
      <c r="AK91" s="55"/>
      <c r="AL91" s="55"/>
      <c r="AM91" s="55"/>
      <c r="AN91" s="55"/>
      <c r="AO91" s="55"/>
      <c r="AP91" s="55"/>
      <c r="AQ91" s="55"/>
      <c r="AR91" s="55"/>
      <c r="AS91" s="55"/>
      <c r="AT91" s="55"/>
      <c r="AU91" s="55"/>
      <c r="AV91" s="55"/>
      <c r="AW91" s="55"/>
      <c r="AX91" s="55"/>
      <c r="AY91" s="55"/>
      <c r="AZ91" s="55"/>
      <c r="BA91" s="55"/>
      <c r="BB91" s="55"/>
      <c r="BC91" s="55"/>
      <c r="BD91" s="55"/>
      <c r="BE91" s="55"/>
      <c r="BF91" s="55"/>
      <c r="BG91" s="55"/>
      <c r="BH91" s="55"/>
      <c r="BI91" s="55"/>
      <c r="BJ91" s="55"/>
      <c r="BK91" s="55"/>
      <c r="BL91" s="55"/>
      <c r="BM91" s="55"/>
      <c r="BN91" s="55"/>
      <c r="BO91" s="55"/>
      <c r="BP91" s="55"/>
      <c r="BQ91" s="55"/>
      <c r="BR91" s="55"/>
      <c r="BS91" s="55"/>
      <c r="BT91" s="55"/>
      <c r="BU91" s="55"/>
      <c r="BV91" s="55"/>
      <c r="BW91" s="55"/>
      <c r="BX91" s="55"/>
      <c r="BY91" s="55"/>
      <c r="BZ91" s="55"/>
      <c r="CA91" s="55"/>
      <c r="CB91" s="55"/>
      <c r="CC91" s="55"/>
      <c r="CD91" s="55"/>
      <c r="CE91" s="55"/>
      <c r="CF91" s="55"/>
      <c r="CG91" s="55"/>
      <c r="CH91" s="55"/>
      <c r="CI91" s="55"/>
      <c r="CJ91" s="55"/>
      <c r="CK91" s="55"/>
      <c r="CL91" s="55"/>
      <c r="CM91" s="55"/>
      <c r="CN91" s="55"/>
      <c r="CO91" s="55"/>
      <c r="CP91" s="55"/>
      <c r="CQ91" s="55"/>
      <c r="CR91" s="55"/>
      <c r="CS91" s="55"/>
      <c r="CT91" s="55"/>
      <c r="CU91" s="55"/>
      <c r="CV91" s="55"/>
      <c r="CW91" s="55"/>
      <c r="CX91" s="55"/>
      <c r="CY91" s="55"/>
      <c r="CZ91" s="55"/>
      <c r="DA91" s="55"/>
      <c r="DB91" s="55"/>
      <c r="DC91" s="55"/>
      <c r="DD91" s="55"/>
      <c r="DE91" s="55"/>
      <c r="DF91" s="55"/>
      <c r="DG91" s="55"/>
      <c r="DH91" s="55"/>
      <c r="DI91" s="55"/>
      <c r="DJ91" s="55"/>
      <c r="DK91" s="55"/>
      <c r="DL91" s="55"/>
      <c r="DM91" s="55"/>
      <c r="DN91" s="55"/>
      <c r="DO91" s="55"/>
      <c r="DP91" s="55"/>
      <c r="DQ91" s="55"/>
      <c r="DR91" s="55"/>
      <c r="DS91" s="55"/>
      <c r="DT91" s="55"/>
      <c r="DU91" s="55"/>
      <c r="DV91" s="55"/>
      <c r="DW91" s="55"/>
      <c r="DX91" s="55"/>
      <c r="DY91" s="55"/>
      <c r="DZ91" s="55"/>
      <c r="EA91" s="55"/>
      <c r="EB91" s="55"/>
      <c r="EC91" s="55"/>
      <c r="ED91" s="55"/>
      <c r="EE91" s="55"/>
      <c r="EF91" s="55"/>
      <c r="EG91" s="55"/>
      <c r="EH91" s="55"/>
      <c r="EI91" s="55"/>
      <c r="EJ91" s="55"/>
      <c r="EK91" s="55"/>
      <c r="EL91" s="55"/>
      <c r="EM91" s="55"/>
      <c r="EN91" s="55"/>
      <c r="EO91" s="55"/>
      <c r="EP91" s="55"/>
      <c r="EQ91" s="55"/>
      <c r="ER91" s="55"/>
      <c r="ES91" s="55"/>
      <c r="ET91" s="55"/>
      <c r="EU91" s="55"/>
      <c r="EV91" s="55"/>
      <c r="EW91" s="55"/>
      <c r="EX91" s="55"/>
      <c r="EY91" s="55"/>
      <c r="EZ91" s="55"/>
      <c r="FA91" s="55"/>
      <c r="FB91" s="55"/>
      <c r="FC91" s="55"/>
      <c r="FD91" s="55"/>
      <c r="FE91" s="55"/>
      <c r="FF91" s="55"/>
      <c r="FG91" s="55"/>
      <c r="FH91" s="55"/>
      <c r="FI91" s="55"/>
      <c r="FJ91" s="55"/>
      <c r="FK91" s="55"/>
      <c r="FL91" s="55"/>
      <c r="FM91" s="55"/>
      <c r="FN91" s="55"/>
      <c r="FO91" s="55"/>
      <c r="FP91" s="55"/>
      <c r="FQ91" s="55"/>
      <c r="FR91" s="55"/>
      <c r="FS91" s="55"/>
      <c r="FT91" s="55"/>
      <c r="FU91" s="55"/>
      <c r="FV91" s="55"/>
      <c r="FW91" s="55"/>
      <c r="FX91" s="55"/>
      <c r="FY91" s="55"/>
      <c r="FZ91" s="55"/>
      <c r="GA91" s="55"/>
      <c r="GB91" s="55"/>
      <c r="GC91" s="55"/>
      <c r="GD91" s="55"/>
      <c r="GE91" s="55"/>
      <c r="GF91" s="55"/>
      <c r="GG91" s="55"/>
      <c r="GH91" s="55"/>
      <c r="GI91" s="55"/>
      <c r="GJ91" s="55"/>
      <c r="GK91" s="55"/>
      <c r="GL91" s="55"/>
      <c r="GM91" s="55"/>
      <c r="GN91" s="55"/>
      <c r="GO91" s="55"/>
      <c r="GP91" s="55"/>
      <c r="GQ91" s="55"/>
      <c r="GR91" s="55"/>
      <c r="GS91" s="55"/>
      <c r="GT91" s="55"/>
      <c r="GU91" s="55"/>
      <c r="GV91" s="55"/>
      <c r="GW91" s="55"/>
      <c r="GX91" s="55"/>
      <c r="GY91" s="55"/>
      <c r="GZ91" s="55"/>
      <c r="HA91" s="55"/>
      <c r="HB91" s="55"/>
      <c r="HC91" s="55"/>
      <c r="HD91" s="55"/>
      <c r="HE91" s="55"/>
      <c r="HF91" s="55"/>
      <c r="HG91" s="55"/>
      <c r="HH91" s="55"/>
      <c r="HI91" s="55"/>
      <c r="HJ91" s="55"/>
      <c r="HK91" s="55"/>
      <c r="HL91" s="55"/>
      <c r="HM91" s="55"/>
      <c r="HN91" s="55"/>
      <c r="HO91" s="55"/>
      <c r="HP91" s="55"/>
      <c r="HQ91" s="55"/>
      <c r="HR91" s="55"/>
      <c r="HS91" s="55"/>
      <c r="HT91" s="55"/>
      <c r="HU91" s="55"/>
      <c r="HV91" s="55"/>
      <c r="HW91" s="55"/>
      <c r="HX91" s="55"/>
      <c r="HY91" s="55"/>
      <c r="HZ91" s="55"/>
      <c r="IA91" s="55"/>
      <c r="IB91" s="55"/>
    </row>
    <row r="92" spans="1:237" ht="15" customHeight="1" x14ac:dyDescent="0.2">
      <c r="A92" s="63" t="s">
        <v>346</v>
      </c>
      <c r="B92" s="46" t="s">
        <v>229</v>
      </c>
      <c r="C92" s="45" t="s">
        <v>198</v>
      </c>
      <c r="D92" s="451"/>
      <c r="E92" s="55"/>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c r="AH92" s="55"/>
      <c r="AI92" s="55"/>
      <c r="AJ92" s="55"/>
      <c r="AK92" s="55"/>
      <c r="AL92" s="55"/>
      <c r="AM92" s="55"/>
      <c r="AN92" s="55"/>
      <c r="AO92" s="55"/>
      <c r="AP92" s="55"/>
      <c r="AQ92" s="55"/>
      <c r="AR92" s="55"/>
      <c r="AS92" s="55"/>
      <c r="AT92" s="55"/>
      <c r="AU92" s="55"/>
      <c r="AV92" s="55"/>
      <c r="AW92" s="55"/>
      <c r="AX92" s="55"/>
      <c r="AY92" s="55"/>
      <c r="AZ92" s="55"/>
      <c r="BA92" s="55"/>
      <c r="BB92" s="55"/>
      <c r="BC92" s="55"/>
      <c r="BD92" s="55"/>
      <c r="BE92" s="55"/>
      <c r="BF92" s="55"/>
      <c r="BG92" s="55"/>
      <c r="BH92" s="55"/>
      <c r="BI92" s="55"/>
      <c r="BJ92" s="55"/>
      <c r="BK92" s="55"/>
      <c r="BL92" s="55"/>
      <c r="BM92" s="55"/>
      <c r="BN92" s="55"/>
      <c r="BO92" s="55"/>
      <c r="BP92" s="55"/>
      <c r="BQ92" s="55"/>
      <c r="BR92" s="55"/>
      <c r="BS92" s="55"/>
      <c r="BT92" s="55"/>
      <c r="BU92" s="55"/>
      <c r="BV92" s="55"/>
      <c r="BW92" s="55"/>
      <c r="BX92" s="55"/>
      <c r="BY92" s="55"/>
      <c r="BZ92" s="55"/>
      <c r="CA92" s="55"/>
      <c r="CB92" s="55"/>
      <c r="CC92" s="55"/>
      <c r="CD92" s="55"/>
      <c r="CE92" s="55"/>
      <c r="CF92" s="55"/>
      <c r="CG92" s="55"/>
      <c r="CH92" s="55"/>
      <c r="CI92" s="55"/>
      <c r="CJ92" s="55"/>
      <c r="CK92" s="55"/>
      <c r="CL92" s="55"/>
      <c r="CM92" s="55"/>
      <c r="CN92" s="55"/>
      <c r="CO92" s="55"/>
      <c r="CP92" s="55"/>
      <c r="CQ92" s="55"/>
      <c r="CR92" s="55"/>
      <c r="CS92" s="55"/>
      <c r="CT92" s="55"/>
      <c r="CU92" s="55"/>
      <c r="CV92" s="55"/>
      <c r="CW92" s="55"/>
      <c r="CX92" s="55"/>
      <c r="CY92" s="55"/>
      <c r="CZ92" s="55"/>
      <c r="DA92" s="55"/>
      <c r="DB92" s="55"/>
      <c r="DC92" s="55"/>
      <c r="DD92" s="55"/>
      <c r="DE92" s="55"/>
      <c r="DF92" s="55"/>
      <c r="DG92" s="55"/>
      <c r="DH92" s="55"/>
      <c r="DI92" s="55"/>
      <c r="DJ92" s="55"/>
      <c r="DK92" s="55"/>
      <c r="DL92" s="55"/>
      <c r="DM92" s="55"/>
      <c r="DN92" s="55"/>
      <c r="DO92" s="55"/>
      <c r="DP92" s="55"/>
      <c r="DQ92" s="55"/>
      <c r="DR92" s="55"/>
      <c r="DS92" s="55"/>
      <c r="DT92" s="55"/>
      <c r="DU92" s="55"/>
      <c r="DV92" s="55"/>
      <c r="DW92" s="55"/>
      <c r="DX92" s="55"/>
      <c r="DY92" s="55"/>
      <c r="DZ92" s="55"/>
      <c r="EA92" s="55"/>
      <c r="EB92" s="55"/>
      <c r="EC92" s="55"/>
      <c r="ED92" s="55"/>
      <c r="EE92" s="55"/>
      <c r="EF92" s="55"/>
      <c r="EG92" s="55"/>
      <c r="EH92" s="55"/>
      <c r="EI92" s="55"/>
      <c r="EJ92" s="55"/>
      <c r="EK92" s="55"/>
      <c r="EL92" s="55"/>
      <c r="EM92" s="55"/>
      <c r="EN92" s="55"/>
      <c r="EO92" s="55"/>
      <c r="EP92" s="55"/>
      <c r="EQ92" s="55"/>
      <c r="ER92" s="55"/>
      <c r="ES92" s="55"/>
      <c r="ET92" s="55"/>
      <c r="EU92" s="55"/>
      <c r="EV92" s="55"/>
      <c r="EW92" s="55"/>
      <c r="EX92" s="55"/>
      <c r="EY92" s="55"/>
      <c r="EZ92" s="55"/>
      <c r="FA92" s="55"/>
      <c r="FB92" s="55"/>
      <c r="FC92" s="55"/>
      <c r="FD92" s="55"/>
      <c r="FE92" s="55"/>
      <c r="FF92" s="55"/>
      <c r="FG92" s="55"/>
      <c r="FH92" s="55"/>
      <c r="FI92" s="55"/>
      <c r="FJ92" s="55"/>
      <c r="FK92" s="55"/>
      <c r="FL92" s="55"/>
      <c r="FM92" s="55"/>
      <c r="FN92" s="55"/>
      <c r="FO92" s="55"/>
      <c r="FP92" s="55"/>
      <c r="FQ92" s="55"/>
      <c r="FR92" s="55"/>
      <c r="FS92" s="55"/>
      <c r="FT92" s="55"/>
      <c r="FU92" s="55"/>
      <c r="FV92" s="55"/>
      <c r="FW92" s="55"/>
      <c r="FX92" s="55"/>
      <c r="FY92" s="55"/>
      <c r="FZ92" s="55"/>
      <c r="GA92" s="55"/>
      <c r="GB92" s="55"/>
      <c r="GC92" s="55"/>
      <c r="GD92" s="55"/>
      <c r="GE92" s="55"/>
      <c r="GF92" s="55"/>
      <c r="GG92" s="55"/>
      <c r="GH92" s="55"/>
      <c r="GI92" s="55"/>
      <c r="GJ92" s="55"/>
      <c r="GK92" s="55"/>
      <c r="GL92" s="55"/>
      <c r="GM92" s="55"/>
      <c r="GN92" s="55"/>
      <c r="GO92" s="55"/>
      <c r="GP92" s="55"/>
      <c r="GQ92" s="55"/>
      <c r="GR92" s="55"/>
      <c r="GS92" s="55"/>
      <c r="GT92" s="55"/>
      <c r="GU92" s="55"/>
      <c r="GV92" s="55"/>
      <c r="GW92" s="55"/>
      <c r="GX92" s="55"/>
      <c r="GY92" s="55"/>
      <c r="GZ92" s="55"/>
      <c r="HA92" s="55"/>
      <c r="HB92" s="55"/>
      <c r="HC92" s="55"/>
      <c r="HD92" s="55"/>
      <c r="HE92" s="55"/>
      <c r="HF92" s="55"/>
      <c r="HG92" s="55"/>
      <c r="HH92" s="55"/>
      <c r="HI92" s="55"/>
      <c r="HJ92" s="55"/>
      <c r="HK92" s="55"/>
      <c r="HL92" s="55"/>
      <c r="HM92" s="55"/>
      <c r="HN92" s="55"/>
      <c r="HO92" s="55"/>
      <c r="HP92" s="55"/>
      <c r="HQ92" s="55"/>
      <c r="HR92" s="55"/>
      <c r="HS92" s="55"/>
      <c r="HT92" s="55"/>
      <c r="HU92" s="55"/>
      <c r="HV92" s="55"/>
      <c r="HW92" s="55"/>
      <c r="HX92" s="55"/>
      <c r="HY92" s="55"/>
      <c r="HZ92" s="55"/>
      <c r="IA92" s="55"/>
      <c r="IB92" s="55"/>
    </row>
    <row r="93" spans="1:237" ht="15" customHeight="1" x14ac:dyDescent="0.2">
      <c r="A93" s="63" t="s">
        <v>347</v>
      </c>
      <c r="B93" s="46" t="s">
        <v>230</v>
      </c>
      <c r="C93" s="45" t="s">
        <v>254</v>
      </c>
      <c r="D93" s="451"/>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c r="AH93" s="55"/>
      <c r="AI93" s="55"/>
      <c r="AJ93" s="55"/>
      <c r="AK93" s="55"/>
      <c r="AL93" s="55"/>
      <c r="AM93" s="55"/>
      <c r="AN93" s="55"/>
      <c r="AO93" s="55"/>
      <c r="AP93" s="55"/>
      <c r="AQ93" s="55"/>
      <c r="AR93" s="55"/>
      <c r="AS93" s="55"/>
      <c r="AT93" s="55"/>
      <c r="AU93" s="55"/>
      <c r="AV93" s="55"/>
      <c r="AW93" s="55"/>
      <c r="AX93" s="55"/>
      <c r="AY93" s="55"/>
      <c r="AZ93" s="55"/>
      <c r="BA93" s="55"/>
      <c r="BB93" s="55"/>
      <c r="BC93" s="55"/>
      <c r="BD93" s="55"/>
      <c r="BE93" s="55"/>
      <c r="BF93" s="55"/>
      <c r="BG93" s="55"/>
      <c r="BH93" s="55"/>
      <c r="BI93" s="55"/>
      <c r="BJ93" s="55"/>
      <c r="BK93" s="55"/>
      <c r="BL93" s="55"/>
      <c r="BM93" s="55"/>
      <c r="BN93" s="55"/>
      <c r="BO93" s="55"/>
      <c r="BP93" s="55"/>
      <c r="BQ93" s="55"/>
      <c r="BR93" s="55"/>
      <c r="BS93" s="55"/>
      <c r="BT93" s="55"/>
      <c r="BU93" s="55"/>
      <c r="BV93" s="55"/>
      <c r="BW93" s="55"/>
      <c r="BX93" s="55"/>
      <c r="BY93" s="55"/>
      <c r="BZ93" s="55"/>
      <c r="CA93" s="55"/>
      <c r="CB93" s="55"/>
      <c r="CC93" s="55"/>
      <c r="CD93" s="55"/>
      <c r="CE93" s="55"/>
      <c r="CF93" s="55"/>
      <c r="CG93" s="55"/>
      <c r="CH93" s="55"/>
      <c r="CI93" s="55"/>
      <c r="CJ93" s="55"/>
      <c r="CK93" s="55"/>
      <c r="CL93" s="55"/>
      <c r="CM93" s="55"/>
      <c r="CN93" s="55"/>
      <c r="CO93" s="55"/>
      <c r="CP93" s="55"/>
      <c r="CQ93" s="55"/>
      <c r="CR93" s="55"/>
      <c r="CS93" s="55"/>
      <c r="CT93" s="55"/>
      <c r="CU93" s="55"/>
      <c r="CV93" s="55"/>
      <c r="CW93" s="55"/>
      <c r="CX93" s="55"/>
      <c r="CY93" s="55"/>
      <c r="CZ93" s="55"/>
      <c r="DA93" s="55"/>
      <c r="DB93" s="55"/>
      <c r="DC93" s="55"/>
      <c r="DD93" s="55"/>
      <c r="DE93" s="55"/>
      <c r="DF93" s="55"/>
      <c r="DG93" s="55"/>
      <c r="DH93" s="55"/>
      <c r="DI93" s="55"/>
      <c r="DJ93" s="55"/>
      <c r="DK93" s="55"/>
      <c r="DL93" s="55"/>
      <c r="DM93" s="55"/>
      <c r="DN93" s="55"/>
      <c r="DO93" s="55"/>
      <c r="DP93" s="55"/>
      <c r="DQ93" s="55"/>
      <c r="DR93" s="55"/>
      <c r="DS93" s="55"/>
      <c r="DT93" s="55"/>
      <c r="DU93" s="55"/>
      <c r="DV93" s="55"/>
      <c r="DW93" s="55"/>
      <c r="DX93" s="55"/>
      <c r="DY93" s="55"/>
      <c r="DZ93" s="55"/>
      <c r="EA93" s="55"/>
      <c r="EB93" s="55"/>
      <c r="EC93" s="55"/>
      <c r="ED93" s="55"/>
      <c r="EE93" s="55"/>
      <c r="EF93" s="55"/>
      <c r="EG93" s="55"/>
      <c r="EH93" s="55"/>
      <c r="EI93" s="55"/>
      <c r="EJ93" s="55"/>
      <c r="EK93" s="55"/>
      <c r="EL93" s="55"/>
      <c r="EM93" s="55"/>
      <c r="EN93" s="55"/>
      <c r="EO93" s="55"/>
      <c r="EP93" s="55"/>
      <c r="EQ93" s="55"/>
      <c r="ER93" s="55"/>
      <c r="ES93" s="55"/>
      <c r="ET93" s="55"/>
      <c r="EU93" s="55"/>
      <c r="EV93" s="55"/>
      <c r="EW93" s="55"/>
      <c r="EX93" s="55"/>
      <c r="EY93" s="55"/>
      <c r="EZ93" s="55"/>
      <c r="FA93" s="55"/>
      <c r="FB93" s="55"/>
      <c r="FC93" s="55"/>
      <c r="FD93" s="55"/>
      <c r="FE93" s="55"/>
      <c r="FF93" s="55"/>
      <c r="FG93" s="55"/>
      <c r="FH93" s="55"/>
      <c r="FI93" s="55"/>
      <c r="FJ93" s="55"/>
      <c r="FK93" s="55"/>
      <c r="FL93" s="55"/>
      <c r="FM93" s="55"/>
      <c r="FN93" s="55"/>
      <c r="FO93" s="55"/>
      <c r="FP93" s="55"/>
      <c r="FQ93" s="55"/>
      <c r="FR93" s="55"/>
      <c r="FS93" s="55"/>
      <c r="FT93" s="55"/>
      <c r="FU93" s="55"/>
      <c r="FV93" s="55"/>
      <c r="FW93" s="55"/>
      <c r="FX93" s="55"/>
      <c r="FY93" s="55"/>
      <c r="FZ93" s="55"/>
      <c r="GA93" s="55"/>
      <c r="GB93" s="55"/>
      <c r="GC93" s="55"/>
      <c r="GD93" s="55"/>
      <c r="GE93" s="55"/>
      <c r="GF93" s="55"/>
      <c r="GG93" s="55"/>
      <c r="GH93" s="55"/>
      <c r="GI93" s="55"/>
      <c r="GJ93" s="55"/>
      <c r="GK93" s="55"/>
      <c r="GL93" s="55"/>
      <c r="GM93" s="55"/>
      <c r="GN93" s="55"/>
      <c r="GO93" s="55"/>
      <c r="GP93" s="55"/>
      <c r="GQ93" s="55"/>
      <c r="GR93" s="55"/>
      <c r="GS93" s="55"/>
      <c r="GT93" s="55"/>
      <c r="GU93" s="55"/>
      <c r="GV93" s="55"/>
      <c r="GW93" s="55"/>
      <c r="GX93" s="55"/>
      <c r="GY93" s="55"/>
      <c r="GZ93" s="55"/>
      <c r="HA93" s="55"/>
      <c r="HB93" s="55"/>
      <c r="HC93" s="55"/>
      <c r="HD93" s="55"/>
      <c r="HE93" s="55"/>
      <c r="HF93" s="55"/>
      <c r="HG93" s="55"/>
      <c r="HH93" s="55"/>
      <c r="HI93" s="55"/>
      <c r="HJ93" s="55"/>
      <c r="HK93" s="55"/>
      <c r="HL93" s="55"/>
      <c r="HM93" s="55"/>
      <c r="HN93" s="55"/>
      <c r="HO93" s="55"/>
      <c r="HP93" s="55"/>
      <c r="HQ93" s="55"/>
      <c r="HR93" s="55"/>
      <c r="HS93" s="55"/>
      <c r="HT93" s="55"/>
      <c r="HU93" s="55"/>
      <c r="HV93" s="55"/>
      <c r="HW93" s="55"/>
      <c r="HX93" s="55"/>
      <c r="HY93" s="55"/>
      <c r="HZ93" s="55"/>
      <c r="IA93" s="55"/>
      <c r="IB93" s="55"/>
    </row>
    <row r="94" spans="1:237" ht="15" customHeight="1" x14ac:dyDescent="0.2">
      <c r="A94" s="63" t="s">
        <v>348</v>
      </c>
      <c r="B94" s="46" t="s">
        <v>499</v>
      </c>
      <c r="C94" s="45" t="s">
        <v>479</v>
      </c>
      <c r="D94" s="451"/>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c r="AH94" s="55"/>
      <c r="AI94" s="55"/>
      <c r="AJ94" s="55"/>
      <c r="AK94" s="55"/>
      <c r="AL94" s="55"/>
      <c r="AM94" s="55"/>
      <c r="AN94" s="55"/>
      <c r="AO94" s="55"/>
      <c r="AP94" s="55"/>
      <c r="AQ94" s="55"/>
      <c r="AR94" s="55"/>
      <c r="AS94" s="55"/>
      <c r="AT94" s="55"/>
      <c r="AU94" s="55"/>
      <c r="AV94" s="55"/>
      <c r="AW94" s="55"/>
      <c r="AX94" s="55"/>
      <c r="AY94" s="55"/>
      <c r="AZ94" s="55"/>
      <c r="BA94" s="55"/>
      <c r="BB94" s="55"/>
      <c r="BC94" s="55"/>
      <c r="BD94" s="55"/>
      <c r="BE94" s="55"/>
      <c r="BF94" s="55"/>
      <c r="BG94" s="55"/>
      <c r="BH94" s="55"/>
      <c r="BI94" s="55"/>
      <c r="BJ94" s="55"/>
      <c r="BK94" s="55"/>
      <c r="BL94" s="55"/>
      <c r="BM94" s="55"/>
      <c r="BN94" s="55"/>
      <c r="BO94" s="55"/>
      <c r="BP94" s="55"/>
      <c r="BQ94" s="55"/>
      <c r="BR94" s="55"/>
      <c r="BS94" s="55"/>
      <c r="BT94" s="55"/>
      <c r="BU94" s="55"/>
      <c r="BV94" s="55"/>
      <c r="BW94" s="55"/>
      <c r="BX94" s="55"/>
      <c r="BY94" s="55"/>
      <c r="BZ94" s="55"/>
      <c r="CA94" s="55"/>
      <c r="CB94" s="55"/>
      <c r="CC94" s="55"/>
      <c r="CD94" s="55"/>
      <c r="CE94" s="55"/>
      <c r="CF94" s="55"/>
      <c r="CG94" s="55"/>
      <c r="CH94" s="55"/>
      <c r="CI94" s="55"/>
      <c r="CJ94" s="55"/>
      <c r="CK94" s="55"/>
      <c r="CL94" s="55"/>
      <c r="CM94" s="55"/>
      <c r="CN94" s="55"/>
      <c r="CO94" s="55"/>
      <c r="CP94" s="55"/>
      <c r="CQ94" s="55"/>
      <c r="CR94" s="55"/>
      <c r="CS94" s="55"/>
      <c r="CT94" s="55"/>
      <c r="CU94" s="55"/>
      <c r="CV94" s="55"/>
      <c r="CW94" s="55"/>
      <c r="CX94" s="55"/>
      <c r="CY94" s="55"/>
      <c r="CZ94" s="55"/>
      <c r="DA94" s="55"/>
      <c r="DB94" s="55"/>
      <c r="DC94" s="55"/>
      <c r="DD94" s="55"/>
      <c r="DE94" s="55"/>
      <c r="DF94" s="55"/>
      <c r="DG94" s="55"/>
      <c r="DH94" s="55"/>
      <c r="DI94" s="55"/>
      <c r="DJ94" s="55"/>
      <c r="DK94" s="55"/>
      <c r="DL94" s="55"/>
      <c r="DM94" s="55"/>
      <c r="DN94" s="55"/>
      <c r="DO94" s="55"/>
      <c r="DP94" s="55"/>
      <c r="DQ94" s="55"/>
      <c r="DR94" s="55"/>
      <c r="DS94" s="55"/>
      <c r="DT94" s="55"/>
      <c r="DU94" s="55"/>
      <c r="DV94" s="55"/>
      <c r="DW94" s="55"/>
      <c r="DX94" s="55"/>
      <c r="DY94" s="55"/>
      <c r="DZ94" s="55"/>
      <c r="EA94" s="55"/>
      <c r="EB94" s="55"/>
      <c r="EC94" s="55"/>
      <c r="ED94" s="55"/>
      <c r="EE94" s="55"/>
      <c r="EF94" s="55"/>
      <c r="EG94" s="55"/>
      <c r="EH94" s="55"/>
      <c r="EI94" s="55"/>
      <c r="EJ94" s="55"/>
      <c r="EK94" s="55"/>
      <c r="EL94" s="55"/>
      <c r="EM94" s="55"/>
      <c r="EN94" s="55"/>
      <c r="EO94" s="55"/>
      <c r="EP94" s="55"/>
      <c r="EQ94" s="55"/>
      <c r="ER94" s="55"/>
      <c r="ES94" s="55"/>
      <c r="ET94" s="55"/>
      <c r="EU94" s="55"/>
      <c r="EV94" s="55"/>
      <c r="EW94" s="55"/>
      <c r="EX94" s="55"/>
      <c r="EY94" s="55"/>
      <c r="EZ94" s="55"/>
      <c r="FA94" s="55"/>
      <c r="FB94" s="55"/>
      <c r="FC94" s="55"/>
      <c r="FD94" s="55"/>
      <c r="FE94" s="55"/>
      <c r="FF94" s="55"/>
      <c r="FG94" s="55"/>
      <c r="FH94" s="55"/>
      <c r="FI94" s="55"/>
      <c r="FJ94" s="55"/>
      <c r="FK94" s="55"/>
      <c r="FL94" s="55"/>
      <c r="FM94" s="55"/>
      <c r="FN94" s="55"/>
      <c r="FO94" s="55"/>
      <c r="FP94" s="55"/>
      <c r="FQ94" s="55"/>
      <c r="FR94" s="55"/>
      <c r="FS94" s="55"/>
      <c r="FT94" s="55"/>
      <c r="FU94" s="55"/>
      <c r="FV94" s="55"/>
      <c r="FW94" s="55"/>
      <c r="FX94" s="55"/>
      <c r="FY94" s="55"/>
      <c r="FZ94" s="55"/>
      <c r="GA94" s="55"/>
      <c r="GB94" s="55"/>
      <c r="GC94" s="55"/>
      <c r="GD94" s="55"/>
      <c r="GE94" s="55"/>
      <c r="GF94" s="55"/>
      <c r="GG94" s="55"/>
      <c r="GH94" s="55"/>
      <c r="GI94" s="55"/>
      <c r="GJ94" s="55"/>
      <c r="GK94" s="55"/>
      <c r="GL94" s="55"/>
      <c r="GM94" s="55"/>
      <c r="GN94" s="55"/>
      <c r="GO94" s="55"/>
      <c r="GP94" s="55"/>
      <c r="GQ94" s="55"/>
      <c r="GR94" s="55"/>
      <c r="GS94" s="55"/>
      <c r="GT94" s="55"/>
      <c r="GU94" s="55"/>
      <c r="GV94" s="55"/>
      <c r="GW94" s="55"/>
      <c r="GX94" s="55"/>
      <c r="GY94" s="55"/>
      <c r="GZ94" s="55"/>
      <c r="HA94" s="55"/>
      <c r="HB94" s="55"/>
      <c r="HC94" s="55"/>
      <c r="HD94" s="55"/>
      <c r="HE94" s="55"/>
      <c r="HF94" s="55"/>
      <c r="HG94" s="55"/>
      <c r="HH94" s="55"/>
      <c r="HI94" s="55"/>
      <c r="HJ94" s="55"/>
      <c r="HK94" s="55"/>
      <c r="HL94" s="55"/>
      <c r="HM94" s="55"/>
      <c r="HN94" s="55"/>
      <c r="HO94" s="55"/>
      <c r="HP94" s="55"/>
      <c r="HQ94" s="55"/>
      <c r="HR94" s="55"/>
      <c r="HS94" s="55"/>
      <c r="HT94" s="55"/>
      <c r="HU94" s="55"/>
      <c r="HV94" s="55"/>
      <c r="HW94" s="55"/>
      <c r="HX94" s="55"/>
      <c r="HY94" s="55"/>
      <c r="HZ94" s="55"/>
      <c r="IA94" s="55"/>
      <c r="IB94" s="55"/>
    </row>
    <row r="95" spans="1:237" ht="15" customHeight="1" x14ac:dyDescent="0.2">
      <c r="A95" s="63" t="s">
        <v>349</v>
      </c>
      <c r="B95" s="46" t="s">
        <v>231</v>
      </c>
      <c r="C95" s="45" t="s">
        <v>196</v>
      </c>
      <c r="D95" s="451"/>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c r="AH95" s="55"/>
      <c r="AI95" s="55"/>
      <c r="AJ95" s="55"/>
      <c r="AK95" s="55"/>
      <c r="AL95" s="55"/>
      <c r="AM95" s="55"/>
      <c r="AN95" s="55"/>
      <c r="AO95" s="55"/>
      <c r="AP95" s="55"/>
      <c r="AQ95" s="55"/>
      <c r="AR95" s="55"/>
      <c r="AS95" s="55"/>
      <c r="AT95" s="55"/>
      <c r="AU95" s="55"/>
      <c r="AV95" s="55"/>
      <c r="AW95" s="55"/>
      <c r="AX95" s="55"/>
      <c r="AY95" s="55"/>
      <c r="AZ95" s="55"/>
      <c r="BA95" s="55"/>
      <c r="BB95" s="55"/>
      <c r="BC95" s="55"/>
      <c r="BD95" s="55"/>
      <c r="BE95" s="55"/>
      <c r="BF95" s="55"/>
      <c r="BG95" s="55"/>
      <c r="BH95" s="55"/>
      <c r="BI95" s="55"/>
      <c r="BJ95" s="55"/>
      <c r="BK95" s="55"/>
      <c r="BL95" s="55"/>
      <c r="BM95" s="55"/>
      <c r="BN95" s="55"/>
      <c r="BO95" s="55"/>
      <c r="BP95" s="55"/>
      <c r="BQ95" s="55"/>
      <c r="BR95" s="55"/>
      <c r="BS95" s="55"/>
      <c r="BT95" s="55"/>
      <c r="BU95" s="55"/>
      <c r="BV95" s="55"/>
      <c r="BW95" s="55"/>
      <c r="BX95" s="55"/>
      <c r="BY95" s="55"/>
      <c r="BZ95" s="55"/>
      <c r="CA95" s="55"/>
      <c r="CB95" s="55"/>
      <c r="CC95" s="55"/>
      <c r="CD95" s="55"/>
      <c r="CE95" s="55"/>
      <c r="CF95" s="55"/>
      <c r="CG95" s="55"/>
      <c r="CH95" s="55"/>
      <c r="CI95" s="55"/>
      <c r="CJ95" s="55"/>
      <c r="CK95" s="55"/>
      <c r="CL95" s="55"/>
      <c r="CM95" s="55"/>
      <c r="CN95" s="55"/>
      <c r="CO95" s="55"/>
      <c r="CP95" s="55"/>
      <c r="CQ95" s="55"/>
      <c r="CR95" s="55"/>
      <c r="CS95" s="55"/>
      <c r="CT95" s="55"/>
      <c r="CU95" s="55"/>
      <c r="CV95" s="55"/>
      <c r="CW95" s="55"/>
      <c r="CX95" s="55"/>
      <c r="CY95" s="55"/>
      <c r="CZ95" s="55"/>
      <c r="DA95" s="55"/>
      <c r="DB95" s="55"/>
      <c r="DC95" s="55"/>
      <c r="DD95" s="55"/>
      <c r="DE95" s="55"/>
      <c r="DF95" s="55"/>
      <c r="DG95" s="55"/>
      <c r="DH95" s="55"/>
      <c r="DI95" s="55"/>
      <c r="DJ95" s="55"/>
      <c r="DK95" s="55"/>
      <c r="DL95" s="55"/>
      <c r="DM95" s="55"/>
      <c r="DN95" s="55"/>
      <c r="DO95" s="55"/>
      <c r="DP95" s="55"/>
      <c r="DQ95" s="55"/>
      <c r="DR95" s="55"/>
      <c r="DS95" s="55"/>
      <c r="DT95" s="55"/>
      <c r="DU95" s="55"/>
      <c r="DV95" s="55"/>
      <c r="DW95" s="55"/>
      <c r="DX95" s="55"/>
      <c r="DY95" s="55"/>
      <c r="DZ95" s="55"/>
      <c r="EA95" s="55"/>
      <c r="EB95" s="55"/>
      <c r="EC95" s="55"/>
      <c r="ED95" s="55"/>
      <c r="EE95" s="55"/>
      <c r="EF95" s="55"/>
      <c r="EG95" s="55"/>
      <c r="EH95" s="55"/>
      <c r="EI95" s="55"/>
      <c r="EJ95" s="55"/>
      <c r="EK95" s="55"/>
      <c r="EL95" s="55"/>
      <c r="EM95" s="55"/>
      <c r="EN95" s="55"/>
      <c r="EO95" s="55"/>
      <c r="EP95" s="55"/>
      <c r="EQ95" s="55"/>
      <c r="ER95" s="55"/>
      <c r="ES95" s="55"/>
      <c r="ET95" s="55"/>
      <c r="EU95" s="55"/>
      <c r="EV95" s="55"/>
      <c r="EW95" s="55"/>
      <c r="EX95" s="55"/>
      <c r="EY95" s="55"/>
      <c r="EZ95" s="55"/>
      <c r="FA95" s="55"/>
      <c r="FB95" s="55"/>
      <c r="FC95" s="55"/>
      <c r="FD95" s="55"/>
      <c r="FE95" s="55"/>
      <c r="FF95" s="55"/>
      <c r="FG95" s="55"/>
      <c r="FH95" s="55"/>
      <c r="FI95" s="55"/>
      <c r="FJ95" s="55"/>
      <c r="FK95" s="55"/>
      <c r="FL95" s="55"/>
      <c r="FM95" s="55"/>
      <c r="FN95" s="55"/>
      <c r="FO95" s="55"/>
      <c r="FP95" s="55"/>
      <c r="FQ95" s="55"/>
      <c r="FR95" s="55"/>
      <c r="FS95" s="55"/>
      <c r="FT95" s="55"/>
      <c r="FU95" s="55"/>
      <c r="FV95" s="55"/>
      <c r="FW95" s="55"/>
      <c r="FX95" s="55"/>
      <c r="FY95" s="55"/>
      <c r="FZ95" s="55"/>
      <c r="GA95" s="55"/>
      <c r="GB95" s="55"/>
      <c r="GC95" s="55"/>
      <c r="GD95" s="55"/>
      <c r="GE95" s="55"/>
      <c r="GF95" s="55"/>
      <c r="GG95" s="55"/>
      <c r="GH95" s="55"/>
      <c r="GI95" s="55"/>
      <c r="GJ95" s="55"/>
      <c r="GK95" s="55"/>
      <c r="GL95" s="55"/>
      <c r="GM95" s="55"/>
      <c r="GN95" s="55"/>
      <c r="GO95" s="55"/>
      <c r="GP95" s="55"/>
      <c r="GQ95" s="55"/>
      <c r="GR95" s="55"/>
      <c r="GS95" s="55"/>
      <c r="GT95" s="55"/>
      <c r="GU95" s="55"/>
      <c r="GV95" s="55"/>
      <c r="GW95" s="55"/>
      <c r="GX95" s="55"/>
      <c r="GY95" s="55"/>
      <c r="GZ95" s="55"/>
      <c r="HA95" s="55"/>
      <c r="HB95" s="55"/>
      <c r="HC95" s="55"/>
      <c r="HD95" s="55"/>
      <c r="HE95" s="55"/>
      <c r="HF95" s="55"/>
      <c r="HG95" s="55"/>
      <c r="HH95" s="55"/>
      <c r="HI95" s="55"/>
      <c r="HJ95" s="55"/>
      <c r="HK95" s="55"/>
      <c r="HL95" s="55"/>
      <c r="HM95" s="55"/>
      <c r="HN95" s="55"/>
      <c r="HO95" s="55"/>
      <c r="HP95" s="55"/>
      <c r="HQ95" s="55"/>
      <c r="HR95" s="55"/>
      <c r="HS95" s="55"/>
      <c r="HT95" s="55"/>
      <c r="HU95" s="55"/>
      <c r="HV95" s="55"/>
      <c r="HW95" s="55"/>
      <c r="HX95" s="55"/>
      <c r="HY95" s="55"/>
      <c r="HZ95" s="55"/>
      <c r="IA95" s="55"/>
      <c r="IB95" s="55"/>
    </row>
    <row r="96" spans="1:237" ht="15" customHeight="1" x14ac:dyDescent="0.2">
      <c r="A96" s="63" t="s">
        <v>350</v>
      </c>
      <c r="B96" s="44" t="s">
        <v>713</v>
      </c>
      <c r="C96" s="45" t="s">
        <v>196</v>
      </c>
      <c r="D96" s="451"/>
      <c r="E96" s="55"/>
      <c r="F96" s="55"/>
      <c r="G96" s="55"/>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c r="AH96" s="55"/>
      <c r="AI96" s="55"/>
      <c r="AJ96" s="55"/>
      <c r="AK96" s="55"/>
      <c r="AL96" s="55"/>
      <c r="AM96" s="55"/>
      <c r="AN96" s="55"/>
      <c r="AO96" s="55"/>
      <c r="AP96" s="55"/>
      <c r="AQ96" s="55"/>
      <c r="AR96" s="55"/>
      <c r="AS96" s="55"/>
      <c r="AT96" s="55"/>
      <c r="AU96" s="55"/>
      <c r="AV96" s="55"/>
      <c r="AW96" s="55"/>
      <c r="AX96" s="55"/>
      <c r="AY96" s="55"/>
      <c r="AZ96" s="55"/>
      <c r="BA96" s="55"/>
      <c r="BB96" s="55"/>
      <c r="BC96" s="55"/>
      <c r="BD96" s="55"/>
      <c r="BE96" s="55"/>
      <c r="BF96" s="55"/>
      <c r="BG96" s="55"/>
      <c r="BH96" s="55"/>
      <c r="BI96" s="55"/>
      <c r="BJ96" s="55"/>
      <c r="BK96" s="55"/>
      <c r="BL96" s="55"/>
      <c r="BM96" s="55"/>
      <c r="BN96" s="55"/>
      <c r="BO96" s="55"/>
      <c r="BP96" s="55"/>
      <c r="BQ96" s="55"/>
      <c r="BR96" s="55"/>
      <c r="BS96" s="55"/>
      <c r="BT96" s="55"/>
      <c r="BU96" s="55"/>
      <c r="BV96" s="55"/>
      <c r="BW96" s="55"/>
      <c r="BX96" s="55"/>
      <c r="BY96" s="55"/>
      <c r="BZ96" s="55"/>
      <c r="CA96" s="55"/>
      <c r="CB96" s="55"/>
      <c r="CC96" s="55"/>
      <c r="CD96" s="55"/>
      <c r="CE96" s="55"/>
      <c r="CF96" s="55"/>
      <c r="CG96" s="55"/>
      <c r="CH96" s="55"/>
      <c r="CI96" s="55"/>
      <c r="CJ96" s="55"/>
      <c r="CK96" s="55"/>
      <c r="CL96" s="55"/>
      <c r="CM96" s="55"/>
      <c r="CN96" s="55"/>
      <c r="CO96" s="55"/>
      <c r="CP96" s="55"/>
      <c r="CQ96" s="55"/>
      <c r="CR96" s="55"/>
      <c r="CS96" s="55"/>
      <c r="CT96" s="55"/>
      <c r="CU96" s="55"/>
      <c r="CV96" s="55"/>
      <c r="CW96" s="55"/>
      <c r="CX96" s="55"/>
      <c r="CY96" s="55"/>
      <c r="CZ96" s="55"/>
      <c r="DA96" s="55"/>
      <c r="DB96" s="55"/>
      <c r="DC96" s="55"/>
      <c r="DD96" s="55"/>
      <c r="DE96" s="55"/>
      <c r="DF96" s="55"/>
      <c r="DG96" s="55"/>
      <c r="DH96" s="55"/>
      <c r="DI96" s="55"/>
      <c r="DJ96" s="55"/>
      <c r="DK96" s="55"/>
      <c r="DL96" s="55"/>
      <c r="DM96" s="55"/>
      <c r="DN96" s="55"/>
      <c r="DO96" s="55"/>
      <c r="DP96" s="55"/>
      <c r="DQ96" s="55"/>
      <c r="DR96" s="55"/>
      <c r="DS96" s="55"/>
      <c r="DT96" s="55"/>
      <c r="DU96" s="55"/>
      <c r="DV96" s="55"/>
      <c r="DW96" s="55"/>
      <c r="DX96" s="55"/>
      <c r="DY96" s="55"/>
      <c r="DZ96" s="55"/>
      <c r="EA96" s="55"/>
      <c r="EB96" s="55"/>
      <c r="EC96" s="55"/>
      <c r="ED96" s="55"/>
      <c r="EE96" s="55"/>
      <c r="EF96" s="55"/>
      <c r="EG96" s="55"/>
      <c r="EH96" s="55"/>
      <c r="EI96" s="55"/>
      <c r="EJ96" s="55"/>
      <c r="EK96" s="55"/>
      <c r="EL96" s="55"/>
      <c r="EM96" s="55"/>
      <c r="EN96" s="55"/>
      <c r="EO96" s="55"/>
      <c r="EP96" s="55"/>
      <c r="EQ96" s="55"/>
      <c r="ER96" s="55"/>
      <c r="ES96" s="55"/>
      <c r="ET96" s="55"/>
      <c r="EU96" s="55"/>
      <c r="EV96" s="55"/>
      <c r="EW96" s="55"/>
      <c r="EX96" s="55"/>
      <c r="EY96" s="55"/>
      <c r="EZ96" s="55"/>
      <c r="FA96" s="55"/>
      <c r="FB96" s="55"/>
      <c r="FC96" s="55"/>
      <c r="FD96" s="55"/>
      <c r="FE96" s="55"/>
      <c r="FF96" s="55"/>
      <c r="FG96" s="55"/>
      <c r="FH96" s="55"/>
      <c r="FI96" s="55"/>
      <c r="FJ96" s="55"/>
      <c r="FK96" s="55"/>
      <c r="FL96" s="55"/>
      <c r="FM96" s="55"/>
      <c r="FN96" s="55"/>
      <c r="FO96" s="55"/>
      <c r="FP96" s="55"/>
      <c r="FQ96" s="55"/>
      <c r="FR96" s="55"/>
      <c r="FS96" s="55"/>
      <c r="FT96" s="55"/>
      <c r="FU96" s="55"/>
      <c r="FV96" s="55"/>
      <c r="FW96" s="55"/>
      <c r="FX96" s="55"/>
      <c r="FY96" s="55"/>
      <c r="FZ96" s="55"/>
      <c r="GA96" s="55"/>
      <c r="GB96" s="55"/>
      <c r="GC96" s="55"/>
      <c r="GD96" s="55"/>
      <c r="GE96" s="55"/>
      <c r="GF96" s="55"/>
      <c r="GG96" s="55"/>
      <c r="GH96" s="55"/>
      <c r="GI96" s="55"/>
      <c r="GJ96" s="55"/>
      <c r="GK96" s="55"/>
      <c r="GL96" s="55"/>
      <c r="GM96" s="55"/>
      <c r="GN96" s="55"/>
      <c r="GO96" s="55"/>
      <c r="GP96" s="55"/>
      <c r="GQ96" s="55"/>
      <c r="GR96" s="55"/>
      <c r="GS96" s="55"/>
      <c r="GT96" s="55"/>
      <c r="GU96" s="55"/>
      <c r="GV96" s="55"/>
      <c r="GW96" s="55"/>
      <c r="GX96" s="55"/>
      <c r="GY96" s="55"/>
      <c r="GZ96" s="55"/>
      <c r="HA96" s="55"/>
      <c r="HB96" s="55"/>
      <c r="HC96" s="55"/>
      <c r="HD96" s="55"/>
      <c r="HE96" s="55"/>
      <c r="HF96" s="55"/>
      <c r="HG96" s="55"/>
      <c r="HH96" s="55"/>
      <c r="HI96" s="55"/>
      <c r="HJ96" s="55"/>
      <c r="HK96" s="55"/>
      <c r="HL96" s="55"/>
      <c r="HM96" s="55"/>
      <c r="HN96" s="55"/>
      <c r="HO96" s="55"/>
      <c r="HP96" s="55"/>
      <c r="HQ96" s="55"/>
      <c r="HR96" s="55"/>
      <c r="HS96" s="55"/>
      <c r="HT96" s="55"/>
      <c r="HU96" s="55"/>
      <c r="HV96" s="55"/>
      <c r="HW96" s="55"/>
      <c r="HX96" s="55"/>
      <c r="HY96" s="55"/>
      <c r="HZ96" s="55"/>
      <c r="IA96" s="55"/>
      <c r="IB96" s="55"/>
    </row>
    <row r="97" spans="1:236" ht="15" customHeight="1" x14ac:dyDescent="0.2">
      <c r="A97" s="63" t="s">
        <v>351</v>
      </c>
      <c r="B97" s="44" t="s">
        <v>232</v>
      </c>
      <c r="C97" s="45" t="s">
        <v>196</v>
      </c>
      <c r="D97" s="451"/>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c r="AH97" s="55"/>
      <c r="AI97" s="55"/>
      <c r="AJ97" s="55"/>
      <c r="AK97" s="55"/>
      <c r="AL97" s="55"/>
      <c r="AM97" s="55"/>
      <c r="AN97" s="55"/>
      <c r="AO97" s="55"/>
      <c r="AP97" s="55"/>
      <c r="AQ97" s="55"/>
      <c r="AR97" s="55"/>
      <c r="AS97" s="55"/>
      <c r="AT97" s="55"/>
      <c r="AU97" s="55"/>
      <c r="AV97" s="55"/>
      <c r="AW97" s="55"/>
      <c r="AX97" s="55"/>
      <c r="AY97" s="55"/>
      <c r="AZ97" s="55"/>
      <c r="BA97" s="55"/>
      <c r="BB97" s="55"/>
      <c r="BC97" s="55"/>
      <c r="BD97" s="55"/>
      <c r="BE97" s="55"/>
      <c r="BF97" s="55"/>
      <c r="BG97" s="55"/>
      <c r="BH97" s="55"/>
      <c r="BI97" s="55"/>
      <c r="BJ97" s="55"/>
      <c r="BK97" s="55"/>
      <c r="BL97" s="55"/>
      <c r="BM97" s="55"/>
      <c r="BN97" s="55"/>
      <c r="BO97" s="55"/>
      <c r="BP97" s="55"/>
      <c r="BQ97" s="55"/>
      <c r="BR97" s="55"/>
      <c r="BS97" s="55"/>
      <c r="BT97" s="55"/>
      <c r="BU97" s="55"/>
      <c r="BV97" s="55"/>
      <c r="BW97" s="55"/>
      <c r="BX97" s="55"/>
      <c r="BY97" s="55"/>
      <c r="BZ97" s="55"/>
      <c r="CA97" s="55"/>
      <c r="CB97" s="55"/>
      <c r="CC97" s="55"/>
      <c r="CD97" s="55"/>
      <c r="CE97" s="55"/>
      <c r="CF97" s="55"/>
      <c r="CG97" s="55"/>
      <c r="CH97" s="55"/>
      <c r="CI97" s="55"/>
      <c r="CJ97" s="55"/>
      <c r="CK97" s="55"/>
      <c r="CL97" s="55"/>
      <c r="CM97" s="55"/>
      <c r="CN97" s="55"/>
      <c r="CO97" s="55"/>
      <c r="CP97" s="55"/>
      <c r="CQ97" s="55"/>
      <c r="CR97" s="55"/>
      <c r="CS97" s="55"/>
      <c r="CT97" s="55"/>
      <c r="CU97" s="55"/>
      <c r="CV97" s="55"/>
      <c r="CW97" s="55"/>
      <c r="CX97" s="55"/>
      <c r="CY97" s="55"/>
      <c r="CZ97" s="55"/>
      <c r="DA97" s="55"/>
      <c r="DB97" s="55"/>
      <c r="DC97" s="55"/>
      <c r="DD97" s="55"/>
      <c r="DE97" s="55"/>
      <c r="DF97" s="55"/>
      <c r="DG97" s="55"/>
      <c r="DH97" s="55"/>
      <c r="DI97" s="55"/>
      <c r="DJ97" s="55"/>
      <c r="DK97" s="55"/>
      <c r="DL97" s="55"/>
      <c r="DM97" s="55"/>
      <c r="DN97" s="55"/>
      <c r="DO97" s="55"/>
      <c r="DP97" s="55"/>
      <c r="DQ97" s="55"/>
      <c r="DR97" s="55"/>
      <c r="DS97" s="55"/>
      <c r="DT97" s="55"/>
      <c r="DU97" s="55"/>
      <c r="DV97" s="55"/>
      <c r="DW97" s="55"/>
      <c r="DX97" s="55"/>
      <c r="DY97" s="55"/>
      <c r="DZ97" s="55"/>
      <c r="EA97" s="55"/>
      <c r="EB97" s="55"/>
      <c r="EC97" s="55"/>
      <c r="ED97" s="55"/>
      <c r="EE97" s="55"/>
      <c r="EF97" s="55"/>
      <c r="EG97" s="55"/>
      <c r="EH97" s="55"/>
      <c r="EI97" s="55"/>
      <c r="EJ97" s="55"/>
      <c r="EK97" s="55"/>
      <c r="EL97" s="55"/>
      <c r="EM97" s="55"/>
      <c r="EN97" s="55"/>
      <c r="EO97" s="55"/>
      <c r="EP97" s="55"/>
      <c r="EQ97" s="55"/>
      <c r="ER97" s="55"/>
      <c r="ES97" s="55"/>
      <c r="ET97" s="55"/>
      <c r="EU97" s="55"/>
      <c r="EV97" s="55"/>
      <c r="EW97" s="55"/>
      <c r="EX97" s="55"/>
      <c r="EY97" s="55"/>
      <c r="EZ97" s="55"/>
      <c r="FA97" s="55"/>
      <c r="FB97" s="55"/>
      <c r="FC97" s="55"/>
      <c r="FD97" s="55"/>
      <c r="FE97" s="55"/>
      <c r="FF97" s="55"/>
      <c r="FG97" s="55"/>
      <c r="FH97" s="55"/>
      <c r="FI97" s="55"/>
      <c r="FJ97" s="55"/>
      <c r="FK97" s="55"/>
      <c r="FL97" s="55"/>
      <c r="FM97" s="55"/>
      <c r="FN97" s="55"/>
      <c r="FO97" s="55"/>
      <c r="FP97" s="55"/>
      <c r="FQ97" s="55"/>
      <c r="FR97" s="55"/>
      <c r="FS97" s="55"/>
      <c r="FT97" s="55"/>
      <c r="FU97" s="55"/>
      <c r="FV97" s="55"/>
      <c r="FW97" s="55"/>
      <c r="FX97" s="55"/>
      <c r="FY97" s="55"/>
      <c r="FZ97" s="55"/>
      <c r="GA97" s="55"/>
      <c r="GB97" s="55"/>
      <c r="GC97" s="55"/>
      <c r="GD97" s="55"/>
      <c r="GE97" s="55"/>
      <c r="GF97" s="55"/>
      <c r="GG97" s="55"/>
      <c r="GH97" s="55"/>
      <c r="GI97" s="55"/>
      <c r="GJ97" s="55"/>
      <c r="GK97" s="55"/>
      <c r="GL97" s="55"/>
      <c r="GM97" s="55"/>
      <c r="GN97" s="55"/>
      <c r="GO97" s="55"/>
      <c r="GP97" s="55"/>
      <c r="GQ97" s="55"/>
      <c r="GR97" s="55"/>
      <c r="GS97" s="55"/>
      <c r="GT97" s="55"/>
      <c r="GU97" s="55"/>
      <c r="GV97" s="55"/>
      <c r="GW97" s="55"/>
      <c r="GX97" s="55"/>
      <c r="GY97" s="55"/>
      <c r="GZ97" s="55"/>
      <c r="HA97" s="55"/>
      <c r="HB97" s="55"/>
      <c r="HC97" s="55"/>
      <c r="HD97" s="55"/>
      <c r="HE97" s="55"/>
      <c r="HF97" s="55"/>
      <c r="HG97" s="55"/>
      <c r="HH97" s="55"/>
      <c r="HI97" s="55"/>
      <c r="HJ97" s="55"/>
      <c r="HK97" s="55"/>
      <c r="HL97" s="55"/>
      <c r="HM97" s="55"/>
      <c r="HN97" s="55"/>
      <c r="HO97" s="55"/>
      <c r="HP97" s="55"/>
      <c r="HQ97" s="55"/>
      <c r="HR97" s="55"/>
      <c r="HS97" s="55"/>
      <c r="HT97" s="55"/>
      <c r="HU97" s="55"/>
      <c r="HV97" s="55"/>
      <c r="HW97" s="55"/>
      <c r="HX97" s="55"/>
      <c r="HY97" s="55"/>
      <c r="HZ97" s="55"/>
      <c r="IA97" s="55"/>
      <c r="IB97" s="55"/>
    </row>
    <row r="98" spans="1:236" ht="15" customHeight="1" x14ac:dyDescent="0.2">
      <c r="A98" s="63" t="s">
        <v>352</v>
      </c>
      <c r="B98" s="46" t="s">
        <v>233</v>
      </c>
      <c r="C98" s="45" t="s">
        <v>160</v>
      </c>
      <c r="D98" s="451"/>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c r="AH98" s="55"/>
      <c r="AI98" s="55"/>
      <c r="AJ98" s="55"/>
      <c r="AK98" s="55"/>
      <c r="AL98" s="55"/>
      <c r="AM98" s="55"/>
      <c r="AN98" s="55"/>
      <c r="AO98" s="55"/>
      <c r="AP98" s="55"/>
      <c r="AQ98" s="55"/>
      <c r="AR98" s="55"/>
      <c r="AS98" s="55"/>
      <c r="AT98" s="55"/>
      <c r="AU98" s="55"/>
      <c r="AV98" s="55"/>
      <c r="AW98" s="55"/>
      <c r="AX98" s="55"/>
      <c r="AY98" s="55"/>
      <c r="AZ98" s="55"/>
      <c r="BA98" s="55"/>
      <c r="BB98" s="55"/>
      <c r="BC98" s="55"/>
      <c r="BD98" s="55"/>
      <c r="BE98" s="55"/>
      <c r="BF98" s="55"/>
      <c r="BG98" s="55"/>
      <c r="BH98" s="55"/>
      <c r="BI98" s="55"/>
      <c r="BJ98" s="55"/>
      <c r="BK98" s="55"/>
      <c r="BL98" s="55"/>
      <c r="BM98" s="55"/>
      <c r="BN98" s="55"/>
      <c r="BO98" s="55"/>
      <c r="BP98" s="55"/>
      <c r="BQ98" s="55"/>
      <c r="BR98" s="55"/>
      <c r="BS98" s="55"/>
      <c r="BT98" s="55"/>
      <c r="BU98" s="55"/>
      <c r="BV98" s="55"/>
      <c r="BW98" s="55"/>
      <c r="BX98" s="55"/>
      <c r="BY98" s="55"/>
      <c r="BZ98" s="55"/>
      <c r="CA98" s="55"/>
      <c r="CB98" s="55"/>
      <c r="CC98" s="55"/>
      <c r="CD98" s="55"/>
      <c r="CE98" s="55"/>
      <c r="CF98" s="55"/>
      <c r="CG98" s="55"/>
      <c r="CH98" s="55"/>
      <c r="CI98" s="55"/>
      <c r="CJ98" s="55"/>
      <c r="CK98" s="55"/>
      <c r="CL98" s="55"/>
      <c r="CM98" s="55"/>
      <c r="CN98" s="55"/>
      <c r="CO98" s="55"/>
      <c r="CP98" s="55"/>
      <c r="CQ98" s="55"/>
      <c r="CR98" s="55"/>
      <c r="CS98" s="55"/>
      <c r="CT98" s="55"/>
      <c r="CU98" s="55"/>
      <c r="CV98" s="55"/>
      <c r="CW98" s="55"/>
      <c r="CX98" s="55"/>
      <c r="CY98" s="55"/>
      <c r="CZ98" s="55"/>
      <c r="DA98" s="55"/>
      <c r="DB98" s="55"/>
      <c r="DC98" s="55"/>
      <c r="DD98" s="55"/>
      <c r="DE98" s="55"/>
      <c r="DF98" s="55"/>
      <c r="DG98" s="55"/>
      <c r="DH98" s="55"/>
      <c r="DI98" s="55"/>
      <c r="DJ98" s="55"/>
      <c r="DK98" s="55"/>
      <c r="DL98" s="55"/>
      <c r="DM98" s="55"/>
      <c r="DN98" s="55"/>
      <c r="DO98" s="55"/>
      <c r="DP98" s="55"/>
      <c r="DQ98" s="55"/>
      <c r="DR98" s="55"/>
      <c r="DS98" s="55"/>
      <c r="DT98" s="55"/>
      <c r="DU98" s="55"/>
      <c r="DV98" s="55"/>
      <c r="DW98" s="55"/>
      <c r="DX98" s="55"/>
      <c r="DY98" s="55"/>
      <c r="DZ98" s="55"/>
      <c r="EA98" s="55"/>
      <c r="EB98" s="55"/>
      <c r="EC98" s="55"/>
      <c r="ED98" s="55"/>
      <c r="EE98" s="55"/>
      <c r="EF98" s="55"/>
      <c r="EG98" s="55"/>
      <c r="EH98" s="55"/>
      <c r="EI98" s="55"/>
      <c r="EJ98" s="55"/>
      <c r="EK98" s="55"/>
      <c r="EL98" s="55"/>
      <c r="EM98" s="55"/>
      <c r="EN98" s="55"/>
      <c r="EO98" s="55"/>
      <c r="EP98" s="55"/>
      <c r="EQ98" s="55"/>
      <c r="ER98" s="55"/>
      <c r="ES98" s="55"/>
      <c r="ET98" s="55"/>
      <c r="EU98" s="55"/>
      <c r="EV98" s="55"/>
      <c r="EW98" s="55"/>
      <c r="EX98" s="55"/>
      <c r="EY98" s="55"/>
      <c r="EZ98" s="55"/>
      <c r="FA98" s="55"/>
      <c r="FB98" s="55"/>
      <c r="FC98" s="55"/>
      <c r="FD98" s="55"/>
      <c r="FE98" s="55"/>
      <c r="FF98" s="55"/>
      <c r="FG98" s="55"/>
      <c r="FH98" s="55"/>
      <c r="FI98" s="55"/>
      <c r="FJ98" s="55"/>
      <c r="FK98" s="55"/>
      <c r="FL98" s="55"/>
      <c r="FM98" s="55"/>
      <c r="FN98" s="55"/>
      <c r="FO98" s="55"/>
      <c r="FP98" s="55"/>
      <c r="FQ98" s="55"/>
      <c r="FR98" s="55"/>
      <c r="FS98" s="55"/>
      <c r="FT98" s="55"/>
      <c r="FU98" s="55"/>
      <c r="FV98" s="55"/>
      <c r="FW98" s="55"/>
      <c r="FX98" s="55"/>
      <c r="FY98" s="55"/>
      <c r="FZ98" s="55"/>
      <c r="GA98" s="55"/>
      <c r="GB98" s="55"/>
      <c r="GC98" s="55"/>
      <c r="GD98" s="55"/>
      <c r="GE98" s="55"/>
      <c r="GF98" s="55"/>
      <c r="GG98" s="55"/>
      <c r="GH98" s="55"/>
      <c r="GI98" s="55"/>
      <c r="GJ98" s="55"/>
      <c r="GK98" s="55"/>
      <c r="GL98" s="55"/>
      <c r="GM98" s="55"/>
      <c r="GN98" s="55"/>
      <c r="GO98" s="55"/>
      <c r="GP98" s="55"/>
      <c r="GQ98" s="55"/>
      <c r="GR98" s="55"/>
      <c r="GS98" s="55"/>
      <c r="GT98" s="55"/>
      <c r="GU98" s="55"/>
      <c r="GV98" s="55"/>
      <c r="GW98" s="55"/>
      <c r="GX98" s="55"/>
      <c r="GY98" s="55"/>
      <c r="GZ98" s="55"/>
      <c r="HA98" s="55"/>
      <c r="HB98" s="55"/>
      <c r="HC98" s="55"/>
      <c r="HD98" s="55"/>
      <c r="HE98" s="55"/>
      <c r="HF98" s="55"/>
      <c r="HG98" s="55"/>
      <c r="HH98" s="55"/>
      <c r="HI98" s="55"/>
      <c r="HJ98" s="55"/>
      <c r="HK98" s="55"/>
      <c r="HL98" s="55"/>
      <c r="HM98" s="55"/>
      <c r="HN98" s="55"/>
      <c r="HO98" s="55"/>
      <c r="HP98" s="55"/>
      <c r="HQ98" s="55"/>
      <c r="HR98" s="55"/>
      <c r="HS98" s="55"/>
      <c r="HT98" s="55"/>
      <c r="HU98" s="55"/>
      <c r="HV98" s="55"/>
      <c r="HW98" s="55"/>
      <c r="HX98" s="55"/>
      <c r="HY98" s="55"/>
      <c r="HZ98" s="55"/>
      <c r="IA98" s="55"/>
      <c r="IB98" s="55"/>
    </row>
    <row r="99" spans="1:236" ht="15" customHeight="1" x14ac:dyDescent="0.2">
      <c r="A99" s="63" t="s">
        <v>353</v>
      </c>
      <c r="B99" s="46" t="s">
        <v>234</v>
      </c>
      <c r="C99" s="45" t="s">
        <v>257</v>
      </c>
      <c r="D99" s="451"/>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c r="AH99" s="55"/>
      <c r="AI99" s="55"/>
      <c r="AJ99" s="55"/>
      <c r="AK99" s="55"/>
      <c r="AL99" s="55"/>
      <c r="AM99" s="55"/>
      <c r="AN99" s="55"/>
      <c r="AO99" s="55"/>
      <c r="AP99" s="55"/>
      <c r="AQ99" s="55"/>
      <c r="AR99" s="55"/>
      <c r="AS99" s="55"/>
      <c r="AT99" s="55"/>
      <c r="AU99" s="55"/>
      <c r="AV99" s="55"/>
      <c r="AW99" s="55"/>
      <c r="AX99" s="55"/>
      <c r="AY99" s="55"/>
      <c r="AZ99" s="55"/>
      <c r="BA99" s="55"/>
      <c r="BB99" s="55"/>
      <c r="BC99" s="55"/>
      <c r="BD99" s="55"/>
      <c r="BE99" s="55"/>
      <c r="BF99" s="55"/>
      <c r="BG99" s="55"/>
      <c r="BH99" s="55"/>
      <c r="BI99" s="55"/>
      <c r="BJ99" s="55"/>
      <c r="BK99" s="55"/>
      <c r="BL99" s="55"/>
      <c r="BM99" s="55"/>
      <c r="BN99" s="55"/>
      <c r="BO99" s="55"/>
      <c r="BP99" s="55"/>
      <c r="BQ99" s="55"/>
      <c r="BR99" s="55"/>
      <c r="BS99" s="55"/>
      <c r="BT99" s="55"/>
      <c r="BU99" s="55"/>
      <c r="BV99" s="55"/>
      <c r="BW99" s="55"/>
      <c r="BX99" s="55"/>
      <c r="BY99" s="55"/>
      <c r="BZ99" s="55"/>
      <c r="CA99" s="55"/>
      <c r="CB99" s="55"/>
      <c r="CC99" s="55"/>
      <c r="CD99" s="55"/>
      <c r="CE99" s="55"/>
      <c r="CF99" s="55"/>
      <c r="CG99" s="55"/>
      <c r="CH99" s="55"/>
      <c r="CI99" s="55"/>
      <c r="CJ99" s="55"/>
      <c r="CK99" s="55"/>
      <c r="CL99" s="55"/>
      <c r="CM99" s="55"/>
      <c r="CN99" s="55"/>
      <c r="CO99" s="55"/>
      <c r="CP99" s="55"/>
      <c r="CQ99" s="55"/>
      <c r="CR99" s="55"/>
      <c r="CS99" s="55"/>
      <c r="CT99" s="55"/>
      <c r="CU99" s="55"/>
      <c r="CV99" s="55"/>
      <c r="CW99" s="55"/>
      <c r="CX99" s="55"/>
      <c r="CY99" s="55"/>
      <c r="CZ99" s="55"/>
      <c r="DA99" s="55"/>
      <c r="DB99" s="55"/>
      <c r="DC99" s="55"/>
      <c r="DD99" s="55"/>
      <c r="DE99" s="55"/>
      <c r="DF99" s="55"/>
      <c r="DG99" s="55"/>
      <c r="DH99" s="55"/>
      <c r="DI99" s="55"/>
      <c r="DJ99" s="55"/>
      <c r="DK99" s="55"/>
      <c r="DL99" s="55"/>
      <c r="DM99" s="55"/>
      <c r="DN99" s="55"/>
      <c r="DO99" s="55"/>
      <c r="DP99" s="55"/>
      <c r="DQ99" s="55"/>
      <c r="DR99" s="55"/>
      <c r="DS99" s="55"/>
      <c r="DT99" s="55"/>
      <c r="DU99" s="55"/>
      <c r="DV99" s="55"/>
      <c r="DW99" s="55"/>
      <c r="DX99" s="55"/>
      <c r="DY99" s="55"/>
      <c r="DZ99" s="55"/>
      <c r="EA99" s="55"/>
      <c r="EB99" s="55"/>
      <c r="EC99" s="55"/>
      <c r="ED99" s="55"/>
      <c r="EE99" s="55"/>
      <c r="EF99" s="55"/>
      <c r="EG99" s="55"/>
      <c r="EH99" s="55"/>
      <c r="EI99" s="55"/>
      <c r="EJ99" s="55"/>
      <c r="EK99" s="55"/>
      <c r="EL99" s="55"/>
      <c r="EM99" s="55"/>
      <c r="EN99" s="55"/>
      <c r="EO99" s="55"/>
      <c r="EP99" s="55"/>
      <c r="EQ99" s="55"/>
      <c r="ER99" s="55"/>
      <c r="ES99" s="55"/>
      <c r="ET99" s="55"/>
      <c r="EU99" s="55"/>
      <c r="EV99" s="55"/>
      <c r="EW99" s="55"/>
      <c r="EX99" s="55"/>
      <c r="EY99" s="55"/>
      <c r="EZ99" s="55"/>
      <c r="FA99" s="55"/>
      <c r="FB99" s="55"/>
      <c r="FC99" s="55"/>
      <c r="FD99" s="55"/>
      <c r="FE99" s="55"/>
      <c r="FF99" s="55"/>
      <c r="FG99" s="55"/>
      <c r="FH99" s="55"/>
      <c r="FI99" s="55"/>
      <c r="FJ99" s="55"/>
      <c r="FK99" s="55"/>
      <c r="FL99" s="55"/>
      <c r="FM99" s="55"/>
      <c r="FN99" s="55"/>
      <c r="FO99" s="55"/>
      <c r="FP99" s="55"/>
      <c r="FQ99" s="55"/>
      <c r="FR99" s="55"/>
      <c r="FS99" s="55"/>
      <c r="FT99" s="55"/>
      <c r="FU99" s="55"/>
      <c r="FV99" s="55"/>
      <c r="FW99" s="55"/>
      <c r="FX99" s="55"/>
      <c r="FY99" s="55"/>
      <c r="FZ99" s="55"/>
      <c r="GA99" s="55"/>
      <c r="GB99" s="55"/>
      <c r="GC99" s="55"/>
      <c r="GD99" s="55"/>
      <c r="GE99" s="55"/>
      <c r="GF99" s="55"/>
      <c r="GG99" s="55"/>
      <c r="GH99" s="55"/>
      <c r="GI99" s="55"/>
      <c r="GJ99" s="55"/>
      <c r="GK99" s="55"/>
      <c r="GL99" s="55"/>
      <c r="GM99" s="55"/>
      <c r="GN99" s="55"/>
      <c r="GO99" s="55"/>
      <c r="GP99" s="55"/>
      <c r="GQ99" s="55"/>
      <c r="GR99" s="55"/>
      <c r="GS99" s="55"/>
      <c r="GT99" s="55"/>
      <c r="GU99" s="55"/>
      <c r="GV99" s="55"/>
      <c r="GW99" s="55"/>
      <c r="GX99" s="55"/>
      <c r="GY99" s="55"/>
      <c r="GZ99" s="55"/>
      <c r="HA99" s="55"/>
      <c r="HB99" s="55"/>
      <c r="HC99" s="55"/>
      <c r="HD99" s="55"/>
      <c r="HE99" s="55"/>
      <c r="HF99" s="55"/>
      <c r="HG99" s="55"/>
      <c r="HH99" s="55"/>
      <c r="HI99" s="55"/>
      <c r="HJ99" s="55"/>
      <c r="HK99" s="55"/>
      <c r="HL99" s="55"/>
      <c r="HM99" s="55"/>
      <c r="HN99" s="55"/>
      <c r="HO99" s="55"/>
      <c r="HP99" s="55"/>
      <c r="HQ99" s="55"/>
      <c r="HR99" s="55"/>
      <c r="HS99" s="55"/>
      <c r="HT99" s="55"/>
      <c r="HU99" s="55"/>
      <c r="HV99" s="55"/>
      <c r="HW99" s="55"/>
      <c r="HX99" s="55"/>
      <c r="HY99" s="55"/>
      <c r="HZ99" s="55"/>
      <c r="IA99" s="55"/>
      <c r="IB99" s="55"/>
    </row>
    <row r="100" spans="1:236" ht="15" customHeight="1" x14ac:dyDescent="0.2">
      <c r="A100" s="63" t="s">
        <v>354</v>
      </c>
      <c r="B100" s="46" t="s">
        <v>235</v>
      </c>
      <c r="C100" s="45" t="s">
        <v>479</v>
      </c>
      <c r="D100" s="451"/>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c r="AH100" s="55"/>
      <c r="AI100" s="55"/>
      <c r="AJ100" s="55"/>
      <c r="AK100" s="55"/>
      <c r="AL100" s="55"/>
      <c r="AM100" s="55"/>
      <c r="AN100" s="55"/>
      <c r="AO100" s="55"/>
      <c r="AP100" s="55"/>
      <c r="AQ100" s="55"/>
      <c r="AR100" s="55"/>
      <c r="AS100" s="55"/>
      <c r="AT100" s="55"/>
      <c r="AU100" s="55"/>
      <c r="AV100" s="55"/>
      <c r="AW100" s="55"/>
      <c r="AX100" s="55"/>
      <c r="AY100" s="55"/>
      <c r="AZ100" s="55"/>
      <c r="BA100" s="55"/>
      <c r="BB100" s="55"/>
      <c r="BC100" s="55"/>
      <c r="BD100" s="55"/>
      <c r="BE100" s="55"/>
      <c r="BF100" s="55"/>
      <c r="BG100" s="55"/>
      <c r="BH100" s="55"/>
      <c r="BI100" s="55"/>
      <c r="BJ100" s="55"/>
      <c r="BK100" s="55"/>
      <c r="BL100" s="55"/>
      <c r="BM100" s="55"/>
      <c r="BN100" s="55"/>
      <c r="BO100" s="55"/>
      <c r="BP100" s="55"/>
      <c r="BQ100" s="55"/>
      <c r="BR100" s="55"/>
      <c r="BS100" s="55"/>
      <c r="BT100" s="55"/>
      <c r="BU100" s="55"/>
      <c r="BV100" s="55"/>
      <c r="BW100" s="55"/>
      <c r="BX100" s="55"/>
      <c r="BY100" s="55"/>
      <c r="BZ100" s="55"/>
      <c r="CA100" s="55"/>
      <c r="CB100" s="55"/>
      <c r="CC100" s="55"/>
      <c r="CD100" s="55"/>
      <c r="CE100" s="55"/>
      <c r="CF100" s="55"/>
      <c r="CG100" s="55"/>
      <c r="CH100" s="55"/>
      <c r="CI100" s="55"/>
      <c r="CJ100" s="55"/>
      <c r="CK100" s="55"/>
      <c r="CL100" s="55"/>
      <c r="CM100" s="55"/>
      <c r="CN100" s="55"/>
      <c r="CO100" s="55"/>
      <c r="CP100" s="55"/>
      <c r="CQ100" s="55"/>
      <c r="CR100" s="55"/>
      <c r="CS100" s="55"/>
      <c r="CT100" s="55"/>
      <c r="CU100" s="55"/>
      <c r="CV100" s="55"/>
      <c r="CW100" s="55"/>
      <c r="CX100" s="55"/>
      <c r="CY100" s="55"/>
      <c r="CZ100" s="55"/>
      <c r="DA100" s="55"/>
      <c r="DB100" s="55"/>
      <c r="DC100" s="55"/>
      <c r="DD100" s="55"/>
      <c r="DE100" s="55"/>
      <c r="DF100" s="55"/>
      <c r="DG100" s="55"/>
      <c r="DH100" s="55"/>
      <c r="DI100" s="55"/>
      <c r="DJ100" s="55"/>
      <c r="DK100" s="55"/>
      <c r="DL100" s="55"/>
      <c r="DM100" s="55"/>
      <c r="DN100" s="55"/>
      <c r="DO100" s="55"/>
      <c r="DP100" s="55"/>
      <c r="DQ100" s="55"/>
      <c r="DR100" s="55"/>
      <c r="DS100" s="55"/>
      <c r="DT100" s="55"/>
      <c r="DU100" s="55"/>
      <c r="DV100" s="55"/>
      <c r="DW100" s="55"/>
      <c r="DX100" s="55"/>
      <c r="DY100" s="55"/>
      <c r="DZ100" s="55"/>
      <c r="EA100" s="55"/>
      <c r="EB100" s="55"/>
      <c r="EC100" s="55"/>
      <c r="ED100" s="55"/>
      <c r="EE100" s="55"/>
      <c r="EF100" s="55"/>
      <c r="EG100" s="55"/>
      <c r="EH100" s="55"/>
      <c r="EI100" s="55"/>
      <c r="EJ100" s="55"/>
      <c r="EK100" s="55"/>
      <c r="EL100" s="55"/>
      <c r="EM100" s="55"/>
      <c r="EN100" s="55"/>
      <c r="EO100" s="55"/>
      <c r="EP100" s="55"/>
      <c r="EQ100" s="55"/>
      <c r="ER100" s="55"/>
      <c r="ES100" s="55"/>
      <c r="ET100" s="55"/>
      <c r="EU100" s="55"/>
      <c r="EV100" s="55"/>
      <c r="EW100" s="55"/>
      <c r="EX100" s="55"/>
      <c r="EY100" s="55"/>
      <c r="EZ100" s="55"/>
      <c r="FA100" s="55"/>
      <c r="FB100" s="55"/>
      <c r="FC100" s="55"/>
      <c r="FD100" s="55"/>
      <c r="FE100" s="55"/>
      <c r="FF100" s="55"/>
      <c r="FG100" s="55"/>
      <c r="FH100" s="55"/>
      <c r="FI100" s="55"/>
      <c r="FJ100" s="55"/>
      <c r="FK100" s="55"/>
      <c r="FL100" s="55"/>
      <c r="FM100" s="55"/>
      <c r="FN100" s="55"/>
      <c r="FO100" s="55"/>
      <c r="FP100" s="55"/>
      <c r="FQ100" s="55"/>
      <c r="FR100" s="55"/>
      <c r="FS100" s="55"/>
      <c r="FT100" s="55"/>
      <c r="FU100" s="55"/>
      <c r="FV100" s="55"/>
      <c r="FW100" s="55"/>
      <c r="FX100" s="55"/>
      <c r="FY100" s="55"/>
      <c r="FZ100" s="55"/>
      <c r="GA100" s="55"/>
      <c r="GB100" s="55"/>
      <c r="GC100" s="55"/>
      <c r="GD100" s="55"/>
      <c r="GE100" s="55"/>
      <c r="GF100" s="55"/>
      <c r="GG100" s="55"/>
      <c r="GH100" s="55"/>
      <c r="GI100" s="55"/>
      <c r="GJ100" s="55"/>
      <c r="GK100" s="55"/>
      <c r="GL100" s="55"/>
      <c r="GM100" s="55"/>
      <c r="GN100" s="55"/>
      <c r="GO100" s="55"/>
      <c r="GP100" s="55"/>
      <c r="GQ100" s="55"/>
      <c r="GR100" s="55"/>
      <c r="GS100" s="55"/>
      <c r="GT100" s="55"/>
      <c r="GU100" s="55"/>
      <c r="GV100" s="55"/>
      <c r="GW100" s="55"/>
      <c r="GX100" s="55"/>
      <c r="GY100" s="55"/>
      <c r="GZ100" s="55"/>
      <c r="HA100" s="55"/>
      <c r="HB100" s="55"/>
      <c r="HC100" s="55"/>
      <c r="HD100" s="55"/>
      <c r="HE100" s="55"/>
      <c r="HF100" s="55"/>
      <c r="HG100" s="55"/>
      <c r="HH100" s="55"/>
      <c r="HI100" s="55"/>
      <c r="HJ100" s="55"/>
      <c r="HK100" s="55"/>
      <c r="HL100" s="55"/>
      <c r="HM100" s="55"/>
      <c r="HN100" s="55"/>
      <c r="HO100" s="55"/>
      <c r="HP100" s="55"/>
      <c r="HQ100" s="55"/>
      <c r="HR100" s="55"/>
      <c r="HS100" s="55"/>
      <c r="HT100" s="55"/>
      <c r="HU100" s="55"/>
      <c r="HV100" s="55"/>
      <c r="HW100" s="55"/>
      <c r="HX100" s="55"/>
      <c r="HY100" s="55"/>
      <c r="HZ100" s="55"/>
      <c r="IA100" s="55"/>
      <c r="IB100" s="55"/>
    </row>
    <row r="101" spans="1:236" ht="15" customHeight="1" x14ac:dyDescent="0.2">
      <c r="A101" s="63" t="s">
        <v>355</v>
      </c>
      <c r="B101" s="44" t="s">
        <v>236</v>
      </c>
      <c r="C101" s="45" t="s">
        <v>196</v>
      </c>
      <c r="D101" s="451"/>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c r="AH101" s="55"/>
      <c r="AI101" s="55"/>
      <c r="AJ101" s="55"/>
      <c r="AK101" s="55"/>
      <c r="AL101" s="55"/>
      <c r="AM101" s="55"/>
      <c r="AN101" s="55"/>
      <c r="AO101" s="55"/>
      <c r="AP101" s="55"/>
      <c r="AQ101" s="55"/>
      <c r="AR101" s="55"/>
      <c r="AS101" s="55"/>
      <c r="AT101" s="55"/>
      <c r="AU101" s="55"/>
      <c r="AV101" s="55"/>
      <c r="AW101" s="55"/>
      <c r="AX101" s="55"/>
      <c r="AY101" s="55"/>
      <c r="AZ101" s="55"/>
      <c r="BA101" s="55"/>
      <c r="BB101" s="55"/>
      <c r="BC101" s="55"/>
      <c r="BD101" s="55"/>
      <c r="BE101" s="55"/>
      <c r="BF101" s="55"/>
      <c r="BG101" s="55"/>
      <c r="BH101" s="55"/>
      <c r="BI101" s="55"/>
      <c r="BJ101" s="55"/>
      <c r="BK101" s="55"/>
      <c r="BL101" s="55"/>
      <c r="BM101" s="55"/>
      <c r="BN101" s="55"/>
      <c r="BO101" s="55"/>
      <c r="BP101" s="55"/>
      <c r="BQ101" s="55"/>
      <c r="BR101" s="55"/>
      <c r="BS101" s="55"/>
      <c r="BT101" s="55"/>
      <c r="BU101" s="55"/>
      <c r="BV101" s="55"/>
      <c r="BW101" s="55"/>
      <c r="BX101" s="55"/>
      <c r="BY101" s="55"/>
      <c r="BZ101" s="55"/>
      <c r="CA101" s="55"/>
      <c r="CB101" s="55"/>
      <c r="CC101" s="55"/>
      <c r="CD101" s="55"/>
      <c r="CE101" s="55"/>
      <c r="CF101" s="55"/>
      <c r="CG101" s="55"/>
      <c r="CH101" s="55"/>
      <c r="CI101" s="55"/>
      <c r="CJ101" s="55"/>
      <c r="CK101" s="55"/>
      <c r="CL101" s="55"/>
      <c r="CM101" s="55"/>
      <c r="CN101" s="55"/>
      <c r="CO101" s="55"/>
      <c r="CP101" s="55"/>
      <c r="CQ101" s="55"/>
      <c r="CR101" s="55"/>
      <c r="CS101" s="55"/>
      <c r="CT101" s="55"/>
      <c r="CU101" s="55"/>
      <c r="CV101" s="55"/>
      <c r="CW101" s="55"/>
      <c r="CX101" s="55"/>
      <c r="CY101" s="55"/>
      <c r="CZ101" s="55"/>
      <c r="DA101" s="55"/>
      <c r="DB101" s="55"/>
      <c r="DC101" s="55"/>
      <c r="DD101" s="55"/>
      <c r="DE101" s="55"/>
      <c r="DF101" s="55"/>
      <c r="DG101" s="55"/>
      <c r="DH101" s="55"/>
      <c r="DI101" s="55"/>
      <c r="DJ101" s="55"/>
      <c r="DK101" s="55"/>
      <c r="DL101" s="55"/>
      <c r="DM101" s="55"/>
      <c r="DN101" s="55"/>
      <c r="DO101" s="55"/>
      <c r="DP101" s="55"/>
      <c r="DQ101" s="55"/>
      <c r="DR101" s="55"/>
      <c r="DS101" s="55"/>
      <c r="DT101" s="55"/>
      <c r="DU101" s="55"/>
      <c r="DV101" s="55"/>
      <c r="DW101" s="55"/>
      <c r="DX101" s="55"/>
      <c r="DY101" s="55"/>
      <c r="DZ101" s="55"/>
      <c r="EA101" s="55"/>
      <c r="EB101" s="55"/>
      <c r="EC101" s="55"/>
      <c r="ED101" s="55"/>
      <c r="EE101" s="55"/>
      <c r="EF101" s="55"/>
      <c r="EG101" s="55"/>
      <c r="EH101" s="55"/>
      <c r="EI101" s="55"/>
      <c r="EJ101" s="55"/>
      <c r="EK101" s="55"/>
      <c r="EL101" s="55"/>
      <c r="EM101" s="55"/>
      <c r="EN101" s="55"/>
      <c r="EO101" s="55"/>
      <c r="EP101" s="55"/>
      <c r="EQ101" s="55"/>
      <c r="ER101" s="55"/>
      <c r="ES101" s="55"/>
      <c r="ET101" s="55"/>
      <c r="EU101" s="55"/>
      <c r="EV101" s="55"/>
      <c r="EW101" s="55"/>
      <c r="EX101" s="55"/>
      <c r="EY101" s="55"/>
      <c r="EZ101" s="55"/>
      <c r="FA101" s="55"/>
      <c r="FB101" s="55"/>
      <c r="FC101" s="55"/>
      <c r="FD101" s="55"/>
      <c r="FE101" s="55"/>
      <c r="FF101" s="55"/>
      <c r="FG101" s="55"/>
      <c r="FH101" s="55"/>
      <c r="FI101" s="55"/>
      <c r="FJ101" s="55"/>
      <c r="FK101" s="55"/>
      <c r="FL101" s="55"/>
      <c r="FM101" s="55"/>
      <c r="FN101" s="55"/>
      <c r="FO101" s="55"/>
      <c r="FP101" s="55"/>
      <c r="FQ101" s="55"/>
      <c r="FR101" s="55"/>
      <c r="FS101" s="55"/>
      <c r="FT101" s="55"/>
      <c r="FU101" s="55"/>
      <c r="FV101" s="55"/>
      <c r="FW101" s="55"/>
      <c r="FX101" s="55"/>
      <c r="FY101" s="55"/>
      <c r="FZ101" s="55"/>
      <c r="GA101" s="55"/>
      <c r="GB101" s="55"/>
      <c r="GC101" s="55"/>
      <c r="GD101" s="55"/>
      <c r="GE101" s="55"/>
      <c r="GF101" s="55"/>
      <c r="GG101" s="55"/>
      <c r="GH101" s="55"/>
      <c r="GI101" s="55"/>
      <c r="GJ101" s="55"/>
      <c r="GK101" s="55"/>
      <c r="GL101" s="55"/>
      <c r="GM101" s="55"/>
      <c r="GN101" s="55"/>
      <c r="GO101" s="55"/>
      <c r="GP101" s="55"/>
      <c r="GQ101" s="55"/>
      <c r="GR101" s="55"/>
      <c r="GS101" s="55"/>
      <c r="GT101" s="55"/>
      <c r="GU101" s="55"/>
      <c r="GV101" s="55"/>
      <c r="GW101" s="55"/>
      <c r="GX101" s="55"/>
      <c r="GY101" s="55"/>
      <c r="GZ101" s="55"/>
      <c r="HA101" s="55"/>
      <c r="HB101" s="55"/>
      <c r="HC101" s="55"/>
      <c r="HD101" s="55"/>
      <c r="HE101" s="55"/>
      <c r="HF101" s="55"/>
      <c r="HG101" s="55"/>
      <c r="HH101" s="55"/>
      <c r="HI101" s="55"/>
      <c r="HJ101" s="55"/>
      <c r="HK101" s="55"/>
      <c r="HL101" s="55"/>
      <c r="HM101" s="55"/>
      <c r="HN101" s="55"/>
      <c r="HO101" s="55"/>
      <c r="HP101" s="55"/>
      <c r="HQ101" s="55"/>
      <c r="HR101" s="55"/>
      <c r="HS101" s="55"/>
      <c r="HT101" s="55"/>
      <c r="HU101" s="55"/>
      <c r="HV101" s="55"/>
      <c r="HW101" s="55"/>
      <c r="HX101" s="55"/>
      <c r="HY101" s="55"/>
      <c r="HZ101" s="55"/>
      <c r="IA101" s="55"/>
      <c r="IB101" s="55"/>
    </row>
    <row r="102" spans="1:236" ht="15" customHeight="1" x14ac:dyDescent="0.2">
      <c r="A102" s="63" t="s">
        <v>356</v>
      </c>
      <c r="B102" s="44" t="s">
        <v>237</v>
      </c>
      <c r="C102" s="45" t="s">
        <v>197</v>
      </c>
      <c r="D102" s="451"/>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c r="AH102" s="55"/>
      <c r="AI102" s="55"/>
      <c r="AJ102" s="55"/>
      <c r="AK102" s="55"/>
      <c r="AL102" s="55"/>
      <c r="AM102" s="55"/>
      <c r="AN102" s="55"/>
      <c r="AO102" s="55"/>
      <c r="AP102" s="55"/>
      <c r="AQ102" s="55"/>
      <c r="AR102" s="55"/>
      <c r="AS102" s="55"/>
      <c r="AT102" s="55"/>
      <c r="AU102" s="55"/>
      <c r="AV102" s="55"/>
      <c r="AW102" s="55"/>
      <c r="AX102" s="55"/>
      <c r="AY102" s="55"/>
      <c r="AZ102" s="55"/>
      <c r="BA102" s="55"/>
      <c r="BB102" s="55"/>
      <c r="BC102" s="55"/>
      <c r="BD102" s="55"/>
      <c r="BE102" s="55"/>
      <c r="BF102" s="55"/>
      <c r="BG102" s="55"/>
      <c r="BH102" s="55"/>
      <c r="BI102" s="55"/>
      <c r="BJ102" s="55"/>
      <c r="BK102" s="55"/>
      <c r="BL102" s="55"/>
      <c r="BM102" s="55"/>
      <c r="BN102" s="55"/>
      <c r="BO102" s="55"/>
      <c r="BP102" s="55"/>
      <c r="BQ102" s="55"/>
      <c r="BR102" s="55"/>
      <c r="BS102" s="55"/>
      <c r="BT102" s="55"/>
      <c r="BU102" s="55"/>
      <c r="BV102" s="55"/>
      <c r="BW102" s="55"/>
      <c r="BX102" s="55"/>
      <c r="BY102" s="55"/>
      <c r="BZ102" s="55"/>
      <c r="CA102" s="55"/>
      <c r="CB102" s="55"/>
      <c r="CC102" s="55"/>
      <c r="CD102" s="55"/>
      <c r="CE102" s="55"/>
      <c r="CF102" s="55"/>
      <c r="CG102" s="55"/>
      <c r="CH102" s="55"/>
      <c r="CI102" s="55"/>
      <c r="CJ102" s="55"/>
      <c r="CK102" s="55"/>
      <c r="CL102" s="55"/>
      <c r="CM102" s="55"/>
      <c r="CN102" s="55"/>
      <c r="CO102" s="55"/>
      <c r="CP102" s="55"/>
      <c r="CQ102" s="55"/>
      <c r="CR102" s="55"/>
      <c r="CS102" s="55"/>
      <c r="CT102" s="55"/>
      <c r="CU102" s="55"/>
      <c r="CV102" s="55"/>
      <c r="CW102" s="55"/>
      <c r="CX102" s="55"/>
      <c r="CY102" s="55"/>
      <c r="CZ102" s="55"/>
      <c r="DA102" s="55"/>
      <c r="DB102" s="55"/>
      <c r="DC102" s="55"/>
      <c r="DD102" s="55"/>
      <c r="DE102" s="55"/>
      <c r="DF102" s="55"/>
      <c r="DG102" s="55"/>
      <c r="DH102" s="55"/>
      <c r="DI102" s="55"/>
      <c r="DJ102" s="55"/>
      <c r="DK102" s="55"/>
      <c r="DL102" s="55"/>
      <c r="DM102" s="55"/>
      <c r="DN102" s="55"/>
      <c r="DO102" s="55"/>
      <c r="DP102" s="55"/>
      <c r="DQ102" s="55"/>
      <c r="DR102" s="55"/>
      <c r="DS102" s="55"/>
      <c r="DT102" s="55"/>
      <c r="DU102" s="55"/>
      <c r="DV102" s="55"/>
      <c r="DW102" s="55"/>
      <c r="DX102" s="55"/>
      <c r="DY102" s="55"/>
      <c r="DZ102" s="55"/>
      <c r="EA102" s="55"/>
      <c r="EB102" s="55"/>
      <c r="EC102" s="55"/>
      <c r="ED102" s="55"/>
      <c r="EE102" s="55"/>
      <c r="EF102" s="55"/>
      <c r="EG102" s="55"/>
      <c r="EH102" s="55"/>
      <c r="EI102" s="55"/>
      <c r="EJ102" s="55"/>
      <c r="EK102" s="55"/>
      <c r="EL102" s="55"/>
      <c r="EM102" s="55"/>
      <c r="EN102" s="55"/>
      <c r="EO102" s="55"/>
      <c r="EP102" s="55"/>
      <c r="EQ102" s="55"/>
      <c r="ER102" s="55"/>
      <c r="ES102" s="55"/>
      <c r="ET102" s="55"/>
      <c r="EU102" s="55"/>
      <c r="EV102" s="55"/>
      <c r="EW102" s="55"/>
      <c r="EX102" s="55"/>
      <c r="EY102" s="55"/>
      <c r="EZ102" s="55"/>
      <c r="FA102" s="55"/>
      <c r="FB102" s="55"/>
      <c r="FC102" s="55"/>
      <c r="FD102" s="55"/>
      <c r="FE102" s="55"/>
      <c r="FF102" s="55"/>
      <c r="FG102" s="55"/>
      <c r="FH102" s="55"/>
      <c r="FI102" s="55"/>
      <c r="FJ102" s="55"/>
      <c r="FK102" s="55"/>
      <c r="FL102" s="55"/>
      <c r="FM102" s="55"/>
      <c r="FN102" s="55"/>
      <c r="FO102" s="55"/>
      <c r="FP102" s="55"/>
      <c r="FQ102" s="55"/>
      <c r="FR102" s="55"/>
      <c r="FS102" s="55"/>
      <c r="FT102" s="55"/>
      <c r="FU102" s="55"/>
      <c r="FV102" s="55"/>
      <c r="FW102" s="55"/>
      <c r="FX102" s="55"/>
      <c r="FY102" s="55"/>
      <c r="FZ102" s="55"/>
      <c r="GA102" s="55"/>
      <c r="GB102" s="55"/>
      <c r="GC102" s="55"/>
      <c r="GD102" s="55"/>
      <c r="GE102" s="55"/>
      <c r="GF102" s="55"/>
      <c r="GG102" s="55"/>
      <c r="GH102" s="55"/>
      <c r="GI102" s="55"/>
      <c r="GJ102" s="55"/>
      <c r="GK102" s="55"/>
      <c r="GL102" s="55"/>
      <c r="GM102" s="55"/>
      <c r="GN102" s="55"/>
      <c r="GO102" s="55"/>
      <c r="GP102" s="55"/>
      <c r="GQ102" s="55"/>
      <c r="GR102" s="55"/>
      <c r="GS102" s="55"/>
      <c r="GT102" s="55"/>
      <c r="GU102" s="55"/>
      <c r="GV102" s="55"/>
      <c r="GW102" s="55"/>
      <c r="GX102" s="55"/>
      <c r="GY102" s="55"/>
      <c r="GZ102" s="55"/>
      <c r="HA102" s="55"/>
      <c r="HB102" s="55"/>
      <c r="HC102" s="55"/>
      <c r="HD102" s="55"/>
      <c r="HE102" s="55"/>
      <c r="HF102" s="55"/>
      <c r="HG102" s="55"/>
      <c r="HH102" s="55"/>
      <c r="HI102" s="55"/>
      <c r="HJ102" s="55"/>
      <c r="HK102" s="55"/>
      <c r="HL102" s="55"/>
      <c r="HM102" s="55"/>
      <c r="HN102" s="55"/>
      <c r="HO102" s="55"/>
      <c r="HP102" s="55"/>
      <c r="HQ102" s="55"/>
      <c r="HR102" s="55"/>
      <c r="HS102" s="55"/>
      <c r="HT102" s="55"/>
      <c r="HU102" s="55"/>
      <c r="HV102" s="55"/>
      <c r="HW102" s="55"/>
      <c r="HX102" s="55"/>
      <c r="HY102" s="55"/>
      <c r="HZ102" s="55"/>
      <c r="IA102" s="55"/>
      <c r="IB102" s="55"/>
    </row>
    <row r="103" spans="1:236" ht="15" customHeight="1" x14ac:dyDescent="0.2">
      <c r="A103" s="63" t="s">
        <v>357</v>
      </c>
      <c r="B103" s="44" t="s">
        <v>568</v>
      </c>
      <c r="C103" s="45" t="s">
        <v>254</v>
      </c>
      <c r="D103" s="451"/>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c r="AH103" s="55"/>
      <c r="AI103" s="55"/>
      <c r="AJ103" s="55"/>
      <c r="AK103" s="55"/>
      <c r="AL103" s="55"/>
      <c r="AM103" s="55"/>
      <c r="AN103" s="55"/>
      <c r="AO103" s="55"/>
      <c r="AP103" s="55"/>
      <c r="AQ103" s="55"/>
      <c r="AR103" s="55"/>
      <c r="AS103" s="55"/>
      <c r="AT103" s="55"/>
      <c r="AU103" s="55"/>
      <c r="AV103" s="55"/>
      <c r="AW103" s="55"/>
      <c r="AX103" s="55"/>
      <c r="AY103" s="55"/>
      <c r="AZ103" s="55"/>
      <c r="BA103" s="55"/>
      <c r="BB103" s="55"/>
      <c r="BC103" s="55"/>
      <c r="BD103" s="55"/>
      <c r="BE103" s="55"/>
      <c r="BF103" s="55"/>
      <c r="BG103" s="55"/>
      <c r="BH103" s="55"/>
      <c r="BI103" s="55"/>
      <c r="BJ103" s="55"/>
      <c r="BK103" s="55"/>
      <c r="BL103" s="55"/>
      <c r="BM103" s="55"/>
      <c r="BN103" s="55"/>
      <c r="BO103" s="55"/>
      <c r="BP103" s="55"/>
      <c r="BQ103" s="55"/>
      <c r="BR103" s="55"/>
      <c r="BS103" s="55"/>
      <c r="BT103" s="55"/>
      <c r="BU103" s="55"/>
      <c r="BV103" s="55"/>
      <c r="BW103" s="55"/>
      <c r="BX103" s="55"/>
      <c r="BY103" s="55"/>
      <c r="BZ103" s="55"/>
      <c r="CA103" s="55"/>
      <c r="CB103" s="55"/>
      <c r="CC103" s="55"/>
      <c r="CD103" s="55"/>
      <c r="CE103" s="55"/>
      <c r="CF103" s="55"/>
      <c r="CG103" s="55"/>
      <c r="CH103" s="55"/>
      <c r="CI103" s="55"/>
      <c r="CJ103" s="55"/>
      <c r="CK103" s="55"/>
      <c r="CL103" s="55"/>
      <c r="CM103" s="55"/>
      <c r="CN103" s="55"/>
      <c r="CO103" s="55"/>
      <c r="CP103" s="55"/>
      <c r="CQ103" s="55"/>
      <c r="CR103" s="55"/>
      <c r="CS103" s="55"/>
      <c r="CT103" s="55"/>
      <c r="CU103" s="55"/>
      <c r="CV103" s="55"/>
      <c r="CW103" s="55"/>
      <c r="CX103" s="55"/>
      <c r="CY103" s="55"/>
      <c r="CZ103" s="55"/>
      <c r="DA103" s="55"/>
      <c r="DB103" s="55"/>
      <c r="DC103" s="55"/>
      <c r="DD103" s="55"/>
      <c r="DE103" s="55"/>
      <c r="DF103" s="55"/>
      <c r="DG103" s="55"/>
      <c r="DH103" s="55"/>
      <c r="DI103" s="55"/>
      <c r="DJ103" s="55"/>
      <c r="DK103" s="55"/>
      <c r="DL103" s="55"/>
      <c r="DM103" s="55"/>
      <c r="DN103" s="55"/>
      <c r="DO103" s="55"/>
      <c r="DP103" s="55"/>
      <c r="DQ103" s="55"/>
      <c r="DR103" s="55"/>
      <c r="DS103" s="55"/>
      <c r="DT103" s="55"/>
      <c r="DU103" s="55"/>
      <c r="DV103" s="55"/>
      <c r="DW103" s="55"/>
      <c r="DX103" s="55"/>
      <c r="DY103" s="55"/>
      <c r="DZ103" s="55"/>
      <c r="EA103" s="55"/>
      <c r="EB103" s="55"/>
      <c r="EC103" s="55"/>
      <c r="ED103" s="55"/>
      <c r="EE103" s="55"/>
      <c r="EF103" s="55"/>
      <c r="EG103" s="55"/>
      <c r="EH103" s="55"/>
      <c r="EI103" s="55"/>
      <c r="EJ103" s="55"/>
      <c r="EK103" s="55"/>
      <c r="EL103" s="55"/>
      <c r="EM103" s="55"/>
      <c r="EN103" s="55"/>
      <c r="EO103" s="55"/>
      <c r="EP103" s="55"/>
      <c r="EQ103" s="55"/>
      <c r="ER103" s="55"/>
      <c r="ES103" s="55"/>
      <c r="ET103" s="55"/>
      <c r="EU103" s="55"/>
      <c r="EV103" s="55"/>
      <c r="EW103" s="55"/>
      <c r="EX103" s="55"/>
      <c r="EY103" s="55"/>
      <c r="EZ103" s="55"/>
      <c r="FA103" s="55"/>
      <c r="FB103" s="55"/>
      <c r="FC103" s="55"/>
      <c r="FD103" s="55"/>
      <c r="FE103" s="55"/>
      <c r="FF103" s="55"/>
      <c r="FG103" s="55"/>
      <c r="FH103" s="55"/>
      <c r="FI103" s="55"/>
      <c r="FJ103" s="55"/>
      <c r="FK103" s="55"/>
      <c r="FL103" s="55"/>
      <c r="FM103" s="55"/>
      <c r="FN103" s="55"/>
      <c r="FO103" s="55"/>
      <c r="FP103" s="55"/>
      <c r="FQ103" s="55"/>
      <c r="FR103" s="55"/>
      <c r="FS103" s="55"/>
      <c r="FT103" s="55"/>
      <c r="FU103" s="55"/>
      <c r="FV103" s="55"/>
      <c r="FW103" s="55"/>
      <c r="FX103" s="55"/>
      <c r="FY103" s="55"/>
      <c r="FZ103" s="55"/>
      <c r="GA103" s="55"/>
      <c r="GB103" s="55"/>
      <c r="GC103" s="55"/>
      <c r="GD103" s="55"/>
      <c r="GE103" s="55"/>
      <c r="GF103" s="55"/>
      <c r="GG103" s="55"/>
      <c r="GH103" s="55"/>
      <c r="GI103" s="55"/>
      <c r="GJ103" s="55"/>
      <c r="GK103" s="55"/>
      <c r="GL103" s="55"/>
      <c r="GM103" s="55"/>
      <c r="GN103" s="55"/>
      <c r="GO103" s="55"/>
      <c r="GP103" s="55"/>
      <c r="GQ103" s="55"/>
      <c r="GR103" s="55"/>
      <c r="GS103" s="55"/>
      <c r="GT103" s="55"/>
      <c r="GU103" s="55"/>
      <c r="GV103" s="55"/>
      <c r="GW103" s="55"/>
      <c r="GX103" s="55"/>
      <c r="GY103" s="55"/>
      <c r="GZ103" s="55"/>
      <c r="HA103" s="55"/>
      <c r="HB103" s="55"/>
      <c r="HC103" s="55"/>
      <c r="HD103" s="55"/>
      <c r="HE103" s="55"/>
      <c r="HF103" s="55"/>
      <c r="HG103" s="55"/>
      <c r="HH103" s="55"/>
      <c r="HI103" s="55"/>
      <c r="HJ103" s="55"/>
      <c r="HK103" s="55"/>
      <c r="HL103" s="55"/>
      <c r="HM103" s="55"/>
      <c r="HN103" s="55"/>
      <c r="HO103" s="55"/>
      <c r="HP103" s="55"/>
      <c r="HQ103" s="55"/>
      <c r="HR103" s="55"/>
      <c r="HS103" s="55"/>
      <c r="HT103" s="55"/>
      <c r="HU103" s="55"/>
      <c r="HV103" s="55"/>
      <c r="HW103" s="55"/>
      <c r="HX103" s="55"/>
      <c r="HY103" s="55"/>
      <c r="HZ103" s="55"/>
      <c r="IA103" s="55"/>
      <c r="IB103" s="55"/>
    </row>
    <row r="104" spans="1:236" ht="25.5" x14ac:dyDescent="0.2">
      <c r="A104" s="63" t="s">
        <v>358</v>
      </c>
      <c r="B104" s="44" t="s">
        <v>539</v>
      </c>
      <c r="C104" s="45" t="s">
        <v>196</v>
      </c>
      <c r="D104" s="451"/>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c r="AH104" s="55"/>
      <c r="AI104" s="55"/>
      <c r="AJ104" s="55"/>
      <c r="AK104" s="55"/>
      <c r="AL104" s="55"/>
      <c r="AM104" s="55"/>
      <c r="AN104" s="55"/>
      <c r="AO104" s="55"/>
      <c r="AP104" s="55"/>
      <c r="AQ104" s="55"/>
      <c r="AR104" s="55"/>
      <c r="AS104" s="55"/>
      <c r="AT104" s="55"/>
      <c r="AU104" s="55"/>
      <c r="AV104" s="55"/>
      <c r="AW104" s="55"/>
      <c r="AX104" s="55"/>
      <c r="AY104" s="55"/>
      <c r="AZ104" s="55"/>
      <c r="BA104" s="55"/>
      <c r="BB104" s="55"/>
      <c r="BC104" s="55"/>
      <c r="BD104" s="55"/>
      <c r="BE104" s="55"/>
      <c r="BF104" s="55"/>
      <c r="BG104" s="55"/>
      <c r="BH104" s="55"/>
      <c r="BI104" s="55"/>
      <c r="BJ104" s="55"/>
      <c r="BK104" s="55"/>
      <c r="BL104" s="55"/>
      <c r="BM104" s="55"/>
      <c r="BN104" s="55"/>
      <c r="BO104" s="55"/>
      <c r="BP104" s="55"/>
      <c r="BQ104" s="55"/>
      <c r="BR104" s="55"/>
      <c r="BS104" s="55"/>
      <c r="BT104" s="55"/>
      <c r="BU104" s="55"/>
      <c r="BV104" s="55"/>
      <c r="BW104" s="55"/>
      <c r="BX104" s="55"/>
      <c r="BY104" s="55"/>
      <c r="BZ104" s="55"/>
      <c r="CA104" s="55"/>
      <c r="CB104" s="55"/>
      <c r="CC104" s="55"/>
      <c r="CD104" s="55"/>
      <c r="CE104" s="55"/>
      <c r="CF104" s="55"/>
      <c r="CG104" s="55"/>
      <c r="CH104" s="55"/>
      <c r="CI104" s="55"/>
      <c r="CJ104" s="55"/>
      <c r="CK104" s="55"/>
      <c r="CL104" s="55"/>
      <c r="CM104" s="55"/>
      <c r="CN104" s="55"/>
      <c r="CO104" s="55"/>
      <c r="CP104" s="55"/>
      <c r="CQ104" s="55"/>
      <c r="CR104" s="55"/>
      <c r="CS104" s="55"/>
      <c r="CT104" s="55"/>
      <c r="CU104" s="55"/>
      <c r="CV104" s="55"/>
      <c r="CW104" s="55"/>
      <c r="CX104" s="55"/>
      <c r="CY104" s="55"/>
      <c r="CZ104" s="55"/>
      <c r="DA104" s="55"/>
      <c r="DB104" s="55"/>
      <c r="DC104" s="55"/>
      <c r="DD104" s="55"/>
      <c r="DE104" s="55"/>
      <c r="DF104" s="55"/>
      <c r="DG104" s="55"/>
      <c r="DH104" s="55"/>
      <c r="DI104" s="55"/>
      <c r="DJ104" s="55"/>
      <c r="DK104" s="55"/>
      <c r="DL104" s="55"/>
      <c r="DM104" s="55"/>
      <c r="DN104" s="55"/>
      <c r="DO104" s="55"/>
      <c r="DP104" s="55"/>
      <c r="DQ104" s="55"/>
      <c r="DR104" s="55"/>
      <c r="DS104" s="55"/>
      <c r="DT104" s="55"/>
      <c r="DU104" s="55"/>
      <c r="DV104" s="55"/>
      <c r="DW104" s="55"/>
      <c r="DX104" s="55"/>
      <c r="DY104" s="55"/>
      <c r="DZ104" s="55"/>
      <c r="EA104" s="55"/>
      <c r="EB104" s="55"/>
      <c r="EC104" s="55"/>
      <c r="ED104" s="55"/>
      <c r="EE104" s="55"/>
      <c r="EF104" s="55"/>
      <c r="EG104" s="55"/>
      <c r="EH104" s="55"/>
      <c r="EI104" s="55"/>
      <c r="EJ104" s="55"/>
      <c r="EK104" s="55"/>
      <c r="EL104" s="55"/>
      <c r="EM104" s="55"/>
      <c r="EN104" s="55"/>
      <c r="EO104" s="55"/>
      <c r="EP104" s="55"/>
      <c r="EQ104" s="55"/>
      <c r="ER104" s="55"/>
      <c r="ES104" s="55"/>
      <c r="ET104" s="55"/>
      <c r="EU104" s="55"/>
      <c r="EV104" s="55"/>
      <c r="EW104" s="55"/>
      <c r="EX104" s="55"/>
      <c r="EY104" s="55"/>
      <c r="EZ104" s="55"/>
      <c r="FA104" s="55"/>
      <c r="FB104" s="55"/>
      <c r="FC104" s="55"/>
      <c r="FD104" s="55"/>
      <c r="FE104" s="55"/>
      <c r="FF104" s="55"/>
      <c r="FG104" s="55"/>
      <c r="FH104" s="55"/>
      <c r="FI104" s="55"/>
      <c r="FJ104" s="55"/>
      <c r="FK104" s="55"/>
      <c r="FL104" s="55"/>
      <c r="FM104" s="55"/>
      <c r="FN104" s="55"/>
      <c r="FO104" s="55"/>
      <c r="FP104" s="55"/>
      <c r="FQ104" s="55"/>
      <c r="FR104" s="55"/>
      <c r="FS104" s="55"/>
      <c r="FT104" s="55"/>
      <c r="FU104" s="55"/>
      <c r="FV104" s="55"/>
      <c r="FW104" s="55"/>
      <c r="FX104" s="55"/>
      <c r="FY104" s="55"/>
      <c r="FZ104" s="55"/>
      <c r="GA104" s="55"/>
      <c r="GB104" s="55"/>
      <c r="GC104" s="55"/>
      <c r="GD104" s="55"/>
      <c r="GE104" s="55"/>
      <c r="GF104" s="55"/>
      <c r="GG104" s="55"/>
      <c r="GH104" s="55"/>
      <c r="GI104" s="55"/>
      <c r="GJ104" s="55"/>
      <c r="GK104" s="55"/>
      <c r="GL104" s="55"/>
      <c r="GM104" s="55"/>
      <c r="GN104" s="55"/>
      <c r="GO104" s="55"/>
      <c r="GP104" s="55"/>
      <c r="GQ104" s="55"/>
      <c r="GR104" s="55"/>
      <c r="GS104" s="55"/>
      <c r="GT104" s="55"/>
      <c r="GU104" s="55"/>
      <c r="GV104" s="55"/>
      <c r="GW104" s="55"/>
      <c r="GX104" s="55"/>
      <c r="GY104" s="55"/>
      <c r="GZ104" s="55"/>
      <c r="HA104" s="55"/>
      <c r="HB104" s="55"/>
      <c r="HC104" s="55"/>
      <c r="HD104" s="55"/>
      <c r="HE104" s="55"/>
      <c r="HF104" s="55"/>
      <c r="HG104" s="55"/>
      <c r="HH104" s="55"/>
      <c r="HI104" s="55"/>
      <c r="HJ104" s="55"/>
      <c r="HK104" s="55"/>
      <c r="HL104" s="55"/>
      <c r="HM104" s="55"/>
      <c r="HN104" s="55"/>
      <c r="HO104" s="55"/>
      <c r="HP104" s="55"/>
      <c r="HQ104" s="55"/>
      <c r="HR104" s="55"/>
      <c r="HS104" s="55"/>
      <c r="HT104" s="55"/>
      <c r="HU104" s="55"/>
      <c r="HV104" s="55"/>
      <c r="HW104" s="55"/>
      <c r="HX104" s="55"/>
      <c r="HY104" s="55"/>
      <c r="HZ104" s="55"/>
      <c r="IA104" s="55"/>
      <c r="IB104" s="55"/>
    </row>
    <row r="105" spans="1:236" ht="25.5" x14ac:dyDescent="0.2">
      <c r="A105" s="63" t="s">
        <v>359</v>
      </c>
      <c r="B105" s="44" t="s">
        <v>708</v>
      </c>
      <c r="C105" s="45" t="s">
        <v>196</v>
      </c>
      <c r="D105" s="451"/>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55"/>
      <c r="BR105" s="55"/>
      <c r="BS105" s="55"/>
      <c r="BT105" s="55"/>
      <c r="BU105" s="55"/>
      <c r="BV105" s="55"/>
      <c r="BW105" s="55"/>
      <c r="BX105" s="55"/>
      <c r="BY105" s="55"/>
      <c r="BZ105" s="55"/>
      <c r="CA105" s="55"/>
      <c r="CB105" s="55"/>
      <c r="CC105" s="55"/>
      <c r="CD105" s="55"/>
      <c r="CE105" s="55"/>
      <c r="CF105" s="55"/>
      <c r="CG105" s="55"/>
      <c r="CH105" s="55"/>
      <c r="CI105" s="55"/>
      <c r="CJ105" s="55"/>
      <c r="CK105" s="55"/>
      <c r="CL105" s="55"/>
      <c r="CM105" s="55"/>
      <c r="CN105" s="55"/>
      <c r="CO105" s="55"/>
      <c r="CP105" s="55"/>
      <c r="CQ105" s="55"/>
      <c r="CR105" s="55"/>
      <c r="CS105" s="55"/>
      <c r="CT105" s="55"/>
      <c r="CU105" s="55"/>
      <c r="CV105" s="55"/>
      <c r="CW105" s="55"/>
      <c r="CX105" s="55"/>
      <c r="CY105" s="55"/>
      <c r="CZ105" s="55"/>
      <c r="DA105" s="55"/>
      <c r="DB105" s="55"/>
      <c r="DC105" s="55"/>
      <c r="DD105" s="55"/>
      <c r="DE105" s="55"/>
      <c r="DF105" s="55"/>
      <c r="DG105" s="55"/>
      <c r="DH105" s="55"/>
      <c r="DI105" s="55"/>
      <c r="DJ105" s="55"/>
      <c r="DK105" s="55"/>
      <c r="DL105" s="55"/>
      <c r="DM105" s="55"/>
      <c r="DN105" s="55"/>
      <c r="DO105" s="55"/>
      <c r="DP105" s="55"/>
      <c r="DQ105" s="55"/>
      <c r="DR105" s="55"/>
      <c r="DS105" s="55"/>
      <c r="DT105" s="55"/>
      <c r="DU105" s="55"/>
      <c r="DV105" s="55"/>
      <c r="DW105" s="55"/>
      <c r="DX105" s="55"/>
      <c r="DY105" s="55"/>
      <c r="DZ105" s="55"/>
      <c r="EA105" s="55"/>
      <c r="EB105" s="55"/>
      <c r="EC105" s="55"/>
      <c r="ED105" s="55"/>
      <c r="EE105" s="55"/>
      <c r="EF105" s="55"/>
      <c r="EG105" s="55"/>
      <c r="EH105" s="55"/>
      <c r="EI105" s="55"/>
      <c r="EJ105" s="55"/>
      <c r="EK105" s="55"/>
      <c r="EL105" s="55"/>
      <c r="EM105" s="55"/>
      <c r="EN105" s="55"/>
      <c r="EO105" s="55"/>
      <c r="EP105" s="55"/>
      <c r="EQ105" s="55"/>
      <c r="ER105" s="55"/>
      <c r="ES105" s="55"/>
      <c r="ET105" s="55"/>
      <c r="EU105" s="55"/>
      <c r="EV105" s="55"/>
      <c r="EW105" s="55"/>
      <c r="EX105" s="55"/>
      <c r="EY105" s="55"/>
      <c r="EZ105" s="55"/>
      <c r="FA105" s="55"/>
      <c r="FB105" s="55"/>
      <c r="FC105" s="55"/>
      <c r="FD105" s="55"/>
      <c r="FE105" s="55"/>
      <c r="FF105" s="55"/>
      <c r="FG105" s="55"/>
      <c r="FH105" s="55"/>
      <c r="FI105" s="55"/>
      <c r="FJ105" s="55"/>
      <c r="FK105" s="55"/>
      <c r="FL105" s="55"/>
      <c r="FM105" s="55"/>
      <c r="FN105" s="55"/>
      <c r="FO105" s="55"/>
      <c r="FP105" s="55"/>
      <c r="FQ105" s="55"/>
      <c r="FR105" s="55"/>
      <c r="FS105" s="55"/>
      <c r="FT105" s="55"/>
      <c r="FU105" s="55"/>
      <c r="FV105" s="55"/>
      <c r="FW105" s="55"/>
      <c r="FX105" s="55"/>
      <c r="FY105" s="55"/>
      <c r="FZ105" s="55"/>
      <c r="GA105" s="55"/>
      <c r="GB105" s="55"/>
      <c r="GC105" s="55"/>
      <c r="GD105" s="55"/>
      <c r="GE105" s="55"/>
      <c r="GF105" s="55"/>
      <c r="GG105" s="55"/>
      <c r="GH105" s="55"/>
      <c r="GI105" s="55"/>
      <c r="GJ105" s="55"/>
      <c r="GK105" s="55"/>
      <c r="GL105" s="55"/>
      <c r="GM105" s="55"/>
      <c r="GN105" s="55"/>
      <c r="GO105" s="55"/>
      <c r="GP105" s="55"/>
      <c r="GQ105" s="55"/>
      <c r="GR105" s="55"/>
      <c r="GS105" s="55"/>
      <c r="GT105" s="55"/>
      <c r="GU105" s="55"/>
      <c r="GV105" s="55"/>
      <c r="GW105" s="55"/>
      <c r="GX105" s="55"/>
      <c r="GY105" s="55"/>
      <c r="GZ105" s="55"/>
      <c r="HA105" s="55"/>
      <c r="HB105" s="55"/>
      <c r="HC105" s="55"/>
      <c r="HD105" s="55"/>
      <c r="HE105" s="55"/>
      <c r="HF105" s="55"/>
      <c r="HG105" s="55"/>
      <c r="HH105" s="55"/>
      <c r="HI105" s="55"/>
      <c r="HJ105" s="55"/>
      <c r="HK105" s="55"/>
      <c r="HL105" s="55"/>
      <c r="HM105" s="55"/>
      <c r="HN105" s="55"/>
      <c r="HO105" s="55"/>
      <c r="HP105" s="55"/>
      <c r="HQ105" s="55"/>
      <c r="HR105" s="55"/>
      <c r="HS105" s="55"/>
      <c r="HT105" s="55"/>
      <c r="HU105" s="55"/>
      <c r="HV105" s="55"/>
      <c r="HW105" s="55"/>
      <c r="HX105" s="55"/>
      <c r="HY105" s="55"/>
      <c r="HZ105" s="55"/>
      <c r="IA105" s="55"/>
      <c r="IB105" s="55"/>
    </row>
    <row r="106" spans="1:236" ht="15" customHeight="1" x14ac:dyDescent="0.2">
      <c r="A106" s="63" t="s">
        <v>360</v>
      </c>
      <c r="B106" s="44" t="s">
        <v>238</v>
      </c>
      <c r="C106" s="45" t="s">
        <v>197</v>
      </c>
      <c r="D106" s="451"/>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55"/>
      <c r="BR106" s="55"/>
      <c r="BS106" s="55"/>
      <c r="BT106" s="55"/>
      <c r="BU106" s="55"/>
      <c r="BV106" s="55"/>
      <c r="BW106" s="55"/>
      <c r="BX106" s="55"/>
      <c r="BY106" s="55"/>
      <c r="BZ106" s="55"/>
      <c r="CA106" s="55"/>
      <c r="CB106" s="55"/>
      <c r="CC106" s="55"/>
      <c r="CD106" s="55"/>
      <c r="CE106" s="55"/>
      <c r="CF106" s="55"/>
      <c r="CG106" s="55"/>
      <c r="CH106" s="55"/>
      <c r="CI106" s="55"/>
      <c r="CJ106" s="55"/>
      <c r="CK106" s="55"/>
      <c r="CL106" s="55"/>
      <c r="CM106" s="55"/>
      <c r="CN106" s="55"/>
      <c r="CO106" s="55"/>
      <c r="CP106" s="55"/>
      <c r="CQ106" s="55"/>
      <c r="CR106" s="55"/>
      <c r="CS106" s="55"/>
      <c r="CT106" s="55"/>
      <c r="CU106" s="55"/>
      <c r="CV106" s="55"/>
      <c r="CW106" s="55"/>
      <c r="CX106" s="55"/>
      <c r="CY106" s="55"/>
      <c r="CZ106" s="55"/>
      <c r="DA106" s="55"/>
      <c r="DB106" s="55"/>
      <c r="DC106" s="55"/>
      <c r="DD106" s="55"/>
      <c r="DE106" s="55"/>
      <c r="DF106" s="55"/>
      <c r="DG106" s="55"/>
      <c r="DH106" s="55"/>
      <c r="DI106" s="55"/>
      <c r="DJ106" s="55"/>
      <c r="DK106" s="55"/>
      <c r="DL106" s="55"/>
      <c r="DM106" s="55"/>
      <c r="DN106" s="55"/>
      <c r="DO106" s="55"/>
      <c r="DP106" s="55"/>
      <c r="DQ106" s="55"/>
      <c r="DR106" s="55"/>
      <c r="DS106" s="55"/>
      <c r="DT106" s="55"/>
      <c r="DU106" s="55"/>
      <c r="DV106" s="55"/>
      <c r="DW106" s="55"/>
      <c r="DX106" s="55"/>
      <c r="DY106" s="55"/>
      <c r="DZ106" s="55"/>
      <c r="EA106" s="55"/>
      <c r="EB106" s="55"/>
      <c r="EC106" s="55"/>
      <c r="ED106" s="55"/>
      <c r="EE106" s="55"/>
      <c r="EF106" s="55"/>
      <c r="EG106" s="55"/>
      <c r="EH106" s="55"/>
      <c r="EI106" s="55"/>
      <c r="EJ106" s="55"/>
      <c r="EK106" s="55"/>
      <c r="EL106" s="55"/>
      <c r="EM106" s="55"/>
      <c r="EN106" s="55"/>
      <c r="EO106" s="55"/>
      <c r="EP106" s="55"/>
      <c r="EQ106" s="55"/>
      <c r="ER106" s="55"/>
      <c r="ES106" s="55"/>
      <c r="ET106" s="55"/>
      <c r="EU106" s="55"/>
      <c r="EV106" s="55"/>
      <c r="EW106" s="55"/>
      <c r="EX106" s="55"/>
      <c r="EY106" s="55"/>
      <c r="EZ106" s="55"/>
      <c r="FA106" s="55"/>
      <c r="FB106" s="55"/>
      <c r="FC106" s="55"/>
      <c r="FD106" s="55"/>
      <c r="FE106" s="55"/>
      <c r="FF106" s="55"/>
      <c r="FG106" s="55"/>
      <c r="FH106" s="55"/>
      <c r="FI106" s="55"/>
      <c r="FJ106" s="55"/>
      <c r="FK106" s="55"/>
      <c r="FL106" s="55"/>
      <c r="FM106" s="55"/>
      <c r="FN106" s="55"/>
      <c r="FO106" s="55"/>
      <c r="FP106" s="55"/>
      <c r="FQ106" s="55"/>
      <c r="FR106" s="55"/>
      <c r="FS106" s="55"/>
      <c r="FT106" s="55"/>
      <c r="FU106" s="55"/>
      <c r="FV106" s="55"/>
      <c r="FW106" s="55"/>
      <c r="FX106" s="55"/>
      <c r="FY106" s="55"/>
      <c r="FZ106" s="55"/>
      <c r="GA106" s="55"/>
      <c r="GB106" s="55"/>
      <c r="GC106" s="55"/>
      <c r="GD106" s="55"/>
      <c r="GE106" s="55"/>
      <c r="GF106" s="55"/>
      <c r="GG106" s="55"/>
      <c r="GH106" s="55"/>
      <c r="GI106" s="55"/>
      <c r="GJ106" s="55"/>
      <c r="GK106" s="55"/>
      <c r="GL106" s="55"/>
      <c r="GM106" s="55"/>
      <c r="GN106" s="55"/>
      <c r="GO106" s="55"/>
      <c r="GP106" s="55"/>
      <c r="GQ106" s="55"/>
      <c r="GR106" s="55"/>
      <c r="GS106" s="55"/>
      <c r="GT106" s="55"/>
      <c r="GU106" s="55"/>
      <c r="GV106" s="55"/>
      <c r="GW106" s="55"/>
      <c r="GX106" s="55"/>
      <c r="GY106" s="55"/>
      <c r="GZ106" s="55"/>
      <c r="HA106" s="55"/>
      <c r="HB106" s="55"/>
      <c r="HC106" s="55"/>
      <c r="HD106" s="55"/>
      <c r="HE106" s="55"/>
      <c r="HF106" s="55"/>
      <c r="HG106" s="55"/>
      <c r="HH106" s="55"/>
      <c r="HI106" s="55"/>
      <c r="HJ106" s="55"/>
      <c r="HK106" s="55"/>
      <c r="HL106" s="55"/>
      <c r="HM106" s="55"/>
      <c r="HN106" s="55"/>
      <c r="HO106" s="55"/>
      <c r="HP106" s="55"/>
      <c r="HQ106" s="55"/>
      <c r="HR106" s="55"/>
      <c r="HS106" s="55"/>
      <c r="HT106" s="55"/>
      <c r="HU106" s="55"/>
      <c r="HV106" s="55"/>
      <c r="HW106" s="55"/>
      <c r="HX106" s="55"/>
      <c r="HY106" s="55"/>
      <c r="HZ106" s="55"/>
      <c r="IA106" s="55"/>
      <c r="IB106" s="55"/>
    </row>
    <row r="107" spans="1:236" ht="15" customHeight="1" x14ac:dyDescent="0.2">
      <c r="A107" s="63" t="s">
        <v>494</v>
      </c>
      <c r="B107" s="44" t="s">
        <v>1197</v>
      </c>
      <c r="C107" s="45" t="s">
        <v>197</v>
      </c>
      <c r="D107" s="451"/>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c r="AH107" s="55"/>
      <c r="AI107" s="55"/>
      <c r="AJ107" s="55"/>
      <c r="AK107" s="55"/>
      <c r="AL107" s="55"/>
      <c r="AM107" s="55"/>
      <c r="AN107" s="55"/>
      <c r="AO107" s="55"/>
      <c r="AP107" s="55"/>
      <c r="AQ107" s="55"/>
      <c r="AR107" s="55"/>
      <c r="AS107" s="55"/>
      <c r="AT107" s="55"/>
      <c r="AU107" s="55"/>
      <c r="AV107" s="55"/>
      <c r="AW107" s="55"/>
      <c r="AX107" s="55"/>
      <c r="AY107" s="55"/>
      <c r="AZ107" s="55"/>
      <c r="BA107" s="55"/>
      <c r="BB107" s="55"/>
      <c r="BC107" s="55"/>
      <c r="BD107" s="55"/>
      <c r="BE107" s="55"/>
      <c r="BF107" s="55"/>
      <c r="BG107" s="55"/>
      <c r="BH107" s="55"/>
      <c r="BI107" s="55"/>
      <c r="BJ107" s="55"/>
      <c r="BK107" s="55"/>
      <c r="BL107" s="55"/>
      <c r="BM107" s="55"/>
      <c r="BN107" s="55"/>
      <c r="BO107" s="55"/>
      <c r="BP107" s="55"/>
      <c r="BQ107" s="55"/>
      <c r="BR107" s="55"/>
      <c r="BS107" s="55"/>
      <c r="BT107" s="55"/>
      <c r="BU107" s="55"/>
      <c r="BV107" s="55"/>
      <c r="BW107" s="55"/>
      <c r="BX107" s="55"/>
      <c r="BY107" s="55"/>
      <c r="BZ107" s="55"/>
      <c r="CA107" s="55"/>
      <c r="CB107" s="55"/>
      <c r="CC107" s="55"/>
      <c r="CD107" s="55"/>
      <c r="CE107" s="55"/>
      <c r="CF107" s="55"/>
      <c r="CG107" s="55"/>
      <c r="CH107" s="55"/>
      <c r="CI107" s="55"/>
      <c r="CJ107" s="55"/>
      <c r="CK107" s="55"/>
      <c r="CL107" s="55"/>
      <c r="CM107" s="55"/>
      <c r="CN107" s="55"/>
      <c r="CO107" s="55"/>
      <c r="CP107" s="55"/>
      <c r="CQ107" s="55"/>
      <c r="CR107" s="55"/>
      <c r="CS107" s="55"/>
      <c r="CT107" s="55"/>
      <c r="CU107" s="55"/>
      <c r="CV107" s="55"/>
      <c r="CW107" s="55"/>
      <c r="CX107" s="55"/>
      <c r="CY107" s="55"/>
      <c r="CZ107" s="55"/>
      <c r="DA107" s="55"/>
      <c r="DB107" s="55"/>
      <c r="DC107" s="55"/>
      <c r="DD107" s="55"/>
      <c r="DE107" s="55"/>
      <c r="DF107" s="55"/>
      <c r="DG107" s="55"/>
      <c r="DH107" s="55"/>
      <c r="DI107" s="55"/>
      <c r="DJ107" s="55"/>
      <c r="DK107" s="55"/>
      <c r="DL107" s="55"/>
      <c r="DM107" s="55"/>
      <c r="DN107" s="55"/>
      <c r="DO107" s="55"/>
      <c r="DP107" s="55"/>
      <c r="DQ107" s="55"/>
      <c r="DR107" s="55"/>
      <c r="DS107" s="55"/>
      <c r="DT107" s="55"/>
      <c r="DU107" s="55"/>
      <c r="DV107" s="55"/>
      <c r="DW107" s="55"/>
      <c r="DX107" s="55"/>
      <c r="DY107" s="55"/>
      <c r="DZ107" s="55"/>
      <c r="EA107" s="55"/>
      <c r="EB107" s="55"/>
      <c r="EC107" s="55"/>
      <c r="ED107" s="55"/>
      <c r="EE107" s="55"/>
      <c r="EF107" s="55"/>
      <c r="EG107" s="55"/>
      <c r="EH107" s="55"/>
      <c r="EI107" s="55"/>
      <c r="EJ107" s="55"/>
      <c r="EK107" s="55"/>
      <c r="EL107" s="55"/>
      <c r="EM107" s="55"/>
      <c r="EN107" s="55"/>
      <c r="EO107" s="55"/>
      <c r="EP107" s="55"/>
      <c r="EQ107" s="55"/>
      <c r="ER107" s="55"/>
      <c r="ES107" s="55"/>
      <c r="ET107" s="55"/>
      <c r="EU107" s="55"/>
      <c r="EV107" s="55"/>
      <c r="EW107" s="55"/>
      <c r="EX107" s="55"/>
      <c r="EY107" s="55"/>
      <c r="EZ107" s="55"/>
      <c r="FA107" s="55"/>
      <c r="FB107" s="55"/>
      <c r="FC107" s="55"/>
      <c r="FD107" s="55"/>
      <c r="FE107" s="55"/>
      <c r="FF107" s="55"/>
      <c r="FG107" s="55"/>
      <c r="FH107" s="55"/>
      <c r="FI107" s="55"/>
      <c r="FJ107" s="55"/>
      <c r="FK107" s="55"/>
      <c r="FL107" s="55"/>
      <c r="FM107" s="55"/>
      <c r="FN107" s="55"/>
      <c r="FO107" s="55"/>
      <c r="FP107" s="55"/>
      <c r="FQ107" s="55"/>
      <c r="FR107" s="55"/>
      <c r="FS107" s="55"/>
      <c r="FT107" s="55"/>
      <c r="FU107" s="55"/>
      <c r="FV107" s="55"/>
      <c r="FW107" s="55"/>
      <c r="FX107" s="55"/>
      <c r="FY107" s="55"/>
      <c r="FZ107" s="55"/>
      <c r="GA107" s="55"/>
      <c r="GB107" s="55"/>
      <c r="GC107" s="55"/>
      <c r="GD107" s="55"/>
      <c r="GE107" s="55"/>
      <c r="GF107" s="55"/>
      <c r="GG107" s="55"/>
      <c r="GH107" s="55"/>
      <c r="GI107" s="55"/>
      <c r="GJ107" s="55"/>
      <c r="GK107" s="55"/>
      <c r="GL107" s="55"/>
      <c r="GM107" s="55"/>
      <c r="GN107" s="55"/>
      <c r="GO107" s="55"/>
      <c r="GP107" s="55"/>
      <c r="GQ107" s="55"/>
      <c r="GR107" s="55"/>
      <c r="GS107" s="55"/>
      <c r="GT107" s="55"/>
      <c r="GU107" s="55"/>
      <c r="GV107" s="55"/>
      <c r="GW107" s="55"/>
      <c r="GX107" s="55"/>
      <c r="GY107" s="55"/>
      <c r="GZ107" s="55"/>
      <c r="HA107" s="55"/>
      <c r="HB107" s="55"/>
      <c r="HC107" s="55"/>
      <c r="HD107" s="55"/>
      <c r="HE107" s="55"/>
      <c r="HF107" s="55"/>
      <c r="HG107" s="55"/>
      <c r="HH107" s="55"/>
      <c r="HI107" s="55"/>
      <c r="HJ107" s="55"/>
      <c r="HK107" s="55"/>
      <c r="HL107" s="55"/>
      <c r="HM107" s="55"/>
      <c r="HN107" s="55"/>
      <c r="HO107" s="55"/>
      <c r="HP107" s="55"/>
      <c r="HQ107" s="55"/>
      <c r="HR107" s="55"/>
      <c r="HS107" s="55"/>
      <c r="HT107" s="55"/>
      <c r="HU107" s="55"/>
      <c r="HV107" s="55"/>
      <c r="HW107" s="55"/>
      <c r="HX107" s="55"/>
      <c r="HY107" s="55"/>
      <c r="HZ107" s="55"/>
      <c r="IA107" s="55"/>
      <c r="IB107" s="55"/>
    </row>
    <row r="108" spans="1:236" ht="15" customHeight="1" x14ac:dyDescent="0.2">
      <c r="A108" s="63" t="s">
        <v>964</v>
      </c>
      <c r="B108" s="46" t="s">
        <v>239</v>
      </c>
      <c r="C108" s="45" t="s">
        <v>198</v>
      </c>
      <c r="D108" s="451"/>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c r="AH108" s="55"/>
      <c r="AI108" s="55"/>
      <c r="AJ108" s="55"/>
      <c r="AK108" s="55"/>
      <c r="AL108" s="55"/>
      <c r="AM108" s="55"/>
      <c r="AN108" s="55"/>
      <c r="AO108" s="55"/>
      <c r="AP108" s="55"/>
      <c r="AQ108" s="55"/>
      <c r="AR108" s="55"/>
      <c r="AS108" s="55"/>
      <c r="AT108" s="55"/>
      <c r="AU108" s="55"/>
      <c r="AV108" s="55"/>
      <c r="AW108" s="55"/>
      <c r="AX108" s="55"/>
      <c r="AY108" s="55"/>
      <c r="AZ108" s="55"/>
      <c r="BA108" s="55"/>
      <c r="BB108" s="55"/>
      <c r="BC108" s="55"/>
      <c r="BD108" s="55"/>
      <c r="BE108" s="55"/>
      <c r="BF108" s="55"/>
      <c r="BG108" s="55"/>
      <c r="BH108" s="55"/>
      <c r="BI108" s="55"/>
      <c r="BJ108" s="55"/>
      <c r="BK108" s="55"/>
      <c r="BL108" s="55"/>
      <c r="BM108" s="55"/>
      <c r="BN108" s="55"/>
      <c r="BO108" s="55"/>
      <c r="BP108" s="55"/>
      <c r="BQ108" s="55"/>
      <c r="BR108" s="55"/>
      <c r="BS108" s="55"/>
      <c r="BT108" s="55"/>
      <c r="BU108" s="55"/>
      <c r="BV108" s="55"/>
      <c r="BW108" s="55"/>
      <c r="BX108" s="55"/>
      <c r="BY108" s="55"/>
      <c r="BZ108" s="55"/>
      <c r="CA108" s="55"/>
      <c r="CB108" s="55"/>
      <c r="CC108" s="55"/>
      <c r="CD108" s="55"/>
      <c r="CE108" s="55"/>
      <c r="CF108" s="55"/>
      <c r="CG108" s="55"/>
      <c r="CH108" s="55"/>
      <c r="CI108" s="55"/>
      <c r="CJ108" s="55"/>
      <c r="CK108" s="55"/>
      <c r="CL108" s="55"/>
      <c r="CM108" s="55"/>
      <c r="CN108" s="55"/>
      <c r="CO108" s="55"/>
      <c r="CP108" s="55"/>
      <c r="CQ108" s="55"/>
      <c r="CR108" s="55"/>
      <c r="CS108" s="55"/>
      <c r="CT108" s="55"/>
      <c r="CU108" s="55"/>
      <c r="CV108" s="55"/>
      <c r="CW108" s="55"/>
      <c r="CX108" s="55"/>
      <c r="CY108" s="55"/>
      <c r="CZ108" s="55"/>
      <c r="DA108" s="55"/>
      <c r="DB108" s="55"/>
      <c r="DC108" s="55"/>
      <c r="DD108" s="55"/>
      <c r="DE108" s="55"/>
      <c r="DF108" s="55"/>
      <c r="DG108" s="55"/>
      <c r="DH108" s="55"/>
      <c r="DI108" s="55"/>
      <c r="DJ108" s="55"/>
      <c r="DK108" s="55"/>
      <c r="DL108" s="55"/>
      <c r="DM108" s="55"/>
      <c r="DN108" s="55"/>
      <c r="DO108" s="55"/>
      <c r="DP108" s="55"/>
      <c r="DQ108" s="55"/>
      <c r="DR108" s="55"/>
      <c r="DS108" s="55"/>
      <c r="DT108" s="55"/>
      <c r="DU108" s="55"/>
      <c r="DV108" s="55"/>
      <c r="DW108" s="55"/>
      <c r="DX108" s="55"/>
      <c r="DY108" s="55"/>
      <c r="DZ108" s="55"/>
      <c r="EA108" s="55"/>
      <c r="EB108" s="55"/>
      <c r="EC108" s="55"/>
      <c r="ED108" s="55"/>
      <c r="EE108" s="55"/>
      <c r="EF108" s="55"/>
      <c r="EG108" s="55"/>
      <c r="EH108" s="55"/>
      <c r="EI108" s="55"/>
      <c r="EJ108" s="55"/>
      <c r="EK108" s="55"/>
      <c r="EL108" s="55"/>
      <c r="EM108" s="55"/>
      <c r="EN108" s="55"/>
      <c r="EO108" s="55"/>
      <c r="EP108" s="55"/>
      <c r="EQ108" s="55"/>
      <c r="ER108" s="55"/>
      <c r="ES108" s="55"/>
      <c r="ET108" s="55"/>
      <c r="EU108" s="55"/>
      <c r="EV108" s="55"/>
      <c r="EW108" s="55"/>
      <c r="EX108" s="55"/>
      <c r="EY108" s="55"/>
      <c r="EZ108" s="55"/>
      <c r="FA108" s="55"/>
      <c r="FB108" s="55"/>
      <c r="FC108" s="55"/>
      <c r="FD108" s="55"/>
      <c r="FE108" s="55"/>
      <c r="FF108" s="55"/>
      <c r="FG108" s="55"/>
      <c r="FH108" s="55"/>
      <c r="FI108" s="55"/>
      <c r="FJ108" s="55"/>
      <c r="FK108" s="55"/>
      <c r="FL108" s="55"/>
      <c r="FM108" s="55"/>
      <c r="FN108" s="55"/>
      <c r="FO108" s="55"/>
      <c r="FP108" s="55"/>
      <c r="FQ108" s="55"/>
      <c r="FR108" s="55"/>
      <c r="FS108" s="55"/>
      <c r="FT108" s="55"/>
      <c r="FU108" s="55"/>
      <c r="FV108" s="55"/>
      <c r="FW108" s="55"/>
      <c r="FX108" s="55"/>
      <c r="FY108" s="55"/>
      <c r="FZ108" s="55"/>
      <c r="GA108" s="55"/>
      <c r="GB108" s="55"/>
      <c r="GC108" s="55"/>
      <c r="GD108" s="55"/>
      <c r="GE108" s="55"/>
      <c r="GF108" s="55"/>
      <c r="GG108" s="55"/>
      <c r="GH108" s="55"/>
      <c r="GI108" s="55"/>
      <c r="GJ108" s="55"/>
      <c r="GK108" s="55"/>
      <c r="GL108" s="55"/>
      <c r="GM108" s="55"/>
      <c r="GN108" s="55"/>
      <c r="GO108" s="55"/>
      <c r="GP108" s="55"/>
      <c r="GQ108" s="55"/>
      <c r="GR108" s="55"/>
      <c r="GS108" s="55"/>
      <c r="GT108" s="55"/>
      <c r="GU108" s="55"/>
      <c r="GV108" s="55"/>
      <c r="GW108" s="55"/>
      <c r="GX108" s="55"/>
      <c r="GY108" s="55"/>
      <c r="GZ108" s="55"/>
      <c r="HA108" s="55"/>
      <c r="HB108" s="55"/>
      <c r="HC108" s="55"/>
      <c r="HD108" s="55"/>
      <c r="HE108" s="55"/>
      <c r="HF108" s="55"/>
      <c r="HG108" s="55"/>
      <c r="HH108" s="55"/>
      <c r="HI108" s="55"/>
      <c r="HJ108" s="55"/>
      <c r="HK108" s="55"/>
      <c r="HL108" s="55"/>
      <c r="HM108" s="55"/>
      <c r="HN108" s="55"/>
      <c r="HO108" s="55"/>
      <c r="HP108" s="55"/>
      <c r="HQ108" s="55"/>
      <c r="HR108" s="55"/>
      <c r="HS108" s="55"/>
      <c r="HT108" s="55"/>
      <c r="HU108" s="55"/>
      <c r="HV108" s="55"/>
      <c r="HW108" s="55"/>
      <c r="HX108" s="55"/>
      <c r="HY108" s="55"/>
      <c r="HZ108" s="55"/>
      <c r="IA108" s="55"/>
      <c r="IB108" s="55"/>
    </row>
    <row r="109" spans="1:236" ht="15" customHeight="1" x14ac:dyDescent="0.2">
      <c r="A109" s="63" t="s">
        <v>1081</v>
      </c>
      <c r="B109" s="44" t="s">
        <v>240</v>
      </c>
      <c r="C109" s="45" t="s">
        <v>160</v>
      </c>
      <c r="D109" s="451"/>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c r="AH109" s="55"/>
      <c r="AI109" s="55"/>
      <c r="AJ109" s="55"/>
      <c r="AK109" s="55"/>
      <c r="AL109" s="55"/>
      <c r="AM109" s="55"/>
      <c r="AN109" s="55"/>
      <c r="AO109" s="55"/>
      <c r="AP109" s="55"/>
      <c r="AQ109" s="55"/>
      <c r="AR109" s="55"/>
      <c r="AS109" s="55"/>
      <c r="AT109" s="55"/>
      <c r="AU109" s="55"/>
      <c r="AV109" s="55"/>
      <c r="AW109" s="55"/>
      <c r="AX109" s="55"/>
      <c r="AY109" s="55"/>
      <c r="AZ109" s="55"/>
      <c r="BA109" s="55"/>
      <c r="BB109" s="55"/>
      <c r="BC109" s="55"/>
      <c r="BD109" s="55"/>
      <c r="BE109" s="55"/>
      <c r="BF109" s="55"/>
      <c r="BG109" s="55"/>
      <c r="BH109" s="55"/>
      <c r="BI109" s="55"/>
      <c r="BJ109" s="55"/>
      <c r="BK109" s="55"/>
      <c r="BL109" s="55"/>
      <c r="BM109" s="55"/>
      <c r="BN109" s="55"/>
      <c r="BO109" s="55"/>
      <c r="BP109" s="55"/>
      <c r="BQ109" s="55"/>
      <c r="BR109" s="55"/>
      <c r="BS109" s="55"/>
      <c r="BT109" s="55"/>
      <c r="BU109" s="55"/>
      <c r="BV109" s="55"/>
      <c r="BW109" s="55"/>
      <c r="BX109" s="55"/>
      <c r="BY109" s="55"/>
      <c r="BZ109" s="55"/>
      <c r="CA109" s="55"/>
      <c r="CB109" s="55"/>
      <c r="CC109" s="55"/>
      <c r="CD109" s="55"/>
      <c r="CE109" s="55"/>
      <c r="CF109" s="55"/>
      <c r="CG109" s="55"/>
      <c r="CH109" s="55"/>
      <c r="CI109" s="55"/>
      <c r="CJ109" s="55"/>
      <c r="CK109" s="55"/>
      <c r="CL109" s="55"/>
      <c r="CM109" s="55"/>
      <c r="CN109" s="55"/>
      <c r="CO109" s="55"/>
      <c r="CP109" s="55"/>
      <c r="CQ109" s="55"/>
      <c r="CR109" s="55"/>
      <c r="CS109" s="55"/>
      <c r="CT109" s="55"/>
      <c r="CU109" s="55"/>
      <c r="CV109" s="55"/>
      <c r="CW109" s="55"/>
      <c r="CX109" s="55"/>
      <c r="CY109" s="55"/>
      <c r="CZ109" s="55"/>
      <c r="DA109" s="55"/>
      <c r="DB109" s="55"/>
      <c r="DC109" s="55"/>
      <c r="DD109" s="55"/>
      <c r="DE109" s="55"/>
      <c r="DF109" s="55"/>
      <c r="DG109" s="55"/>
      <c r="DH109" s="55"/>
      <c r="DI109" s="55"/>
      <c r="DJ109" s="55"/>
      <c r="DK109" s="55"/>
      <c r="DL109" s="55"/>
      <c r="DM109" s="55"/>
      <c r="DN109" s="55"/>
      <c r="DO109" s="55"/>
      <c r="DP109" s="55"/>
      <c r="DQ109" s="55"/>
      <c r="DR109" s="55"/>
      <c r="DS109" s="55"/>
      <c r="DT109" s="55"/>
      <c r="DU109" s="55"/>
      <c r="DV109" s="55"/>
      <c r="DW109" s="55"/>
      <c r="DX109" s="55"/>
      <c r="DY109" s="55"/>
      <c r="DZ109" s="55"/>
      <c r="EA109" s="55"/>
      <c r="EB109" s="55"/>
      <c r="EC109" s="55"/>
      <c r="ED109" s="55"/>
      <c r="EE109" s="55"/>
      <c r="EF109" s="55"/>
      <c r="EG109" s="55"/>
      <c r="EH109" s="55"/>
      <c r="EI109" s="55"/>
      <c r="EJ109" s="55"/>
      <c r="EK109" s="55"/>
      <c r="EL109" s="55"/>
      <c r="EM109" s="55"/>
      <c r="EN109" s="55"/>
      <c r="EO109" s="55"/>
      <c r="EP109" s="55"/>
      <c r="EQ109" s="55"/>
      <c r="ER109" s="55"/>
      <c r="ES109" s="55"/>
      <c r="ET109" s="55"/>
      <c r="EU109" s="55"/>
      <c r="EV109" s="55"/>
      <c r="EW109" s="55"/>
      <c r="EX109" s="55"/>
      <c r="EY109" s="55"/>
      <c r="EZ109" s="55"/>
      <c r="FA109" s="55"/>
      <c r="FB109" s="55"/>
      <c r="FC109" s="55"/>
      <c r="FD109" s="55"/>
      <c r="FE109" s="55"/>
      <c r="FF109" s="55"/>
      <c r="FG109" s="55"/>
      <c r="FH109" s="55"/>
      <c r="FI109" s="55"/>
      <c r="FJ109" s="55"/>
      <c r="FK109" s="55"/>
      <c r="FL109" s="55"/>
      <c r="FM109" s="55"/>
      <c r="FN109" s="55"/>
      <c r="FO109" s="55"/>
      <c r="FP109" s="55"/>
      <c r="FQ109" s="55"/>
      <c r="FR109" s="55"/>
      <c r="FS109" s="55"/>
      <c r="FT109" s="55"/>
      <c r="FU109" s="55"/>
      <c r="FV109" s="55"/>
      <c r="FW109" s="55"/>
      <c r="FX109" s="55"/>
      <c r="FY109" s="55"/>
      <c r="FZ109" s="55"/>
      <c r="GA109" s="55"/>
      <c r="GB109" s="55"/>
      <c r="GC109" s="55"/>
      <c r="GD109" s="55"/>
      <c r="GE109" s="55"/>
      <c r="GF109" s="55"/>
      <c r="GG109" s="55"/>
      <c r="GH109" s="55"/>
      <c r="GI109" s="55"/>
      <c r="GJ109" s="55"/>
      <c r="GK109" s="55"/>
      <c r="GL109" s="55"/>
      <c r="GM109" s="55"/>
      <c r="GN109" s="55"/>
      <c r="GO109" s="55"/>
      <c r="GP109" s="55"/>
      <c r="GQ109" s="55"/>
      <c r="GR109" s="55"/>
      <c r="GS109" s="55"/>
      <c r="GT109" s="55"/>
      <c r="GU109" s="55"/>
      <c r="GV109" s="55"/>
      <c r="GW109" s="55"/>
      <c r="GX109" s="55"/>
      <c r="GY109" s="55"/>
      <c r="GZ109" s="55"/>
      <c r="HA109" s="55"/>
      <c r="HB109" s="55"/>
      <c r="HC109" s="55"/>
      <c r="HD109" s="55"/>
      <c r="HE109" s="55"/>
      <c r="HF109" s="55"/>
      <c r="HG109" s="55"/>
      <c r="HH109" s="55"/>
      <c r="HI109" s="55"/>
      <c r="HJ109" s="55"/>
      <c r="HK109" s="55"/>
      <c r="HL109" s="55"/>
      <c r="HM109" s="55"/>
      <c r="HN109" s="55"/>
      <c r="HO109" s="55"/>
      <c r="HP109" s="55"/>
      <c r="HQ109" s="55"/>
      <c r="HR109" s="55"/>
      <c r="HS109" s="55"/>
      <c r="HT109" s="55"/>
      <c r="HU109" s="55"/>
      <c r="HV109" s="55"/>
      <c r="HW109" s="55"/>
      <c r="HX109" s="55"/>
      <c r="HY109" s="55"/>
      <c r="HZ109" s="55"/>
      <c r="IA109" s="55"/>
      <c r="IB109" s="55"/>
    </row>
    <row r="110" spans="1:236" ht="15" customHeight="1" x14ac:dyDescent="0.2">
      <c r="A110" s="63" t="s">
        <v>361</v>
      </c>
      <c r="B110" s="44" t="s">
        <v>686</v>
      </c>
      <c r="C110" s="45" t="s">
        <v>160</v>
      </c>
      <c r="D110" s="451"/>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c r="AH110" s="55"/>
      <c r="AI110" s="55"/>
      <c r="AJ110" s="55"/>
      <c r="AK110" s="55"/>
      <c r="AL110" s="55"/>
      <c r="AM110" s="55"/>
      <c r="AN110" s="55"/>
      <c r="AO110" s="55"/>
      <c r="AP110" s="55"/>
      <c r="AQ110" s="55"/>
      <c r="AR110" s="55"/>
      <c r="AS110" s="55"/>
      <c r="AT110" s="55"/>
      <c r="AU110" s="55"/>
      <c r="AV110" s="55"/>
      <c r="AW110" s="55"/>
      <c r="AX110" s="55"/>
      <c r="AY110" s="55"/>
      <c r="AZ110" s="55"/>
      <c r="BA110" s="55"/>
      <c r="BB110" s="55"/>
      <c r="BC110" s="55"/>
      <c r="BD110" s="55"/>
      <c r="BE110" s="55"/>
      <c r="BF110" s="55"/>
      <c r="BG110" s="55"/>
      <c r="BH110" s="55"/>
      <c r="BI110" s="55"/>
      <c r="BJ110" s="55"/>
      <c r="BK110" s="55"/>
      <c r="BL110" s="55"/>
      <c r="BM110" s="55"/>
      <c r="BN110" s="55"/>
      <c r="BO110" s="55"/>
      <c r="BP110" s="55"/>
      <c r="BQ110" s="55"/>
      <c r="BR110" s="55"/>
      <c r="BS110" s="55"/>
      <c r="BT110" s="55"/>
      <c r="BU110" s="55"/>
      <c r="BV110" s="55"/>
      <c r="BW110" s="55"/>
      <c r="BX110" s="55"/>
      <c r="BY110" s="55"/>
      <c r="BZ110" s="55"/>
      <c r="CA110" s="55"/>
      <c r="CB110" s="55"/>
      <c r="CC110" s="55"/>
      <c r="CD110" s="55"/>
      <c r="CE110" s="55"/>
      <c r="CF110" s="55"/>
      <c r="CG110" s="55"/>
      <c r="CH110" s="55"/>
      <c r="CI110" s="55"/>
      <c r="CJ110" s="55"/>
      <c r="CK110" s="55"/>
      <c r="CL110" s="55"/>
      <c r="CM110" s="55"/>
      <c r="CN110" s="55"/>
      <c r="CO110" s="55"/>
      <c r="CP110" s="55"/>
      <c r="CQ110" s="55"/>
      <c r="CR110" s="55"/>
      <c r="CS110" s="55"/>
      <c r="CT110" s="55"/>
      <c r="CU110" s="55"/>
      <c r="CV110" s="55"/>
      <c r="CW110" s="55"/>
      <c r="CX110" s="55"/>
      <c r="CY110" s="55"/>
      <c r="CZ110" s="55"/>
      <c r="DA110" s="55"/>
      <c r="DB110" s="55"/>
      <c r="DC110" s="55"/>
      <c r="DD110" s="55"/>
      <c r="DE110" s="55"/>
      <c r="DF110" s="55"/>
      <c r="DG110" s="55"/>
      <c r="DH110" s="55"/>
      <c r="DI110" s="55"/>
      <c r="DJ110" s="55"/>
      <c r="DK110" s="55"/>
      <c r="DL110" s="55"/>
      <c r="DM110" s="55"/>
      <c r="DN110" s="55"/>
      <c r="DO110" s="55"/>
      <c r="DP110" s="55"/>
      <c r="DQ110" s="55"/>
      <c r="DR110" s="55"/>
      <c r="DS110" s="55"/>
      <c r="DT110" s="55"/>
      <c r="DU110" s="55"/>
      <c r="DV110" s="55"/>
      <c r="DW110" s="55"/>
      <c r="DX110" s="55"/>
      <c r="DY110" s="55"/>
      <c r="DZ110" s="55"/>
      <c r="EA110" s="55"/>
      <c r="EB110" s="55"/>
      <c r="EC110" s="55"/>
      <c r="ED110" s="55"/>
      <c r="EE110" s="55"/>
      <c r="EF110" s="55"/>
      <c r="EG110" s="55"/>
      <c r="EH110" s="55"/>
      <c r="EI110" s="55"/>
      <c r="EJ110" s="55"/>
      <c r="EK110" s="55"/>
      <c r="EL110" s="55"/>
      <c r="EM110" s="55"/>
      <c r="EN110" s="55"/>
      <c r="EO110" s="55"/>
      <c r="EP110" s="55"/>
      <c r="EQ110" s="55"/>
      <c r="ER110" s="55"/>
      <c r="ES110" s="55"/>
      <c r="ET110" s="55"/>
      <c r="EU110" s="55"/>
      <c r="EV110" s="55"/>
      <c r="EW110" s="55"/>
      <c r="EX110" s="55"/>
      <c r="EY110" s="55"/>
      <c r="EZ110" s="55"/>
      <c r="FA110" s="55"/>
      <c r="FB110" s="55"/>
      <c r="FC110" s="55"/>
      <c r="FD110" s="55"/>
      <c r="FE110" s="55"/>
      <c r="FF110" s="55"/>
      <c r="FG110" s="55"/>
      <c r="FH110" s="55"/>
      <c r="FI110" s="55"/>
      <c r="FJ110" s="55"/>
      <c r="FK110" s="55"/>
      <c r="FL110" s="55"/>
      <c r="FM110" s="55"/>
      <c r="FN110" s="55"/>
      <c r="FO110" s="55"/>
      <c r="FP110" s="55"/>
      <c r="FQ110" s="55"/>
      <c r="FR110" s="55"/>
      <c r="FS110" s="55"/>
      <c r="FT110" s="55"/>
      <c r="FU110" s="55"/>
      <c r="FV110" s="55"/>
      <c r="FW110" s="55"/>
      <c r="FX110" s="55"/>
      <c r="FY110" s="55"/>
      <c r="FZ110" s="55"/>
      <c r="GA110" s="55"/>
      <c r="GB110" s="55"/>
      <c r="GC110" s="55"/>
      <c r="GD110" s="55"/>
      <c r="GE110" s="55"/>
      <c r="GF110" s="55"/>
      <c r="GG110" s="55"/>
      <c r="GH110" s="55"/>
      <c r="GI110" s="55"/>
      <c r="GJ110" s="55"/>
      <c r="GK110" s="55"/>
      <c r="GL110" s="55"/>
      <c r="GM110" s="55"/>
      <c r="GN110" s="55"/>
      <c r="GO110" s="55"/>
      <c r="GP110" s="55"/>
      <c r="GQ110" s="55"/>
      <c r="GR110" s="55"/>
      <c r="GS110" s="55"/>
      <c r="GT110" s="55"/>
      <c r="GU110" s="55"/>
      <c r="GV110" s="55"/>
      <c r="GW110" s="55"/>
      <c r="GX110" s="55"/>
      <c r="GY110" s="55"/>
      <c r="GZ110" s="55"/>
      <c r="HA110" s="55"/>
      <c r="HB110" s="55"/>
      <c r="HC110" s="55"/>
      <c r="HD110" s="55"/>
      <c r="HE110" s="55"/>
      <c r="HF110" s="55"/>
      <c r="HG110" s="55"/>
      <c r="HH110" s="55"/>
      <c r="HI110" s="55"/>
      <c r="HJ110" s="55"/>
      <c r="HK110" s="55"/>
      <c r="HL110" s="55"/>
      <c r="HM110" s="55"/>
      <c r="HN110" s="55"/>
      <c r="HO110" s="55"/>
      <c r="HP110" s="55"/>
      <c r="HQ110" s="55"/>
      <c r="HR110" s="55"/>
      <c r="HS110" s="55"/>
      <c r="HT110" s="55"/>
      <c r="HU110" s="55"/>
      <c r="HV110" s="55"/>
      <c r="HW110" s="55"/>
      <c r="HX110" s="55"/>
      <c r="HY110" s="55"/>
      <c r="HZ110" s="55"/>
      <c r="IA110" s="55"/>
      <c r="IB110" s="55"/>
    </row>
    <row r="111" spans="1:236" ht="15" customHeight="1" x14ac:dyDescent="0.2">
      <c r="A111" s="63" t="s">
        <v>362</v>
      </c>
      <c r="B111" s="46" t="s">
        <v>241</v>
      </c>
      <c r="C111" s="45" t="s">
        <v>160</v>
      </c>
      <c r="D111" s="451"/>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5"/>
      <c r="AQ111" s="55"/>
      <c r="AR111" s="55"/>
      <c r="AS111" s="55"/>
      <c r="AT111" s="55"/>
      <c r="AU111" s="55"/>
      <c r="AV111" s="55"/>
      <c r="AW111" s="55"/>
      <c r="AX111" s="55"/>
      <c r="AY111" s="55"/>
      <c r="AZ111" s="55"/>
      <c r="BA111" s="55"/>
      <c r="BB111" s="55"/>
      <c r="BC111" s="55"/>
      <c r="BD111" s="55"/>
      <c r="BE111" s="55"/>
      <c r="BF111" s="55"/>
      <c r="BG111" s="55"/>
      <c r="BH111" s="55"/>
      <c r="BI111" s="55"/>
      <c r="BJ111" s="55"/>
      <c r="BK111" s="55"/>
      <c r="BL111" s="55"/>
      <c r="BM111" s="55"/>
      <c r="BN111" s="55"/>
      <c r="BO111" s="55"/>
      <c r="BP111" s="55"/>
      <c r="BQ111" s="55"/>
      <c r="BR111" s="55"/>
      <c r="BS111" s="55"/>
      <c r="BT111" s="55"/>
      <c r="BU111" s="55"/>
      <c r="BV111" s="55"/>
      <c r="BW111" s="55"/>
      <c r="BX111" s="55"/>
      <c r="BY111" s="55"/>
      <c r="BZ111" s="55"/>
      <c r="CA111" s="55"/>
      <c r="CB111" s="55"/>
      <c r="CC111" s="55"/>
      <c r="CD111" s="55"/>
      <c r="CE111" s="55"/>
      <c r="CF111" s="55"/>
      <c r="CG111" s="55"/>
      <c r="CH111" s="55"/>
      <c r="CI111" s="55"/>
      <c r="CJ111" s="55"/>
      <c r="CK111" s="55"/>
      <c r="CL111" s="55"/>
      <c r="CM111" s="55"/>
      <c r="CN111" s="55"/>
      <c r="CO111" s="55"/>
      <c r="CP111" s="55"/>
      <c r="CQ111" s="55"/>
      <c r="CR111" s="55"/>
      <c r="CS111" s="55"/>
      <c r="CT111" s="55"/>
      <c r="CU111" s="55"/>
      <c r="CV111" s="55"/>
      <c r="CW111" s="55"/>
      <c r="CX111" s="55"/>
      <c r="CY111" s="55"/>
      <c r="CZ111" s="55"/>
      <c r="DA111" s="55"/>
      <c r="DB111" s="55"/>
      <c r="DC111" s="55"/>
      <c r="DD111" s="55"/>
      <c r="DE111" s="55"/>
      <c r="DF111" s="55"/>
      <c r="DG111" s="55"/>
      <c r="DH111" s="55"/>
      <c r="DI111" s="55"/>
      <c r="DJ111" s="55"/>
      <c r="DK111" s="55"/>
      <c r="DL111" s="55"/>
      <c r="DM111" s="55"/>
      <c r="DN111" s="55"/>
      <c r="DO111" s="55"/>
      <c r="DP111" s="55"/>
      <c r="DQ111" s="55"/>
      <c r="DR111" s="55"/>
      <c r="DS111" s="55"/>
      <c r="DT111" s="55"/>
      <c r="DU111" s="55"/>
      <c r="DV111" s="55"/>
      <c r="DW111" s="55"/>
      <c r="DX111" s="55"/>
      <c r="DY111" s="55"/>
      <c r="DZ111" s="55"/>
      <c r="EA111" s="55"/>
      <c r="EB111" s="55"/>
      <c r="EC111" s="55"/>
      <c r="ED111" s="55"/>
      <c r="EE111" s="55"/>
      <c r="EF111" s="55"/>
      <c r="EG111" s="55"/>
      <c r="EH111" s="55"/>
      <c r="EI111" s="55"/>
      <c r="EJ111" s="55"/>
      <c r="EK111" s="55"/>
      <c r="EL111" s="55"/>
      <c r="EM111" s="55"/>
      <c r="EN111" s="55"/>
      <c r="EO111" s="55"/>
      <c r="EP111" s="55"/>
      <c r="EQ111" s="55"/>
      <c r="ER111" s="55"/>
      <c r="ES111" s="55"/>
      <c r="ET111" s="55"/>
      <c r="EU111" s="55"/>
      <c r="EV111" s="55"/>
      <c r="EW111" s="55"/>
      <c r="EX111" s="55"/>
      <c r="EY111" s="55"/>
      <c r="EZ111" s="55"/>
      <c r="FA111" s="55"/>
      <c r="FB111" s="55"/>
      <c r="FC111" s="55"/>
      <c r="FD111" s="55"/>
      <c r="FE111" s="55"/>
      <c r="FF111" s="55"/>
      <c r="FG111" s="55"/>
      <c r="FH111" s="55"/>
      <c r="FI111" s="55"/>
      <c r="FJ111" s="55"/>
      <c r="FK111" s="55"/>
      <c r="FL111" s="55"/>
      <c r="FM111" s="55"/>
      <c r="FN111" s="55"/>
      <c r="FO111" s="55"/>
      <c r="FP111" s="55"/>
      <c r="FQ111" s="55"/>
      <c r="FR111" s="55"/>
      <c r="FS111" s="55"/>
      <c r="FT111" s="55"/>
      <c r="FU111" s="55"/>
      <c r="FV111" s="55"/>
      <c r="FW111" s="55"/>
      <c r="FX111" s="55"/>
      <c r="FY111" s="55"/>
      <c r="FZ111" s="55"/>
      <c r="GA111" s="55"/>
      <c r="GB111" s="55"/>
      <c r="GC111" s="55"/>
      <c r="GD111" s="55"/>
      <c r="GE111" s="55"/>
      <c r="GF111" s="55"/>
      <c r="GG111" s="55"/>
      <c r="GH111" s="55"/>
      <c r="GI111" s="55"/>
      <c r="GJ111" s="55"/>
      <c r="GK111" s="55"/>
      <c r="GL111" s="55"/>
      <c r="GM111" s="55"/>
      <c r="GN111" s="55"/>
      <c r="GO111" s="55"/>
      <c r="GP111" s="55"/>
      <c r="GQ111" s="55"/>
      <c r="GR111" s="55"/>
      <c r="GS111" s="55"/>
      <c r="GT111" s="55"/>
      <c r="GU111" s="55"/>
      <c r="GV111" s="55"/>
      <c r="GW111" s="55"/>
      <c r="GX111" s="55"/>
      <c r="GY111" s="55"/>
      <c r="GZ111" s="55"/>
      <c r="HA111" s="55"/>
      <c r="HB111" s="55"/>
      <c r="HC111" s="55"/>
      <c r="HD111" s="55"/>
      <c r="HE111" s="55"/>
      <c r="HF111" s="55"/>
      <c r="HG111" s="55"/>
      <c r="HH111" s="55"/>
      <c r="HI111" s="55"/>
      <c r="HJ111" s="55"/>
      <c r="HK111" s="55"/>
      <c r="HL111" s="55"/>
      <c r="HM111" s="55"/>
      <c r="HN111" s="55"/>
      <c r="HO111" s="55"/>
      <c r="HP111" s="55"/>
      <c r="HQ111" s="55"/>
      <c r="HR111" s="55"/>
      <c r="HS111" s="55"/>
      <c r="HT111" s="55"/>
      <c r="HU111" s="55"/>
      <c r="HV111" s="55"/>
      <c r="HW111" s="55"/>
      <c r="HX111" s="55"/>
      <c r="HY111" s="55"/>
      <c r="HZ111" s="55"/>
      <c r="IA111" s="55"/>
      <c r="IB111" s="55"/>
    </row>
    <row r="112" spans="1:236" ht="15" customHeight="1" x14ac:dyDescent="0.2">
      <c r="A112" s="63" t="s">
        <v>363</v>
      </c>
      <c r="B112" s="44" t="s">
        <v>404</v>
      </c>
      <c r="C112" s="45" t="s">
        <v>160</v>
      </c>
      <c r="D112" s="451"/>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c r="AH112" s="55"/>
      <c r="AI112" s="55"/>
      <c r="AJ112" s="55"/>
      <c r="AK112" s="55"/>
      <c r="AL112" s="55"/>
      <c r="AM112" s="55"/>
      <c r="AN112" s="55"/>
      <c r="AO112" s="55"/>
      <c r="AP112" s="55"/>
      <c r="AQ112" s="55"/>
      <c r="AR112" s="55"/>
      <c r="AS112" s="55"/>
      <c r="AT112" s="55"/>
      <c r="AU112" s="55"/>
      <c r="AV112" s="55"/>
      <c r="AW112" s="55"/>
      <c r="AX112" s="55"/>
      <c r="AY112" s="55"/>
      <c r="AZ112" s="55"/>
      <c r="BA112" s="55"/>
      <c r="BB112" s="55"/>
      <c r="BC112" s="55"/>
      <c r="BD112" s="55"/>
      <c r="BE112" s="55"/>
      <c r="BF112" s="55"/>
      <c r="BG112" s="55"/>
      <c r="BH112" s="55"/>
      <c r="BI112" s="55"/>
      <c r="BJ112" s="55"/>
      <c r="BK112" s="55"/>
      <c r="BL112" s="55"/>
      <c r="BM112" s="55"/>
      <c r="BN112" s="55"/>
      <c r="BO112" s="55"/>
      <c r="BP112" s="55"/>
      <c r="BQ112" s="55"/>
      <c r="BR112" s="55"/>
      <c r="BS112" s="55"/>
      <c r="BT112" s="55"/>
      <c r="BU112" s="55"/>
      <c r="BV112" s="55"/>
      <c r="BW112" s="55"/>
      <c r="BX112" s="55"/>
      <c r="BY112" s="55"/>
      <c r="BZ112" s="55"/>
      <c r="CA112" s="55"/>
      <c r="CB112" s="55"/>
      <c r="CC112" s="55"/>
      <c r="CD112" s="55"/>
      <c r="CE112" s="55"/>
      <c r="CF112" s="55"/>
      <c r="CG112" s="55"/>
      <c r="CH112" s="55"/>
      <c r="CI112" s="55"/>
      <c r="CJ112" s="55"/>
      <c r="CK112" s="55"/>
      <c r="CL112" s="55"/>
      <c r="CM112" s="55"/>
      <c r="CN112" s="55"/>
      <c r="CO112" s="55"/>
      <c r="CP112" s="55"/>
      <c r="CQ112" s="55"/>
      <c r="CR112" s="55"/>
      <c r="CS112" s="55"/>
      <c r="CT112" s="55"/>
      <c r="CU112" s="55"/>
      <c r="CV112" s="55"/>
      <c r="CW112" s="55"/>
      <c r="CX112" s="55"/>
      <c r="CY112" s="55"/>
      <c r="CZ112" s="55"/>
      <c r="DA112" s="55"/>
      <c r="DB112" s="55"/>
      <c r="DC112" s="55"/>
      <c r="DD112" s="55"/>
      <c r="DE112" s="55"/>
      <c r="DF112" s="55"/>
      <c r="DG112" s="55"/>
      <c r="DH112" s="55"/>
      <c r="DI112" s="55"/>
      <c r="DJ112" s="55"/>
      <c r="DK112" s="55"/>
      <c r="DL112" s="55"/>
      <c r="DM112" s="55"/>
      <c r="DN112" s="55"/>
      <c r="DO112" s="55"/>
      <c r="DP112" s="55"/>
      <c r="DQ112" s="55"/>
      <c r="DR112" s="55"/>
      <c r="DS112" s="55"/>
      <c r="DT112" s="55"/>
      <c r="DU112" s="55"/>
      <c r="DV112" s="55"/>
      <c r="DW112" s="55"/>
      <c r="DX112" s="55"/>
      <c r="DY112" s="55"/>
      <c r="DZ112" s="55"/>
      <c r="EA112" s="55"/>
      <c r="EB112" s="55"/>
      <c r="EC112" s="55"/>
      <c r="ED112" s="55"/>
      <c r="EE112" s="55"/>
      <c r="EF112" s="55"/>
      <c r="EG112" s="55"/>
      <c r="EH112" s="55"/>
      <c r="EI112" s="55"/>
      <c r="EJ112" s="55"/>
      <c r="EK112" s="55"/>
      <c r="EL112" s="55"/>
      <c r="EM112" s="55"/>
      <c r="EN112" s="55"/>
      <c r="EO112" s="55"/>
      <c r="EP112" s="55"/>
      <c r="EQ112" s="55"/>
      <c r="ER112" s="55"/>
      <c r="ES112" s="55"/>
      <c r="ET112" s="55"/>
      <c r="EU112" s="55"/>
      <c r="EV112" s="55"/>
      <c r="EW112" s="55"/>
      <c r="EX112" s="55"/>
      <c r="EY112" s="55"/>
      <c r="EZ112" s="55"/>
      <c r="FA112" s="55"/>
      <c r="FB112" s="55"/>
      <c r="FC112" s="55"/>
      <c r="FD112" s="55"/>
      <c r="FE112" s="55"/>
      <c r="FF112" s="55"/>
      <c r="FG112" s="55"/>
      <c r="FH112" s="55"/>
      <c r="FI112" s="55"/>
      <c r="FJ112" s="55"/>
      <c r="FK112" s="55"/>
      <c r="FL112" s="55"/>
      <c r="FM112" s="55"/>
      <c r="FN112" s="55"/>
      <c r="FO112" s="55"/>
      <c r="FP112" s="55"/>
      <c r="FQ112" s="55"/>
      <c r="FR112" s="55"/>
      <c r="FS112" s="55"/>
      <c r="FT112" s="55"/>
      <c r="FU112" s="55"/>
      <c r="FV112" s="55"/>
      <c r="FW112" s="55"/>
      <c r="FX112" s="55"/>
      <c r="FY112" s="55"/>
      <c r="FZ112" s="55"/>
      <c r="GA112" s="55"/>
      <c r="GB112" s="55"/>
      <c r="GC112" s="55"/>
      <c r="GD112" s="55"/>
      <c r="GE112" s="55"/>
      <c r="GF112" s="55"/>
      <c r="GG112" s="55"/>
      <c r="GH112" s="55"/>
      <c r="GI112" s="55"/>
      <c r="GJ112" s="55"/>
      <c r="GK112" s="55"/>
      <c r="GL112" s="55"/>
      <c r="GM112" s="55"/>
      <c r="GN112" s="55"/>
      <c r="GO112" s="55"/>
      <c r="GP112" s="55"/>
      <c r="GQ112" s="55"/>
      <c r="GR112" s="55"/>
      <c r="GS112" s="55"/>
      <c r="GT112" s="55"/>
      <c r="GU112" s="55"/>
      <c r="GV112" s="55"/>
      <c r="GW112" s="55"/>
      <c r="GX112" s="55"/>
      <c r="GY112" s="55"/>
      <c r="GZ112" s="55"/>
      <c r="HA112" s="55"/>
      <c r="HB112" s="55"/>
      <c r="HC112" s="55"/>
      <c r="HD112" s="55"/>
      <c r="HE112" s="55"/>
      <c r="HF112" s="55"/>
      <c r="HG112" s="55"/>
      <c r="HH112" s="55"/>
      <c r="HI112" s="55"/>
      <c r="HJ112" s="55"/>
      <c r="HK112" s="55"/>
      <c r="HL112" s="55"/>
      <c r="HM112" s="55"/>
      <c r="HN112" s="55"/>
      <c r="HO112" s="55"/>
      <c r="HP112" s="55"/>
      <c r="HQ112" s="55"/>
      <c r="HR112" s="55"/>
      <c r="HS112" s="55"/>
      <c r="HT112" s="55"/>
      <c r="HU112" s="55"/>
      <c r="HV112" s="55"/>
      <c r="HW112" s="55"/>
      <c r="HX112" s="55"/>
      <c r="HY112" s="55"/>
      <c r="HZ112" s="55"/>
      <c r="IA112" s="55"/>
      <c r="IB112" s="55"/>
    </row>
    <row r="113" spans="1:236" ht="15" customHeight="1" x14ac:dyDescent="0.2">
      <c r="A113" s="63" t="s">
        <v>364</v>
      </c>
      <c r="B113" s="44" t="s">
        <v>242</v>
      </c>
      <c r="C113" s="45" t="s">
        <v>160</v>
      </c>
      <c r="D113" s="451"/>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c r="AH113" s="55"/>
      <c r="AI113" s="55"/>
      <c r="AJ113" s="55"/>
      <c r="AK113" s="55"/>
      <c r="AL113" s="55"/>
      <c r="AM113" s="55"/>
      <c r="AN113" s="55"/>
      <c r="AO113" s="55"/>
      <c r="AP113" s="55"/>
      <c r="AQ113" s="55"/>
      <c r="AR113" s="55"/>
      <c r="AS113" s="55"/>
      <c r="AT113" s="55"/>
      <c r="AU113" s="55"/>
      <c r="AV113" s="55"/>
      <c r="AW113" s="55"/>
      <c r="AX113" s="55"/>
      <c r="AY113" s="55"/>
      <c r="AZ113" s="55"/>
      <c r="BA113" s="55"/>
      <c r="BB113" s="55"/>
      <c r="BC113" s="55"/>
      <c r="BD113" s="55"/>
      <c r="BE113" s="55"/>
      <c r="BF113" s="55"/>
      <c r="BG113" s="55"/>
      <c r="BH113" s="55"/>
      <c r="BI113" s="55"/>
      <c r="BJ113" s="55"/>
      <c r="BK113" s="55"/>
      <c r="BL113" s="55"/>
      <c r="BM113" s="55"/>
      <c r="BN113" s="55"/>
      <c r="BO113" s="55"/>
      <c r="BP113" s="55"/>
      <c r="BQ113" s="55"/>
      <c r="BR113" s="55"/>
      <c r="BS113" s="55"/>
      <c r="BT113" s="55"/>
      <c r="BU113" s="55"/>
      <c r="BV113" s="55"/>
      <c r="BW113" s="55"/>
      <c r="BX113" s="55"/>
      <c r="BY113" s="55"/>
      <c r="BZ113" s="55"/>
      <c r="CA113" s="55"/>
      <c r="CB113" s="55"/>
      <c r="CC113" s="55"/>
      <c r="CD113" s="55"/>
      <c r="CE113" s="55"/>
      <c r="CF113" s="55"/>
      <c r="CG113" s="55"/>
      <c r="CH113" s="55"/>
      <c r="CI113" s="55"/>
      <c r="CJ113" s="55"/>
      <c r="CK113" s="55"/>
      <c r="CL113" s="55"/>
      <c r="CM113" s="55"/>
      <c r="CN113" s="55"/>
      <c r="CO113" s="55"/>
      <c r="CP113" s="55"/>
      <c r="CQ113" s="55"/>
      <c r="CR113" s="55"/>
      <c r="CS113" s="55"/>
      <c r="CT113" s="55"/>
      <c r="CU113" s="55"/>
      <c r="CV113" s="55"/>
      <c r="CW113" s="55"/>
      <c r="CX113" s="55"/>
      <c r="CY113" s="55"/>
      <c r="CZ113" s="55"/>
      <c r="DA113" s="55"/>
      <c r="DB113" s="55"/>
      <c r="DC113" s="55"/>
      <c r="DD113" s="55"/>
      <c r="DE113" s="55"/>
      <c r="DF113" s="55"/>
      <c r="DG113" s="55"/>
      <c r="DH113" s="55"/>
      <c r="DI113" s="55"/>
      <c r="DJ113" s="55"/>
      <c r="DK113" s="55"/>
      <c r="DL113" s="55"/>
      <c r="DM113" s="55"/>
      <c r="DN113" s="55"/>
      <c r="DO113" s="55"/>
      <c r="DP113" s="55"/>
      <c r="DQ113" s="55"/>
      <c r="DR113" s="55"/>
      <c r="DS113" s="55"/>
      <c r="DT113" s="55"/>
      <c r="DU113" s="55"/>
      <c r="DV113" s="55"/>
      <c r="DW113" s="55"/>
      <c r="DX113" s="55"/>
      <c r="DY113" s="55"/>
      <c r="DZ113" s="55"/>
      <c r="EA113" s="55"/>
      <c r="EB113" s="55"/>
      <c r="EC113" s="55"/>
      <c r="ED113" s="55"/>
      <c r="EE113" s="55"/>
      <c r="EF113" s="55"/>
      <c r="EG113" s="55"/>
      <c r="EH113" s="55"/>
      <c r="EI113" s="55"/>
      <c r="EJ113" s="55"/>
      <c r="EK113" s="55"/>
      <c r="EL113" s="55"/>
      <c r="EM113" s="55"/>
      <c r="EN113" s="55"/>
      <c r="EO113" s="55"/>
      <c r="EP113" s="55"/>
      <c r="EQ113" s="55"/>
      <c r="ER113" s="55"/>
      <c r="ES113" s="55"/>
      <c r="ET113" s="55"/>
      <c r="EU113" s="55"/>
      <c r="EV113" s="55"/>
      <c r="EW113" s="55"/>
      <c r="EX113" s="55"/>
      <c r="EY113" s="55"/>
      <c r="EZ113" s="55"/>
      <c r="FA113" s="55"/>
      <c r="FB113" s="55"/>
      <c r="FC113" s="55"/>
      <c r="FD113" s="55"/>
      <c r="FE113" s="55"/>
      <c r="FF113" s="55"/>
      <c r="FG113" s="55"/>
      <c r="FH113" s="55"/>
      <c r="FI113" s="55"/>
      <c r="FJ113" s="55"/>
      <c r="FK113" s="55"/>
      <c r="FL113" s="55"/>
      <c r="FM113" s="55"/>
      <c r="FN113" s="55"/>
      <c r="FO113" s="55"/>
      <c r="FP113" s="55"/>
      <c r="FQ113" s="55"/>
      <c r="FR113" s="55"/>
      <c r="FS113" s="55"/>
      <c r="FT113" s="55"/>
      <c r="FU113" s="55"/>
      <c r="FV113" s="55"/>
      <c r="FW113" s="55"/>
      <c r="FX113" s="55"/>
      <c r="FY113" s="55"/>
      <c r="FZ113" s="55"/>
      <c r="GA113" s="55"/>
      <c r="GB113" s="55"/>
      <c r="GC113" s="55"/>
      <c r="GD113" s="55"/>
      <c r="GE113" s="55"/>
      <c r="GF113" s="55"/>
      <c r="GG113" s="55"/>
      <c r="GH113" s="55"/>
      <c r="GI113" s="55"/>
      <c r="GJ113" s="55"/>
      <c r="GK113" s="55"/>
      <c r="GL113" s="55"/>
      <c r="GM113" s="55"/>
      <c r="GN113" s="55"/>
      <c r="GO113" s="55"/>
      <c r="GP113" s="55"/>
      <c r="GQ113" s="55"/>
      <c r="GR113" s="55"/>
      <c r="GS113" s="55"/>
      <c r="GT113" s="55"/>
      <c r="GU113" s="55"/>
      <c r="GV113" s="55"/>
      <c r="GW113" s="55"/>
      <c r="GX113" s="55"/>
      <c r="GY113" s="55"/>
      <c r="GZ113" s="55"/>
      <c r="HA113" s="55"/>
      <c r="HB113" s="55"/>
      <c r="HC113" s="55"/>
      <c r="HD113" s="55"/>
      <c r="HE113" s="55"/>
      <c r="HF113" s="55"/>
      <c r="HG113" s="55"/>
      <c r="HH113" s="55"/>
      <c r="HI113" s="55"/>
      <c r="HJ113" s="55"/>
      <c r="HK113" s="55"/>
      <c r="HL113" s="55"/>
      <c r="HM113" s="55"/>
      <c r="HN113" s="55"/>
      <c r="HO113" s="55"/>
      <c r="HP113" s="55"/>
      <c r="HQ113" s="55"/>
      <c r="HR113" s="55"/>
      <c r="HS113" s="55"/>
      <c r="HT113" s="55"/>
      <c r="HU113" s="55"/>
      <c r="HV113" s="55"/>
      <c r="HW113" s="55"/>
      <c r="HX113" s="55"/>
      <c r="HY113" s="55"/>
      <c r="HZ113" s="55"/>
      <c r="IA113" s="55"/>
      <c r="IB113" s="55"/>
    </row>
    <row r="114" spans="1:236" ht="15" customHeight="1" x14ac:dyDescent="0.2">
      <c r="A114" s="63" t="s">
        <v>365</v>
      </c>
      <c r="B114" s="44" t="s">
        <v>243</v>
      </c>
      <c r="C114" s="45" t="s">
        <v>198</v>
      </c>
      <c r="D114" s="451"/>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c r="AH114" s="55"/>
      <c r="AI114" s="55"/>
      <c r="AJ114" s="55"/>
      <c r="AK114" s="55"/>
      <c r="AL114" s="55"/>
      <c r="AM114" s="55"/>
      <c r="AN114" s="55"/>
      <c r="AO114" s="55"/>
      <c r="AP114" s="55"/>
      <c r="AQ114" s="55"/>
      <c r="AR114" s="55"/>
      <c r="AS114" s="55"/>
      <c r="AT114" s="55"/>
      <c r="AU114" s="55"/>
      <c r="AV114" s="55"/>
      <c r="AW114" s="55"/>
      <c r="AX114" s="55"/>
      <c r="AY114" s="55"/>
      <c r="AZ114" s="55"/>
      <c r="BA114" s="55"/>
      <c r="BB114" s="55"/>
      <c r="BC114" s="55"/>
      <c r="BD114" s="55"/>
      <c r="BE114" s="55"/>
      <c r="BF114" s="55"/>
      <c r="BG114" s="55"/>
      <c r="BH114" s="55"/>
      <c r="BI114" s="55"/>
      <c r="BJ114" s="55"/>
      <c r="BK114" s="55"/>
      <c r="BL114" s="55"/>
      <c r="BM114" s="55"/>
      <c r="BN114" s="55"/>
      <c r="BO114" s="55"/>
      <c r="BP114" s="55"/>
      <c r="BQ114" s="55"/>
      <c r="BR114" s="55"/>
      <c r="BS114" s="55"/>
      <c r="BT114" s="55"/>
      <c r="BU114" s="55"/>
      <c r="BV114" s="55"/>
      <c r="BW114" s="55"/>
      <c r="BX114" s="55"/>
      <c r="BY114" s="55"/>
      <c r="BZ114" s="55"/>
      <c r="CA114" s="55"/>
      <c r="CB114" s="55"/>
      <c r="CC114" s="55"/>
      <c r="CD114" s="55"/>
      <c r="CE114" s="55"/>
      <c r="CF114" s="55"/>
      <c r="CG114" s="55"/>
      <c r="CH114" s="55"/>
      <c r="CI114" s="55"/>
      <c r="CJ114" s="55"/>
      <c r="CK114" s="55"/>
      <c r="CL114" s="55"/>
      <c r="CM114" s="55"/>
      <c r="CN114" s="55"/>
      <c r="CO114" s="55"/>
      <c r="CP114" s="55"/>
      <c r="CQ114" s="55"/>
      <c r="CR114" s="55"/>
      <c r="CS114" s="55"/>
      <c r="CT114" s="55"/>
      <c r="CU114" s="55"/>
      <c r="CV114" s="55"/>
      <c r="CW114" s="55"/>
      <c r="CX114" s="55"/>
      <c r="CY114" s="55"/>
      <c r="CZ114" s="55"/>
      <c r="DA114" s="55"/>
      <c r="DB114" s="55"/>
      <c r="DC114" s="55"/>
      <c r="DD114" s="55"/>
      <c r="DE114" s="55"/>
      <c r="DF114" s="55"/>
      <c r="DG114" s="55"/>
      <c r="DH114" s="55"/>
      <c r="DI114" s="55"/>
      <c r="DJ114" s="55"/>
      <c r="DK114" s="55"/>
      <c r="DL114" s="55"/>
      <c r="DM114" s="55"/>
      <c r="DN114" s="55"/>
      <c r="DO114" s="55"/>
      <c r="DP114" s="55"/>
      <c r="DQ114" s="55"/>
      <c r="DR114" s="55"/>
      <c r="DS114" s="55"/>
      <c r="DT114" s="55"/>
      <c r="DU114" s="55"/>
      <c r="DV114" s="55"/>
      <c r="DW114" s="55"/>
      <c r="DX114" s="55"/>
      <c r="DY114" s="55"/>
      <c r="DZ114" s="55"/>
      <c r="EA114" s="55"/>
      <c r="EB114" s="55"/>
      <c r="EC114" s="55"/>
      <c r="ED114" s="55"/>
      <c r="EE114" s="55"/>
      <c r="EF114" s="55"/>
      <c r="EG114" s="55"/>
      <c r="EH114" s="55"/>
      <c r="EI114" s="55"/>
      <c r="EJ114" s="55"/>
      <c r="EK114" s="55"/>
      <c r="EL114" s="55"/>
      <c r="EM114" s="55"/>
      <c r="EN114" s="55"/>
      <c r="EO114" s="55"/>
      <c r="EP114" s="55"/>
      <c r="EQ114" s="55"/>
      <c r="ER114" s="55"/>
      <c r="ES114" s="55"/>
      <c r="ET114" s="55"/>
      <c r="EU114" s="55"/>
      <c r="EV114" s="55"/>
      <c r="EW114" s="55"/>
      <c r="EX114" s="55"/>
      <c r="EY114" s="55"/>
      <c r="EZ114" s="55"/>
      <c r="FA114" s="55"/>
      <c r="FB114" s="55"/>
      <c r="FC114" s="55"/>
      <c r="FD114" s="55"/>
      <c r="FE114" s="55"/>
      <c r="FF114" s="55"/>
      <c r="FG114" s="55"/>
      <c r="FH114" s="55"/>
      <c r="FI114" s="55"/>
      <c r="FJ114" s="55"/>
      <c r="FK114" s="55"/>
      <c r="FL114" s="55"/>
      <c r="FM114" s="55"/>
      <c r="FN114" s="55"/>
      <c r="FO114" s="55"/>
      <c r="FP114" s="55"/>
      <c r="FQ114" s="55"/>
      <c r="FR114" s="55"/>
      <c r="FS114" s="55"/>
      <c r="FT114" s="55"/>
      <c r="FU114" s="55"/>
      <c r="FV114" s="55"/>
      <c r="FW114" s="55"/>
      <c r="FX114" s="55"/>
      <c r="FY114" s="55"/>
      <c r="FZ114" s="55"/>
      <c r="GA114" s="55"/>
      <c r="GB114" s="55"/>
      <c r="GC114" s="55"/>
      <c r="GD114" s="55"/>
      <c r="GE114" s="55"/>
      <c r="GF114" s="55"/>
      <c r="GG114" s="55"/>
      <c r="GH114" s="55"/>
      <c r="GI114" s="55"/>
      <c r="GJ114" s="55"/>
      <c r="GK114" s="55"/>
      <c r="GL114" s="55"/>
      <c r="GM114" s="55"/>
      <c r="GN114" s="55"/>
      <c r="GO114" s="55"/>
      <c r="GP114" s="55"/>
      <c r="GQ114" s="55"/>
      <c r="GR114" s="55"/>
      <c r="GS114" s="55"/>
      <c r="GT114" s="55"/>
      <c r="GU114" s="55"/>
      <c r="GV114" s="55"/>
      <c r="GW114" s="55"/>
      <c r="GX114" s="55"/>
      <c r="GY114" s="55"/>
      <c r="GZ114" s="55"/>
      <c r="HA114" s="55"/>
      <c r="HB114" s="55"/>
      <c r="HC114" s="55"/>
      <c r="HD114" s="55"/>
      <c r="HE114" s="55"/>
      <c r="HF114" s="55"/>
      <c r="HG114" s="55"/>
      <c r="HH114" s="55"/>
      <c r="HI114" s="55"/>
      <c r="HJ114" s="55"/>
      <c r="HK114" s="55"/>
      <c r="HL114" s="55"/>
      <c r="HM114" s="55"/>
      <c r="HN114" s="55"/>
      <c r="HO114" s="55"/>
      <c r="HP114" s="55"/>
      <c r="HQ114" s="55"/>
      <c r="HR114" s="55"/>
      <c r="HS114" s="55"/>
      <c r="HT114" s="55"/>
      <c r="HU114" s="55"/>
      <c r="HV114" s="55"/>
      <c r="HW114" s="55"/>
      <c r="HX114" s="55"/>
      <c r="HY114" s="55"/>
      <c r="HZ114" s="55"/>
      <c r="IA114" s="55"/>
      <c r="IB114" s="55"/>
    </row>
    <row r="115" spans="1:236" ht="15" customHeight="1" x14ac:dyDescent="0.2">
      <c r="A115" s="63" t="s">
        <v>366</v>
      </c>
      <c r="B115" s="44" t="s">
        <v>663</v>
      </c>
      <c r="C115" s="45" t="s">
        <v>196</v>
      </c>
      <c r="D115" s="451"/>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5"/>
      <c r="AG115" s="55"/>
      <c r="AH115" s="55"/>
      <c r="AI115" s="55"/>
      <c r="AJ115" s="55"/>
      <c r="AK115" s="55"/>
      <c r="AL115" s="55"/>
      <c r="AM115" s="55"/>
      <c r="AN115" s="55"/>
      <c r="AO115" s="55"/>
      <c r="AP115" s="55"/>
      <c r="AQ115" s="55"/>
      <c r="AR115" s="55"/>
      <c r="AS115" s="55"/>
      <c r="AT115" s="55"/>
      <c r="AU115" s="55"/>
      <c r="AV115" s="55"/>
      <c r="AW115" s="55"/>
      <c r="AX115" s="55"/>
      <c r="AY115" s="55"/>
      <c r="AZ115" s="55"/>
      <c r="BA115" s="55"/>
      <c r="BB115" s="55"/>
      <c r="BC115" s="55"/>
      <c r="BD115" s="55"/>
      <c r="BE115" s="55"/>
      <c r="BF115" s="55"/>
      <c r="BG115" s="55"/>
      <c r="BH115" s="55"/>
      <c r="BI115" s="55"/>
      <c r="BJ115" s="55"/>
      <c r="BK115" s="55"/>
      <c r="BL115" s="55"/>
      <c r="BM115" s="55"/>
      <c r="BN115" s="55"/>
      <c r="BO115" s="55"/>
      <c r="BP115" s="55"/>
      <c r="BQ115" s="55"/>
      <c r="BR115" s="55"/>
      <c r="BS115" s="55"/>
      <c r="BT115" s="55"/>
      <c r="BU115" s="55"/>
      <c r="BV115" s="55"/>
      <c r="BW115" s="55"/>
      <c r="BX115" s="55"/>
      <c r="BY115" s="55"/>
      <c r="BZ115" s="55"/>
      <c r="CA115" s="55"/>
      <c r="CB115" s="55"/>
      <c r="CC115" s="55"/>
      <c r="CD115" s="55"/>
      <c r="CE115" s="55"/>
      <c r="CF115" s="55"/>
      <c r="CG115" s="55"/>
      <c r="CH115" s="55"/>
      <c r="CI115" s="55"/>
      <c r="CJ115" s="55"/>
      <c r="CK115" s="55"/>
      <c r="CL115" s="55"/>
      <c r="CM115" s="55"/>
      <c r="CN115" s="55"/>
      <c r="CO115" s="55"/>
      <c r="CP115" s="55"/>
      <c r="CQ115" s="55"/>
      <c r="CR115" s="55"/>
      <c r="CS115" s="55"/>
      <c r="CT115" s="55"/>
      <c r="CU115" s="55"/>
      <c r="CV115" s="55"/>
      <c r="CW115" s="55"/>
      <c r="CX115" s="55"/>
      <c r="CY115" s="55"/>
      <c r="CZ115" s="55"/>
      <c r="DA115" s="55"/>
      <c r="DB115" s="55"/>
      <c r="DC115" s="55"/>
      <c r="DD115" s="55"/>
      <c r="DE115" s="55"/>
      <c r="DF115" s="55"/>
      <c r="DG115" s="55"/>
      <c r="DH115" s="55"/>
      <c r="DI115" s="55"/>
      <c r="DJ115" s="55"/>
      <c r="DK115" s="55"/>
      <c r="DL115" s="55"/>
      <c r="DM115" s="55"/>
      <c r="DN115" s="55"/>
      <c r="DO115" s="55"/>
      <c r="DP115" s="55"/>
      <c r="DQ115" s="55"/>
      <c r="DR115" s="55"/>
      <c r="DS115" s="55"/>
      <c r="DT115" s="55"/>
      <c r="DU115" s="55"/>
      <c r="DV115" s="55"/>
      <c r="DW115" s="55"/>
      <c r="DX115" s="55"/>
      <c r="DY115" s="55"/>
      <c r="DZ115" s="55"/>
      <c r="EA115" s="55"/>
      <c r="EB115" s="55"/>
      <c r="EC115" s="55"/>
      <c r="ED115" s="55"/>
      <c r="EE115" s="55"/>
      <c r="EF115" s="55"/>
      <c r="EG115" s="55"/>
      <c r="EH115" s="55"/>
      <c r="EI115" s="55"/>
      <c r="EJ115" s="55"/>
      <c r="EK115" s="55"/>
      <c r="EL115" s="55"/>
      <c r="EM115" s="55"/>
      <c r="EN115" s="55"/>
      <c r="EO115" s="55"/>
      <c r="EP115" s="55"/>
      <c r="EQ115" s="55"/>
      <c r="ER115" s="55"/>
      <c r="ES115" s="55"/>
      <c r="ET115" s="55"/>
      <c r="EU115" s="55"/>
      <c r="EV115" s="55"/>
      <c r="EW115" s="55"/>
      <c r="EX115" s="55"/>
      <c r="EY115" s="55"/>
      <c r="EZ115" s="55"/>
      <c r="FA115" s="55"/>
      <c r="FB115" s="55"/>
      <c r="FC115" s="55"/>
      <c r="FD115" s="55"/>
      <c r="FE115" s="55"/>
      <c r="FF115" s="55"/>
      <c r="FG115" s="55"/>
      <c r="FH115" s="55"/>
      <c r="FI115" s="55"/>
      <c r="FJ115" s="55"/>
      <c r="FK115" s="55"/>
      <c r="FL115" s="55"/>
      <c r="FM115" s="55"/>
      <c r="FN115" s="55"/>
      <c r="FO115" s="55"/>
      <c r="FP115" s="55"/>
      <c r="FQ115" s="55"/>
      <c r="FR115" s="55"/>
      <c r="FS115" s="55"/>
      <c r="FT115" s="55"/>
      <c r="FU115" s="55"/>
      <c r="FV115" s="55"/>
      <c r="FW115" s="55"/>
      <c r="FX115" s="55"/>
      <c r="FY115" s="55"/>
      <c r="FZ115" s="55"/>
      <c r="GA115" s="55"/>
      <c r="GB115" s="55"/>
      <c r="GC115" s="55"/>
      <c r="GD115" s="55"/>
      <c r="GE115" s="55"/>
      <c r="GF115" s="55"/>
      <c r="GG115" s="55"/>
      <c r="GH115" s="55"/>
      <c r="GI115" s="55"/>
      <c r="GJ115" s="55"/>
      <c r="GK115" s="55"/>
      <c r="GL115" s="55"/>
      <c r="GM115" s="55"/>
      <c r="GN115" s="55"/>
      <c r="GO115" s="55"/>
      <c r="GP115" s="55"/>
      <c r="GQ115" s="55"/>
      <c r="GR115" s="55"/>
      <c r="GS115" s="55"/>
      <c r="GT115" s="55"/>
      <c r="GU115" s="55"/>
      <c r="GV115" s="55"/>
      <c r="GW115" s="55"/>
      <c r="GX115" s="55"/>
      <c r="GY115" s="55"/>
      <c r="GZ115" s="55"/>
      <c r="HA115" s="55"/>
      <c r="HB115" s="55"/>
      <c r="HC115" s="55"/>
      <c r="HD115" s="55"/>
      <c r="HE115" s="55"/>
      <c r="HF115" s="55"/>
      <c r="HG115" s="55"/>
      <c r="HH115" s="55"/>
      <c r="HI115" s="55"/>
      <c r="HJ115" s="55"/>
      <c r="HK115" s="55"/>
      <c r="HL115" s="55"/>
      <c r="HM115" s="55"/>
      <c r="HN115" s="55"/>
      <c r="HO115" s="55"/>
      <c r="HP115" s="55"/>
      <c r="HQ115" s="55"/>
      <c r="HR115" s="55"/>
      <c r="HS115" s="55"/>
      <c r="HT115" s="55"/>
      <c r="HU115" s="55"/>
      <c r="HV115" s="55"/>
      <c r="HW115" s="55"/>
      <c r="HX115" s="55"/>
      <c r="HY115" s="55"/>
      <c r="HZ115" s="55"/>
      <c r="IA115" s="55"/>
      <c r="IB115" s="55"/>
    </row>
    <row r="116" spans="1:236" ht="15" customHeight="1" x14ac:dyDescent="0.2">
      <c r="A116" s="63" t="s">
        <v>367</v>
      </c>
      <c r="B116" s="44" t="s">
        <v>664</v>
      </c>
      <c r="C116" s="45" t="s">
        <v>196</v>
      </c>
      <c r="D116" s="451"/>
      <c r="E116" s="55"/>
      <c r="F116" s="55"/>
      <c r="G116" s="55"/>
      <c r="H116" s="55"/>
      <c r="I116" s="55"/>
      <c r="J116" s="55"/>
      <c r="K116" s="55"/>
      <c r="L116" s="55"/>
      <c r="M116" s="55"/>
      <c r="N116" s="55"/>
      <c r="O116" s="55"/>
      <c r="P116" s="55"/>
      <c r="Q116" s="55"/>
      <c r="R116" s="55"/>
      <c r="S116" s="55"/>
      <c r="T116" s="55"/>
      <c r="U116" s="55"/>
      <c r="V116" s="55"/>
      <c r="W116" s="55"/>
      <c r="X116" s="55"/>
      <c r="Y116" s="55"/>
      <c r="Z116" s="55"/>
      <c r="AA116" s="55"/>
      <c r="AB116" s="55"/>
      <c r="AC116" s="55"/>
      <c r="AD116" s="55"/>
      <c r="AE116" s="55"/>
      <c r="AF116" s="55"/>
      <c r="AG116" s="55"/>
      <c r="AH116" s="55"/>
      <c r="AI116" s="55"/>
      <c r="AJ116" s="55"/>
      <c r="AK116" s="55"/>
      <c r="AL116" s="55"/>
      <c r="AM116" s="55"/>
      <c r="AN116" s="55"/>
      <c r="AO116" s="55"/>
      <c r="AP116" s="55"/>
      <c r="AQ116" s="55"/>
      <c r="AR116" s="55"/>
      <c r="AS116" s="55"/>
      <c r="AT116" s="55"/>
      <c r="AU116" s="55"/>
      <c r="AV116" s="55"/>
      <c r="AW116" s="55"/>
      <c r="AX116" s="55"/>
      <c r="AY116" s="55"/>
      <c r="AZ116" s="55"/>
      <c r="BA116" s="55"/>
      <c r="BB116" s="55"/>
      <c r="BC116" s="55"/>
      <c r="BD116" s="55"/>
      <c r="BE116" s="55"/>
      <c r="BF116" s="55"/>
      <c r="BG116" s="55"/>
      <c r="BH116" s="55"/>
      <c r="BI116" s="55"/>
      <c r="BJ116" s="55"/>
      <c r="BK116" s="55"/>
      <c r="BL116" s="55"/>
      <c r="BM116" s="55"/>
      <c r="BN116" s="55"/>
      <c r="BO116" s="55"/>
      <c r="BP116" s="55"/>
      <c r="BQ116" s="55"/>
      <c r="BR116" s="55"/>
      <c r="BS116" s="55"/>
      <c r="BT116" s="55"/>
      <c r="BU116" s="55"/>
      <c r="BV116" s="55"/>
      <c r="BW116" s="55"/>
      <c r="BX116" s="55"/>
      <c r="BY116" s="55"/>
      <c r="BZ116" s="55"/>
      <c r="CA116" s="55"/>
      <c r="CB116" s="55"/>
      <c r="CC116" s="55"/>
      <c r="CD116" s="55"/>
      <c r="CE116" s="55"/>
      <c r="CF116" s="55"/>
      <c r="CG116" s="55"/>
      <c r="CH116" s="55"/>
      <c r="CI116" s="55"/>
      <c r="CJ116" s="55"/>
      <c r="CK116" s="55"/>
      <c r="CL116" s="55"/>
      <c r="CM116" s="55"/>
      <c r="CN116" s="55"/>
      <c r="CO116" s="55"/>
      <c r="CP116" s="55"/>
      <c r="CQ116" s="55"/>
      <c r="CR116" s="55"/>
      <c r="CS116" s="55"/>
      <c r="CT116" s="55"/>
      <c r="CU116" s="55"/>
      <c r="CV116" s="55"/>
      <c r="CW116" s="55"/>
      <c r="CX116" s="55"/>
      <c r="CY116" s="55"/>
      <c r="CZ116" s="55"/>
      <c r="DA116" s="55"/>
      <c r="DB116" s="55"/>
      <c r="DC116" s="55"/>
      <c r="DD116" s="55"/>
      <c r="DE116" s="55"/>
      <c r="DF116" s="55"/>
      <c r="DG116" s="55"/>
      <c r="DH116" s="55"/>
      <c r="DI116" s="55"/>
      <c r="DJ116" s="55"/>
      <c r="DK116" s="55"/>
      <c r="DL116" s="55"/>
      <c r="DM116" s="55"/>
      <c r="DN116" s="55"/>
      <c r="DO116" s="55"/>
      <c r="DP116" s="55"/>
      <c r="DQ116" s="55"/>
      <c r="DR116" s="55"/>
      <c r="DS116" s="55"/>
      <c r="DT116" s="55"/>
      <c r="DU116" s="55"/>
      <c r="DV116" s="55"/>
      <c r="DW116" s="55"/>
      <c r="DX116" s="55"/>
      <c r="DY116" s="55"/>
      <c r="DZ116" s="55"/>
      <c r="EA116" s="55"/>
      <c r="EB116" s="55"/>
      <c r="EC116" s="55"/>
      <c r="ED116" s="55"/>
      <c r="EE116" s="55"/>
      <c r="EF116" s="55"/>
      <c r="EG116" s="55"/>
      <c r="EH116" s="55"/>
      <c r="EI116" s="55"/>
      <c r="EJ116" s="55"/>
      <c r="EK116" s="55"/>
      <c r="EL116" s="55"/>
      <c r="EM116" s="55"/>
      <c r="EN116" s="55"/>
      <c r="EO116" s="55"/>
      <c r="EP116" s="55"/>
      <c r="EQ116" s="55"/>
      <c r="ER116" s="55"/>
      <c r="ES116" s="55"/>
      <c r="ET116" s="55"/>
      <c r="EU116" s="55"/>
      <c r="EV116" s="55"/>
      <c r="EW116" s="55"/>
      <c r="EX116" s="55"/>
      <c r="EY116" s="55"/>
      <c r="EZ116" s="55"/>
      <c r="FA116" s="55"/>
      <c r="FB116" s="55"/>
      <c r="FC116" s="55"/>
      <c r="FD116" s="55"/>
      <c r="FE116" s="55"/>
      <c r="FF116" s="55"/>
      <c r="FG116" s="55"/>
      <c r="FH116" s="55"/>
      <c r="FI116" s="55"/>
      <c r="FJ116" s="55"/>
      <c r="FK116" s="55"/>
      <c r="FL116" s="55"/>
      <c r="FM116" s="55"/>
      <c r="FN116" s="55"/>
      <c r="FO116" s="55"/>
      <c r="FP116" s="55"/>
      <c r="FQ116" s="55"/>
      <c r="FR116" s="55"/>
      <c r="FS116" s="55"/>
      <c r="FT116" s="55"/>
      <c r="FU116" s="55"/>
      <c r="FV116" s="55"/>
      <c r="FW116" s="55"/>
      <c r="FX116" s="55"/>
      <c r="FY116" s="55"/>
      <c r="FZ116" s="55"/>
      <c r="GA116" s="55"/>
      <c r="GB116" s="55"/>
      <c r="GC116" s="55"/>
      <c r="GD116" s="55"/>
      <c r="GE116" s="55"/>
      <c r="GF116" s="55"/>
      <c r="GG116" s="55"/>
      <c r="GH116" s="55"/>
      <c r="GI116" s="55"/>
      <c r="GJ116" s="55"/>
      <c r="GK116" s="55"/>
      <c r="GL116" s="55"/>
      <c r="GM116" s="55"/>
      <c r="GN116" s="55"/>
      <c r="GO116" s="55"/>
      <c r="GP116" s="55"/>
      <c r="GQ116" s="55"/>
      <c r="GR116" s="55"/>
      <c r="GS116" s="55"/>
      <c r="GT116" s="55"/>
      <c r="GU116" s="55"/>
      <c r="GV116" s="55"/>
      <c r="GW116" s="55"/>
      <c r="GX116" s="55"/>
      <c r="GY116" s="55"/>
      <c r="GZ116" s="55"/>
      <c r="HA116" s="55"/>
      <c r="HB116" s="55"/>
      <c r="HC116" s="55"/>
      <c r="HD116" s="55"/>
      <c r="HE116" s="55"/>
      <c r="HF116" s="55"/>
      <c r="HG116" s="55"/>
      <c r="HH116" s="55"/>
      <c r="HI116" s="55"/>
      <c r="HJ116" s="55"/>
      <c r="HK116" s="55"/>
      <c r="HL116" s="55"/>
      <c r="HM116" s="55"/>
      <c r="HN116" s="55"/>
      <c r="HO116" s="55"/>
      <c r="HP116" s="55"/>
      <c r="HQ116" s="55"/>
      <c r="HR116" s="55"/>
      <c r="HS116" s="55"/>
      <c r="HT116" s="55"/>
      <c r="HU116" s="55"/>
      <c r="HV116" s="55"/>
      <c r="HW116" s="55"/>
      <c r="HX116" s="55"/>
      <c r="HY116" s="55"/>
      <c r="HZ116" s="55"/>
      <c r="IA116" s="55"/>
      <c r="IB116" s="55"/>
    </row>
    <row r="117" spans="1:236" ht="15" customHeight="1" x14ac:dyDescent="0.2">
      <c r="A117" s="63" t="s">
        <v>368</v>
      </c>
      <c r="B117" s="44" t="s">
        <v>665</v>
      </c>
      <c r="C117" s="45" t="s">
        <v>196</v>
      </c>
      <c r="D117" s="451"/>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c r="AC117" s="55"/>
      <c r="AD117" s="55"/>
      <c r="AE117" s="55"/>
      <c r="AF117" s="55"/>
      <c r="AG117" s="55"/>
      <c r="AH117" s="55"/>
      <c r="AI117" s="55"/>
      <c r="AJ117" s="55"/>
      <c r="AK117" s="55"/>
      <c r="AL117" s="55"/>
      <c r="AM117" s="55"/>
      <c r="AN117" s="55"/>
      <c r="AO117" s="55"/>
      <c r="AP117" s="55"/>
      <c r="AQ117" s="55"/>
      <c r="AR117" s="55"/>
      <c r="AS117" s="55"/>
      <c r="AT117" s="55"/>
      <c r="AU117" s="55"/>
      <c r="AV117" s="55"/>
      <c r="AW117" s="55"/>
      <c r="AX117" s="55"/>
      <c r="AY117" s="55"/>
      <c r="AZ117" s="55"/>
      <c r="BA117" s="55"/>
      <c r="BB117" s="55"/>
      <c r="BC117" s="55"/>
      <c r="BD117" s="55"/>
      <c r="BE117" s="55"/>
      <c r="BF117" s="55"/>
      <c r="BG117" s="55"/>
      <c r="BH117" s="55"/>
      <c r="BI117" s="55"/>
      <c r="BJ117" s="55"/>
      <c r="BK117" s="55"/>
      <c r="BL117" s="55"/>
      <c r="BM117" s="55"/>
      <c r="BN117" s="55"/>
      <c r="BO117" s="55"/>
      <c r="BP117" s="55"/>
      <c r="BQ117" s="55"/>
      <c r="BR117" s="55"/>
      <c r="BS117" s="55"/>
      <c r="BT117" s="55"/>
      <c r="BU117" s="55"/>
      <c r="BV117" s="55"/>
      <c r="BW117" s="55"/>
      <c r="BX117" s="55"/>
      <c r="BY117" s="55"/>
      <c r="BZ117" s="55"/>
      <c r="CA117" s="55"/>
      <c r="CB117" s="55"/>
      <c r="CC117" s="55"/>
      <c r="CD117" s="55"/>
      <c r="CE117" s="55"/>
      <c r="CF117" s="55"/>
      <c r="CG117" s="55"/>
      <c r="CH117" s="55"/>
      <c r="CI117" s="55"/>
      <c r="CJ117" s="55"/>
      <c r="CK117" s="55"/>
      <c r="CL117" s="55"/>
      <c r="CM117" s="55"/>
      <c r="CN117" s="55"/>
      <c r="CO117" s="55"/>
      <c r="CP117" s="55"/>
      <c r="CQ117" s="55"/>
      <c r="CR117" s="55"/>
      <c r="CS117" s="55"/>
      <c r="CT117" s="55"/>
      <c r="CU117" s="55"/>
      <c r="CV117" s="55"/>
      <c r="CW117" s="55"/>
      <c r="CX117" s="55"/>
      <c r="CY117" s="55"/>
      <c r="CZ117" s="55"/>
      <c r="DA117" s="55"/>
      <c r="DB117" s="55"/>
      <c r="DC117" s="55"/>
      <c r="DD117" s="55"/>
      <c r="DE117" s="55"/>
      <c r="DF117" s="55"/>
      <c r="DG117" s="55"/>
      <c r="DH117" s="55"/>
      <c r="DI117" s="55"/>
      <c r="DJ117" s="55"/>
      <c r="DK117" s="55"/>
      <c r="DL117" s="55"/>
      <c r="DM117" s="55"/>
      <c r="DN117" s="55"/>
      <c r="DO117" s="55"/>
      <c r="DP117" s="55"/>
      <c r="DQ117" s="55"/>
      <c r="DR117" s="55"/>
      <c r="DS117" s="55"/>
      <c r="DT117" s="55"/>
      <c r="DU117" s="55"/>
      <c r="DV117" s="55"/>
      <c r="DW117" s="55"/>
      <c r="DX117" s="55"/>
      <c r="DY117" s="55"/>
      <c r="DZ117" s="55"/>
      <c r="EA117" s="55"/>
      <c r="EB117" s="55"/>
      <c r="EC117" s="55"/>
      <c r="ED117" s="55"/>
      <c r="EE117" s="55"/>
      <c r="EF117" s="55"/>
      <c r="EG117" s="55"/>
      <c r="EH117" s="55"/>
      <c r="EI117" s="55"/>
      <c r="EJ117" s="55"/>
      <c r="EK117" s="55"/>
      <c r="EL117" s="55"/>
      <c r="EM117" s="55"/>
      <c r="EN117" s="55"/>
      <c r="EO117" s="55"/>
      <c r="EP117" s="55"/>
      <c r="EQ117" s="55"/>
      <c r="ER117" s="55"/>
      <c r="ES117" s="55"/>
      <c r="ET117" s="55"/>
      <c r="EU117" s="55"/>
      <c r="EV117" s="55"/>
      <c r="EW117" s="55"/>
      <c r="EX117" s="55"/>
      <c r="EY117" s="55"/>
      <c r="EZ117" s="55"/>
      <c r="FA117" s="55"/>
      <c r="FB117" s="55"/>
      <c r="FC117" s="55"/>
      <c r="FD117" s="55"/>
      <c r="FE117" s="55"/>
      <c r="FF117" s="55"/>
      <c r="FG117" s="55"/>
      <c r="FH117" s="55"/>
      <c r="FI117" s="55"/>
      <c r="FJ117" s="55"/>
      <c r="FK117" s="55"/>
      <c r="FL117" s="55"/>
      <c r="FM117" s="55"/>
      <c r="FN117" s="55"/>
      <c r="FO117" s="55"/>
      <c r="FP117" s="55"/>
      <c r="FQ117" s="55"/>
      <c r="FR117" s="55"/>
      <c r="FS117" s="55"/>
      <c r="FT117" s="55"/>
      <c r="FU117" s="55"/>
      <c r="FV117" s="55"/>
      <c r="FW117" s="55"/>
      <c r="FX117" s="55"/>
      <c r="FY117" s="55"/>
      <c r="FZ117" s="55"/>
      <c r="GA117" s="55"/>
      <c r="GB117" s="55"/>
      <c r="GC117" s="55"/>
      <c r="GD117" s="55"/>
      <c r="GE117" s="55"/>
      <c r="GF117" s="55"/>
      <c r="GG117" s="55"/>
      <c r="GH117" s="55"/>
      <c r="GI117" s="55"/>
      <c r="GJ117" s="55"/>
      <c r="GK117" s="55"/>
      <c r="GL117" s="55"/>
      <c r="GM117" s="55"/>
      <c r="GN117" s="55"/>
      <c r="GO117" s="55"/>
      <c r="GP117" s="55"/>
      <c r="GQ117" s="55"/>
      <c r="GR117" s="55"/>
      <c r="GS117" s="55"/>
      <c r="GT117" s="55"/>
      <c r="GU117" s="55"/>
      <c r="GV117" s="55"/>
      <c r="GW117" s="55"/>
      <c r="GX117" s="55"/>
      <c r="GY117" s="55"/>
      <c r="GZ117" s="55"/>
      <c r="HA117" s="55"/>
      <c r="HB117" s="55"/>
      <c r="HC117" s="55"/>
      <c r="HD117" s="55"/>
      <c r="HE117" s="55"/>
      <c r="HF117" s="55"/>
      <c r="HG117" s="55"/>
      <c r="HH117" s="55"/>
      <c r="HI117" s="55"/>
      <c r="HJ117" s="55"/>
      <c r="HK117" s="55"/>
      <c r="HL117" s="55"/>
      <c r="HM117" s="55"/>
      <c r="HN117" s="55"/>
      <c r="HO117" s="55"/>
      <c r="HP117" s="55"/>
      <c r="HQ117" s="55"/>
      <c r="HR117" s="55"/>
      <c r="HS117" s="55"/>
      <c r="HT117" s="55"/>
      <c r="HU117" s="55"/>
      <c r="HV117" s="55"/>
      <c r="HW117" s="55"/>
      <c r="HX117" s="55"/>
      <c r="HY117" s="55"/>
      <c r="HZ117" s="55"/>
      <c r="IA117" s="55"/>
      <c r="IB117" s="55"/>
    </row>
    <row r="118" spans="1:236" ht="15" customHeight="1" x14ac:dyDescent="0.2">
      <c r="A118" s="63" t="s">
        <v>369</v>
      </c>
      <c r="B118" s="44" t="s">
        <v>674</v>
      </c>
      <c r="C118" s="45" t="s">
        <v>196</v>
      </c>
      <c r="D118" s="451"/>
      <c r="E118" s="55"/>
      <c r="F118" s="55"/>
      <c r="G118" s="55"/>
      <c r="H118" s="55"/>
      <c r="I118" s="55"/>
      <c r="J118" s="55"/>
      <c r="K118" s="55"/>
      <c r="L118" s="55"/>
      <c r="M118" s="55"/>
      <c r="N118" s="55"/>
      <c r="O118" s="55"/>
      <c r="P118" s="55"/>
      <c r="Q118" s="55"/>
      <c r="R118" s="55"/>
      <c r="S118" s="55"/>
      <c r="T118" s="55"/>
      <c r="U118" s="55"/>
      <c r="V118" s="55"/>
      <c r="W118" s="55"/>
      <c r="X118" s="55"/>
      <c r="Y118" s="55"/>
      <c r="Z118" s="55"/>
      <c r="AA118" s="55"/>
      <c r="AB118" s="55"/>
      <c r="AC118" s="55"/>
      <c r="AD118" s="55"/>
      <c r="AE118" s="55"/>
      <c r="AF118" s="55"/>
      <c r="AG118" s="55"/>
      <c r="AH118" s="55"/>
      <c r="AI118" s="55"/>
      <c r="AJ118" s="55"/>
      <c r="AK118" s="55"/>
      <c r="AL118" s="55"/>
      <c r="AM118" s="55"/>
      <c r="AN118" s="55"/>
      <c r="AO118" s="55"/>
      <c r="AP118" s="55"/>
      <c r="AQ118" s="55"/>
      <c r="AR118" s="55"/>
      <c r="AS118" s="55"/>
      <c r="AT118" s="55"/>
      <c r="AU118" s="55"/>
      <c r="AV118" s="55"/>
      <c r="AW118" s="55"/>
      <c r="AX118" s="55"/>
      <c r="AY118" s="55"/>
      <c r="AZ118" s="55"/>
      <c r="BA118" s="55"/>
      <c r="BB118" s="55"/>
      <c r="BC118" s="55"/>
      <c r="BD118" s="55"/>
      <c r="BE118" s="55"/>
      <c r="BF118" s="55"/>
      <c r="BG118" s="55"/>
      <c r="BH118" s="55"/>
      <c r="BI118" s="55"/>
      <c r="BJ118" s="55"/>
      <c r="BK118" s="55"/>
      <c r="BL118" s="55"/>
      <c r="BM118" s="55"/>
      <c r="BN118" s="55"/>
      <c r="BO118" s="55"/>
      <c r="BP118" s="55"/>
      <c r="BQ118" s="55"/>
      <c r="BR118" s="55"/>
      <c r="BS118" s="55"/>
      <c r="BT118" s="55"/>
      <c r="BU118" s="55"/>
      <c r="BV118" s="55"/>
      <c r="BW118" s="55"/>
      <c r="BX118" s="55"/>
      <c r="BY118" s="55"/>
      <c r="BZ118" s="55"/>
      <c r="CA118" s="55"/>
      <c r="CB118" s="55"/>
      <c r="CC118" s="55"/>
      <c r="CD118" s="55"/>
      <c r="CE118" s="55"/>
      <c r="CF118" s="55"/>
      <c r="CG118" s="55"/>
      <c r="CH118" s="55"/>
      <c r="CI118" s="55"/>
      <c r="CJ118" s="55"/>
      <c r="CK118" s="55"/>
      <c r="CL118" s="55"/>
      <c r="CM118" s="55"/>
      <c r="CN118" s="55"/>
      <c r="CO118" s="55"/>
      <c r="CP118" s="55"/>
      <c r="CQ118" s="55"/>
      <c r="CR118" s="55"/>
      <c r="CS118" s="55"/>
      <c r="CT118" s="55"/>
      <c r="CU118" s="55"/>
      <c r="CV118" s="55"/>
      <c r="CW118" s="55"/>
      <c r="CX118" s="55"/>
      <c r="CY118" s="55"/>
      <c r="CZ118" s="55"/>
      <c r="DA118" s="55"/>
      <c r="DB118" s="55"/>
      <c r="DC118" s="55"/>
      <c r="DD118" s="55"/>
      <c r="DE118" s="55"/>
      <c r="DF118" s="55"/>
      <c r="DG118" s="55"/>
      <c r="DH118" s="55"/>
      <c r="DI118" s="55"/>
      <c r="DJ118" s="55"/>
      <c r="DK118" s="55"/>
      <c r="DL118" s="55"/>
      <c r="DM118" s="55"/>
      <c r="DN118" s="55"/>
      <c r="DO118" s="55"/>
      <c r="DP118" s="55"/>
      <c r="DQ118" s="55"/>
      <c r="DR118" s="55"/>
      <c r="DS118" s="55"/>
      <c r="DT118" s="55"/>
      <c r="DU118" s="55"/>
      <c r="DV118" s="55"/>
      <c r="DW118" s="55"/>
      <c r="DX118" s="55"/>
      <c r="DY118" s="55"/>
      <c r="DZ118" s="55"/>
      <c r="EA118" s="55"/>
      <c r="EB118" s="55"/>
      <c r="EC118" s="55"/>
      <c r="ED118" s="55"/>
      <c r="EE118" s="55"/>
      <c r="EF118" s="55"/>
      <c r="EG118" s="55"/>
      <c r="EH118" s="55"/>
      <c r="EI118" s="55"/>
      <c r="EJ118" s="55"/>
      <c r="EK118" s="55"/>
      <c r="EL118" s="55"/>
      <c r="EM118" s="55"/>
      <c r="EN118" s="55"/>
      <c r="EO118" s="55"/>
      <c r="EP118" s="55"/>
      <c r="EQ118" s="55"/>
      <c r="ER118" s="55"/>
      <c r="ES118" s="55"/>
      <c r="ET118" s="55"/>
      <c r="EU118" s="55"/>
      <c r="EV118" s="55"/>
      <c r="EW118" s="55"/>
      <c r="EX118" s="55"/>
      <c r="EY118" s="55"/>
      <c r="EZ118" s="55"/>
      <c r="FA118" s="55"/>
      <c r="FB118" s="55"/>
      <c r="FC118" s="55"/>
      <c r="FD118" s="55"/>
      <c r="FE118" s="55"/>
      <c r="FF118" s="55"/>
      <c r="FG118" s="55"/>
      <c r="FH118" s="55"/>
      <c r="FI118" s="55"/>
      <c r="FJ118" s="55"/>
      <c r="FK118" s="55"/>
      <c r="FL118" s="55"/>
      <c r="FM118" s="55"/>
      <c r="FN118" s="55"/>
      <c r="FO118" s="55"/>
      <c r="FP118" s="55"/>
      <c r="FQ118" s="55"/>
      <c r="FR118" s="55"/>
      <c r="FS118" s="55"/>
      <c r="FT118" s="55"/>
      <c r="FU118" s="55"/>
      <c r="FV118" s="55"/>
      <c r="FW118" s="55"/>
      <c r="FX118" s="55"/>
      <c r="FY118" s="55"/>
      <c r="FZ118" s="55"/>
      <c r="GA118" s="55"/>
      <c r="GB118" s="55"/>
      <c r="GC118" s="55"/>
      <c r="GD118" s="55"/>
      <c r="GE118" s="55"/>
      <c r="GF118" s="55"/>
      <c r="GG118" s="55"/>
      <c r="GH118" s="55"/>
      <c r="GI118" s="55"/>
      <c r="GJ118" s="55"/>
      <c r="GK118" s="55"/>
      <c r="GL118" s="55"/>
      <c r="GM118" s="55"/>
      <c r="GN118" s="55"/>
      <c r="GO118" s="55"/>
      <c r="GP118" s="55"/>
      <c r="GQ118" s="55"/>
      <c r="GR118" s="55"/>
      <c r="GS118" s="55"/>
      <c r="GT118" s="55"/>
      <c r="GU118" s="55"/>
      <c r="GV118" s="55"/>
      <c r="GW118" s="55"/>
      <c r="GX118" s="55"/>
      <c r="GY118" s="55"/>
      <c r="GZ118" s="55"/>
      <c r="HA118" s="55"/>
      <c r="HB118" s="55"/>
      <c r="HC118" s="55"/>
      <c r="HD118" s="55"/>
      <c r="HE118" s="55"/>
      <c r="HF118" s="55"/>
      <c r="HG118" s="55"/>
      <c r="HH118" s="55"/>
      <c r="HI118" s="55"/>
      <c r="HJ118" s="55"/>
      <c r="HK118" s="55"/>
      <c r="HL118" s="55"/>
      <c r="HM118" s="55"/>
      <c r="HN118" s="55"/>
      <c r="HO118" s="55"/>
      <c r="HP118" s="55"/>
      <c r="HQ118" s="55"/>
      <c r="HR118" s="55"/>
      <c r="HS118" s="55"/>
      <c r="HT118" s="55"/>
      <c r="HU118" s="55"/>
      <c r="HV118" s="55"/>
      <c r="HW118" s="55"/>
      <c r="HX118" s="55"/>
      <c r="HY118" s="55"/>
      <c r="HZ118" s="55"/>
      <c r="IA118" s="55"/>
      <c r="IB118" s="55"/>
    </row>
    <row r="119" spans="1:236" ht="15" customHeight="1" x14ac:dyDescent="0.2">
      <c r="A119" s="63" t="s">
        <v>370</v>
      </c>
      <c r="B119" s="44" t="s">
        <v>673</v>
      </c>
      <c r="C119" s="45" t="s">
        <v>196</v>
      </c>
      <c r="D119" s="451"/>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c r="AC119" s="55"/>
      <c r="AD119" s="55"/>
      <c r="AE119" s="55"/>
      <c r="AF119" s="55"/>
      <c r="AG119" s="55"/>
      <c r="AH119" s="55"/>
      <c r="AI119" s="55"/>
      <c r="AJ119" s="55"/>
      <c r="AK119" s="55"/>
      <c r="AL119" s="55"/>
      <c r="AM119" s="55"/>
      <c r="AN119" s="55"/>
      <c r="AO119" s="55"/>
      <c r="AP119" s="55"/>
      <c r="AQ119" s="55"/>
      <c r="AR119" s="55"/>
      <c r="AS119" s="55"/>
      <c r="AT119" s="55"/>
      <c r="AU119" s="55"/>
      <c r="AV119" s="55"/>
      <c r="AW119" s="55"/>
      <c r="AX119" s="55"/>
      <c r="AY119" s="55"/>
      <c r="AZ119" s="55"/>
      <c r="BA119" s="55"/>
      <c r="BB119" s="55"/>
      <c r="BC119" s="55"/>
      <c r="BD119" s="55"/>
      <c r="BE119" s="55"/>
      <c r="BF119" s="55"/>
      <c r="BG119" s="55"/>
      <c r="BH119" s="55"/>
      <c r="BI119" s="55"/>
      <c r="BJ119" s="55"/>
      <c r="BK119" s="55"/>
      <c r="BL119" s="55"/>
      <c r="BM119" s="55"/>
      <c r="BN119" s="55"/>
      <c r="BO119" s="55"/>
      <c r="BP119" s="55"/>
      <c r="BQ119" s="55"/>
      <c r="BR119" s="55"/>
      <c r="BS119" s="55"/>
      <c r="BT119" s="55"/>
      <c r="BU119" s="55"/>
      <c r="BV119" s="55"/>
      <c r="BW119" s="55"/>
      <c r="BX119" s="55"/>
      <c r="BY119" s="55"/>
      <c r="BZ119" s="55"/>
      <c r="CA119" s="55"/>
      <c r="CB119" s="55"/>
      <c r="CC119" s="55"/>
      <c r="CD119" s="55"/>
      <c r="CE119" s="55"/>
      <c r="CF119" s="55"/>
      <c r="CG119" s="55"/>
      <c r="CH119" s="55"/>
      <c r="CI119" s="55"/>
      <c r="CJ119" s="55"/>
      <c r="CK119" s="55"/>
      <c r="CL119" s="55"/>
      <c r="CM119" s="55"/>
      <c r="CN119" s="55"/>
      <c r="CO119" s="55"/>
      <c r="CP119" s="55"/>
      <c r="CQ119" s="55"/>
      <c r="CR119" s="55"/>
      <c r="CS119" s="55"/>
      <c r="CT119" s="55"/>
      <c r="CU119" s="55"/>
      <c r="CV119" s="55"/>
      <c r="CW119" s="55"/>
      <c r="CX119" s="55"/>
      <c r="CY119" s="55"/>
      <c r="CZ119" s="55"/>
      <c r="DA119" s="55"/>
      <c r="DB119" s="55"/>
      <c r="DC119" s="55"/>
      <c r="DD119" s="55"/>
      <c r="DE119" s="55"/>
      <c r="DF119" s="55"/>
      <c r="DG119" s="55"/>
      <c r="DH119" s="55"/>
      <c r="DI119" s="55"/>
      <c r="DJ119" s="55"/>
      <c r="DK119" s="55"/>
      <c r="DL119" s="55"/>
      <c r="DM119" s="55"/>
      <c r="DN119" s="55"/>
      <c r="DO119" s="55"/>
      <c r="DP119" s="55"/>
      <c r="DQ119" s="55"/>
      <c r="DR119" s="55"/>
      <c r="DS119" s="55"/>
      <c r="DT119" s="55"/>
      <c r="DU119" s="55"/>
      <c r="DV119" s="55"/>
      <c r="DW119" s="55"/>
      <c r="DX119" s="55"/>
      <c r="DY119" s="55"/>
      <c r="DZ119" s="55"/>
      <c r="EA119" s="55"/>
      <c r="EB119" s="55"/>
      <c r="EC119" s="55"/>
      <c r="ED119" s="55"/>
      <c r="EE119" s="55"/>
      <c r="EF119" s="55"/>
      <c r="EG119" s="55"/>
      <c r="EH119" s="55"/>
      <c r="EI119" s="55"/>
      <c r="EJ119" s="55"/>
      <c r="EK119" s="55"/>
      <c r="EL119" s="55"/>
      <c r="EM119" s="55"/>
      <c r="EN119" s="55"/>
      <c r="EO119" s="55"/>
      <c r="EP119" s="55"/>
      <c r="EQ119" s="55"/>
      <c r="ER119" s="55"/>
      <c r="ES119" s="55"/>
      <c r="ET119" s="55"/>
      <c r="EU119" s="55"/>
      <c r="EV119" s="55"/>
      <c r="EW119" s="55"/>
      <c r="EX119" s="55"/>
      <c r="EY119" s="55"/>
      <c r="EZ119" s="55"/>
      <c r="FA119" s="55"/>
      <c r="FB119" s="55"/>
      <c r="FC119" s="55"/>
      <c r="FD119" s="55"/>
      <c r="FE119" s="55"/>
      <c r="FF119" s="55"/>
      <c r="FG119" s="55"/>
      <c r="FH119" s="55"/>
      <c r="FI119" s="55"/>
      <c r="FJ119" s="55"/>
      <c r="FK119" s="55"/>
      <c r="FL119" s="55"/>
      <c r="FM119" s="55"/>
      <c r="FN119" s="55"/>
      <c r="FO119" s="55"/>
      <c r="FP119" s="55"/>
      <c r="FQ119" s="55"/>
      <c r="FR119" s="55"/>
      <c r="FS119" s="55"/>
      <c r="FT119" s="55"/>
      <c r="FU119" s="55"/>
      <c r="FV119" s="55"/>
      <c r="FW119" s="55"/>
      <c r="FX119" s="55"/>
      <c r="FY119" s="55"/>
      <c r="FZ119" s="55"/>
      <c r="GA119" s="55"/>
      <c r="GB119" s="55"/>
      <c r="GC119" s="55"/>
      <c r="GD119" s="55"/>
      <c r="GE119" s="55"/>
      <c r="GF119" s="55"/>
      <c r="GG119" s="55"/>
      <c r="GH119" s="55"/>
      <c r="GI119" s="55"/>
      <c r="GJ119" s="55"/>
      <c r="GK119" s="55"/>
      <c r="GL119" s="55"/>
      <c r="GM119" s="55"/>
      <c r="GN119" s="55"/>
      <c r="GO119" s="55"/>
      <c r="GP119" s="55"/>
      <c r="GQ119" s="55"/>
      <c r="GR119" s="55"/>
      <c r="GS119" s="55"/>
      <c r="GT119" s="55"/>
      <c r="GU119" s="55"/>
      <c r="GV119" s="55"/>
      <c r="GW119" s="55"/>
      <c r="GX119" s="55"/>
      <c r="GY119" s="55"/>
      <c r="GZ119" s="55"/>
      <c r="HA119" s="55"/>
      <c r="HB119" s="55"/>
      <c r="HC119" s="55"/>
      <c r="HD119" s="55"/>
      <c r="HE119" s="55"/>
      <c r="HF119" s="55"/>
      <c r="HG119" s="55"/>
      <c r="HH119" s="55"/>
      <c r="HI119" s="55"/>
      <c r="HJ119" s="55"/>
      <c r="HK119" s="55"/>
      <c r="HL119" s="55"/>
      <c r="HM119" s="55"/>
      <c r="HN119" s="55"/>
      <c r="HO119" s="55"/>
      <c r="HP119" s="55"/>
      <c r="HQ119" s="55"/>
      <c r="HR119" s="55"/>
      <c r="HS119" s="55"/>
      <c r="HT119" s="55"/>
      <c r="HU119" s="55"/>
      <c r="HV119" s="55"/>
      <c r="HW119" s="55"/>
      <c r="HX119" s="55"/>
      <c r="HY119" s="55"/>
      <c r="HZ119" s="55"/>
      <c r="IA119" s="55"/>
      <c r="IB119" s="55"/>
    </row>
    <row r="120" spans="1:236" ht="15" customHeight="1" x14ac:dyDescent="0.2">
      <c r="A120" s="63" t="s">
        <v>371</v>
      </c>
      <c r="B120" s="44" t="s">
        <v>676</v>
      </c>
      <c r="C120" s="45" t="s">
        <v>196</v>
      </c>
      <c r="D120" s="451"/>
      <c r="E120" s="55"/>
      <c r="F120" s="55"/>
      <c r="G120" s="55"/>
      <c r="H120" s="55"/>
      <c r="I120" s="55"/>
      <c r="J120" s="55"/>
      <c r="K120" s="55"/>
      <c r="L120" s="55"/>
      <c r="M120" s="55"/>
      <c r="N120" s="55"/>
      <c r="O120" s="55"/>
      <c r="P120" s="55"/>
      <c r="Q120" s="55"/>
      <c r="R120" s="55"/>
      <c r="S120" s="55"/>
      <c r="T120" s="55"/>
      <c r="U120" s="55"/>
      <c r="V120" s="55"/>
      <c r="W120" s="55"/>
      <c r="X120" s="55"/>
      <c r="Y120" s="55"/>
      <c r="Z120" s="55"/>
      <c r="AA120" s="55"/>
      <c r="AB120" s="55"/>
      <c r="AC120" s="55"/>
      <c r="AD120" s="55"/>
      <c r="AE120" s="55"/>
      <c r="AF120" s="55"/>
      <c r="AG120" s="55"/>
      <c r="AH120" s="55"/>
      <c r="AI120" s="55"/>
      <c r="AJ120" s="55"/>
      <c r="AK120" s="55"/>
      <c r="AL120" s="55"/>
      <c r="AM120" s="55"/>
      <c r="AN120" s="55"/>
      <c r="AO120" s="55"/>
      <c r="AP120" s="55"/>
      <c r="AQ120" s="55"/>
      <c r="AR120" s="55"/>
      <c r="AS120" s="55"/>
      <c r="AT120" s="55"/>
      <c r="AU120" s="55"/>
      <c r="AV120" s="55"/>
      <c r="AW120" s="55"/>
      <c r="AX120" s="55"/>
      <c r="AY120" s="55"/>
      <c r="AZ120" s="55"/>
      <c r="BA120" s="55"/>
      <c r="BB120" s="55"/>
      <c r="BC120" s="55"/>
      <c r="BD120" s="55"/>
      <c r="BE120" s="55"/>
      <c r="BF120" s="55"/>
      <c r="BG120" s="55"/>
      <c r="BH120" s="55"/>
      <c r="BI120" s="55"/>
      <c r="BJ120" s="55"/>
      <c r="BK120" s="55"/>
      <c r="BL120" s="55"/>
      <c r="BM120" s="55"/>
      <c r="BN120" s="55"/>
      <c r="BO120" s="55"/>
      <c r="BP120" s="55"/>
      <c r="BQ120" s="55"/>
      <c r="BR120" s="55"/>
      <c r="BS120" s="55"/>
      <c r="BT120" s="55"/>
      <c r="BU120" s="55"/>
      <c r="BV120" s="55"/>
      <c r="BW120" s="55"/>
      <c r="BX120" s="55"/>
      <c r="BY120" s="55"/>
      <c r="BZ120" s="55"/>
      <c r="CA120" s="55"/>
      <c r="CB120" s="55"/>
      <c r="CC120" s="55"/>
      <c r="CD120" s="55"/>
      <c r="CE120" s="55"/>
      <c r="CF120" s="55"/>
      <c r="CG120" s="55"/>
      <c r="CH120" s="55"/>
      <c r="CI120" s="55"/>
      <c r="CJ120" s="55"/>
      <c r="CK120" s="55"/>
      <c r="CL120" s="55"/>
      <c r="CM120" s="55"/>
      <c r="CN120" s="55"/>
      <c r="CO120" s="55"/>
      <c r="CP120" s="55"/>
      <c r="CQ120" s="55"/>
      <c r="CR120" s="55"/>
      <c r="CS120" s="55"/>
      <c r="CT120" s="55"/>
      <c r="CU120" s="55"/>
      <c r="CV120" s="55"/>
      <c r="CW120" s="55"/>
      <c r="CX120" s="55"/>
      <c r="CY120" s="55"/>
      <c r="CZ120" s="55"/>
      <c r="DA120" s="55"/>
      <c r="DB120" s="55"/>
      <c r="DC120" s="55"/>
      <c r="DD120" s="55"/>
      <c r="DE120" s="55"/>
      <c r="DF120" s="55"/>
      <c r="DG120" s="55"/>
      <c r="DH120" s="55"/>
      <c r="DI120" s="55"/>
      <c r="DJ120" s="55"/>
      <c r="DK120" s="55"/>
      <c r="DL120" s="55"/>
      <c r="DM120" s="55"/>
      <c r="DN120" s="55"/>
      <c r="DO120" s="55"/>
      <c r="DP120" s="55"/>
      <c r="DQ120" s="55"/>
      <c r="DR120" s="55"/>
      <c r="DS120" s="55"/>
      <c r="DT120" s="55"/>
      <c r="DU120" s="55"/>
      <c r="DV120" s="55"/>
      <c r="DW120" s="55"/>
      <c r="DX120" s="55"/>
      <c r="DY120" s="55"/>
      <c r="DZ120" s="55"/>
      <c r="EA120" s="55"/>
      <c r="EB120" s="55"/>
      <c r="EC120" s="55"/>
      <c r="ED120" s="55"/>
      <c r="EE120" s="55"/>
      <c r="EF120" s="55"/>
      <c r="EG120" s="55"/>
      <c r="EH120" s="55"/>
      <c r="EI120" s="55"/>
      <c r="EJ120" s="55"/>
      <c r="EK120" s="55"/>
      <c r="EL120" s="55"/>
      <c r="EM120" s="55"/>
      <c r="EN120" s="55"/>
      <c r="EO120" s="55"/>
      <c r="EP120" s="55"/>
      <c r="EQ120" s="55"/>
      <c r="ER120" s="55"/>
      <c r="ES120" s="55"/>
      <c r="ET120" s="55"/>
      <c r="EU120" s="55"/>
      <c r="EV120" s="55"/>
      <c r="EW120" s="55"/>
      <c r="EX120" s="55"/>
      <c r="EY120" s="55"/>
      <c r="EZ120" s="55"/>
      <c r="FA120" s="55"/>
      <c r="FB120" s="55"/>
      <c r="FC120" s="55"/>
      <c r="FD120" s="55"/>
      <c r="FE120" s="55"/>
      <c r="FF120" s="55"/>
      <c r="FG120" s="55"/>
      <c r="FH120" s="55"/>
      <c r="FI120" s="55"/>
      <c r="FJ120" s="55"/>
      <c r="FK120" s="55"/>
      <c r="FL120" s="55"/>
      <c r="FM120" s="55"/>
      <c r="FN120" s="55"/>
      <c r="FO120" s="55"/>
      <c r="FP120" s="55"/>
      <c r="FQ120" s="55"/>
      <c r="FR120" s="55"/>
      <c r="FS120" s="55"/>
      <c r="FT120" s="55"/>
      <c r="FU120" s="55"/>
      <c r="FV120" s="55"/>
      <c r="FW120" s="55"/>
      <c r="FX120" s="55"/>
      <c r="FY120" s="55"/>
      <c r="FZ120" s="55"/>
      <c r="GA120" s="55"/>
      <c r="GB120" s="55"/>
      <c r="GC120" s="55"/>
      <c r="GD120" s="55"/>
      <c r="GE120" s="55"/>
      <c r="GF120" s="55"/>
      <c r="GG120" s="55"/>
      <c r="GH120" s="55"/>
      <c r="GI120" s="55"/>
      <c r="GJ120" s="55"/>
      <c r="GK120" s="55"/>
      <c r="GL120" s="55"/>
      <c r="GM120" s="55"/>
      <c r="GN120" s="55"/>
      <c r="GO120" s="55"/>
      <c r="GP120" s="55"/>
      <c r="GQ120" s="55"/>
      <c r="GR120" s="55"/>
      <c r="GS120" s="55"/>
      <c r="GT120" s="55"/>
      <c r="GU120" s="55"/>
      <c r="GV120" s="55"/>
      <c r="GW120" s="55"/>
      <c r="GX120" s="55"/>
      <c r="GY120" s="55"/>
      <c r="GZ120" s="55"/>
      <c r="HA120" s="55"/>
      <c r="HB120" s="55"/>
      <c r="HC120" s="55"/>
      <c r="HD120" s="55"/>
      <c r="HE120" s="55"/>
      <c r="HF120" s="55"/>
      <c r="HG120" s="55"/>
      <c r="HH120" s="55"/>
      <c r="HI120" s="55"/>
      <c r="HJ120" s="55"/>
      <c r="HK120" s="55"/>
      <c r="HL120" s="55"/>
      <c r="HM120" s="55"/>
      <c r="HN120" s="55"/>
      <c r="HO120" s="55"/>
      <c r="HP120" s="55"/>
      <c r="HQ120" s="55"/>
      <c r="HR120" s="55"/>
      <c r="HS120" s="55"/>
      <c r="HT120" s="55"/>
      <c r="HU120" s="55"/>
      <c r="HV120" s="55"/>
      <c r="HW120" s="55"/>
      <c r="HX120" s="55"/>
      <c r="HY120" s="55"/>
      <c r="HZ120" s="55"/>
      <c r="IA120" s="55"/>
      <c r="IB120" s="55"/>
    </row>
    <row r="121" spans="1:236" ht="15" customHeight="1" x14ac:dyDescent="0.2">
      <c r="A121" s="63" t="s">
        <v>372</v>
      </c>
      <c r="B121" s="44" t="s">
        <v>677</v>
      </c>
      <c r="C121" s="45" t="s">
        <v>196</v>
      </c>
      <c r="D121" s="451"/>
      <c r="E121" s="55"/>
      <c r="F121" s="55"/>
      <c r="G121" s="55"/>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c r="AH121" s="55"/>
      <c r="AI121" s="55"/>
      <c r="AJ121" s="55"/>
      <c r="AK121" s="55"/>
      <c r="AL121" s="55"/>
      <c r="AM121" s="55"/>
      <c r="AN121" s="55"/>
      <c r="AO121" s="55"/>
      <c r="AP121" s="55"/>
      <c r="AQ121" s="55"/>
      <c r="AR121" s="55"/>
      <c r="AS121" s="55"/>
      <c r="AT121" s="55"/>
      <c r="AU121" s="55"/>
      <c r="AV121" s="55"/>
      <c r="AW121" s="55"/>
      <c r="AX121" s="55"/>
      <c r="AY121" s="55"/>
      <c r="AZ121" s="55"/>
      <c r="BA121" s="55"/>
      <c r="BB121" s="55"/>
      <c r="BC121" s="55"/>
      <c r="BD121" s="55"/>
      <c r="BE121" s="55"/>
      <c r="BF121" s="55"/>
      <c r="BG121" s="55"/>
      <c r="BH121" s="55"/>
      <c r="BI121" s="55"/>
      <c r="BJ121" s="55"/>
      <c r="BK121" s="55"/>
      <c r="BL121" s="55"/>
      <c r="BM121" s="55"/>
      <c r="BN121" s="55"/>
      <c r="BO121" s="55"/>
      <c r="BP121" s="55"/>
      <c r="BQ121" s="55"/>
      <c r="BR121" s="55"/>
      <c r="BS121" s="55"/>
      <c r="BT121" s="55"/>
      <c r="BU121" s="55"/>
      <c r="BV121" s="55"/>
      <c r="BW121" s="55"/>
      <c r="BX121" s="55"/>
      <c r="BY121" s="55"/>
      <c r="BZ121" s="55"/>
      <c r="CA121" s="55"/>
      <c r="CB121" s="55"/>
      <c r="CC121" s="55"/>
      <c r="CD121" s="55"/>
      <c r="CE121" s="55"/>
      <c r="CF121" s="55"/>
      <c r="CG121" s="55"/>
      <c r="CH121" s="55"/>
      <c r="CI121" s="55"/>
      <c r="CJ121" s="55"/>
      <c r="CK121" s="55"/>
      <c r="CL121" s="55"/>
      <c r="CM121" s="55"/>
      <c r="CN121" s="55"/>
      <c r="CO121" s="55"/>
      <c r="CP121" s="55"/>
      <c r="CQ121" s="55"/>
      <c r="CR121" s="55"/>
      <c r="CS121" s="55"/>
      <c r="CT121" s="55"/>
      <c r="CU121" s="55"/>
      <c r="CV121" s="55"/>
      <c r="CW121" s="55"/>
      <c r="CX121" s="55"/>
      <c r="CY121" s="55"/>
      <c r="CZ121" s="55"/>
      <c r="DA121" s="55"/>
      <c r="DB121" s="55"/>
      <c r="DC121" s="55"/>
      <c r="DD121" s="55"/>
      <c r="DE121" s="55"/>
      <c r="DF121" s="55"/>
      <c r="DG121" s="55"/>
      <c r="DH121" s="55"/>
      <c r="DI121" s="55"/>
      <c r="DJ121" s="55"/>
      <c r="DK121" s="55"/>
      <c r="DL121" s="55"/>
      <c r="DM121" s="55"/>
      <c r="DN121" s="55"/>
      <c r="DO121" s="55"/>
      <c r="DP121" s="55"/>
      <c r="DQ121" s="55"/>
      <c r="DR121" s="55"/>
      <c r="DS121" s="55"/>
      <c r="DT121" s="55"/>
      <c r="DU121" s="55"/>
      <c r="DV121" s="55"/>
      <c r="DW121" s="55"/>
      <c r="DX121" s="55"/>
      <c r="DY121" s="55"/>
      <c r="DZ121" s="55"/>
      <c r="EA121" s="55"/>
      <c r="EB121" s="55"/>
      <c r="EC121" s="55"/>
      <c r="ED121" s="55"/>
      <c r="EE121" s="55"/>
      <c r="EF121" s="55"/>
      <c r="EG121" s="55"/>
      <c r="EH121" s="55"/>
      <c r="EI121" s="55"/>
      <c r="EJ121" s="55"/>
      <c r="EK121" s="55"/>
      <c r="EL121" s="55"/>
      <c r="EM121" s="55"/>
      <c r="EN121" s="55"/>
      <c r="EO121" s="55"/>
      <c r="EP121" s="55"/>
      <c r="EQ121" s="55"/>
      <c r="ER121" s="55"/>
      <c r="ES121" s="55"/>
      <c r="ET121" s="55"/>
      <c r="EU121" s="55"/>
      <c r="EV121" s="55"/>
      <c r="EW121" s="55"/>
      <c r="EX121" s="55"/>
      <c r="EY121" s="55"/>
      <c r="EZ121" s="55"/>
      <c r="FA121" s="55"/>
      <c r="FB121" s="55"/>
      <c r="FC121" s="55"/>
      <c r="FD121" s="55"/>
      <c r="FE121" s="55"/>
      <c r="FF121" s="55"/>
      <c r="FG121" s="55"/>
      <c r="FH121" s="55"/>
      <c r="FI121" s="55"/>
      <c r="FJ121" s="55"/>
      <c r="FK121" s="55"/>
      <c r="FL121" s="55"/>
      <c r="FM121" s="55"/>
      <c r="FN121" s="55"/>
      <c r="FO121" s="55"/>
      <c r="FP121" s="55"/>
      <c r="FQ121" s="55"/>
      <c r="FR121" s="55"/>
      <c r="FS121" s="55"/>
      <c r="FT121" s="55"/>
      <c r="FU121" s="55"/>
      <c r="FV121" s="55"/>
      <c r="FW121" s="55"/>
      <c r="FX121" s="55"/>
      <c r="FY121" s="55"/>
      <c r="FZ121" s="55"/>
      <c r="GA121" s="55"/>
      <c r="GB121" s="55"/>
      <c r="GC121" s="55"/>
      <c r="GD121" s="55"/>
      <c r="GE121" s="55"/>
      <c r="GF121" s="55"/>
      <c r="GG121" s="55"/>
      <c r="GH121" s="55"/>
      <c r="GI121" s="55"/>
      <c r="GJ121" s="55"/>
      <c r="GK121" s="55"/>
      <c r="GL121" s="55"/>
      <c r="GM121" s="55"/>
      <c r="GN121" s="55"/>
      <c r="GO121" s="55"/>
      <c r="GP121" s="55"/>
      <c r="GQ121" s="55"/>
      <c r="GR121" s="55"/>
      <c r="GS121" s="55"/>
      <c r="GT121" s="55"/>
      <c r="GU121" s="55"/>
      <c r="GV121" s="55"/>
      <c r="GW121" s="55"/>
      <c r="GX121" s="55"/>
      <c r="GY121" s="55"/>
      <c r="GZ121" s="55"/>
      <c r="HA121" s="55"/>
      <c r="HB121" s="55"/>
      <c r="HC121" s="55"/>
      <c r="HD121" s="55"/>
      <c r="HE121" s="55"/>
      <c r="HF121" s="55"/>
      <c r="HG121" s="55"/>
      <c r="HH121" s="55"/>
      <c r="HI121" s="55"/>
      <c r="HJ121" s="55"/>
      <c r="HK121" s="55"/>
      <c r="HL121" s="55"/>
      <c r="HM121" s="55"/>
      <c r="HN121" s="55"/>
      <c r="HO121" s="55"/>
      <c r="HP121" s="55"/>
      <c r="HQ121" s="55"/>
      <c r="HR121" s="55"/>
      <c r="HS121" s="55"/>
      <c r="HT121" s="55"/>
      <c r="HU121" s="55"/>
      <c r="HV121" s="55"/>
      <c r="HW121" s="55"/>
      <c r="HX121" s="55"/>
      <c r="HY121" s="55"/>
      <c r="HZ121" s="55"/>
      <c r="IA121" s="55"/>
      <c r="IB121" s="55"/>
    </row>
    <row r="122" spans="1:236" ht="15" customHeight="1" x14ac:dyDescent="0.2">
      <c r="A122" s="63" t="s">
        <v>373</v>
      </c>
      <c r="B122" s="44" t="s">
        <v>244</v>
      </c>
      <c r="C122" s="45" t="s">
        <v>256</v>
      </c>
      <c r="D122" s="451"/>
      <c r="E122" s="55"/>
      <c r="F122" s="55"/>
      <c r="G122" s="55"/>
      <c r="H122" s="55"/>
      <c r="I122" s="55"/>
      <c r="J122" s="55"/>
      <c r="K122" s="55"/>
      <c r="L122" s="55"/>
      <c r="M122" s="55"/>
      <c r="N122" s="55"/>
      <c r="O122" s="55"/>
      <c r="P122" s="55"/>
      <c r="Q122" s="55"/>
      <c r="R122" s="55"/>
      <c r="S122" s="55"/>
      <c r="T122" s="55"/>
      <c r="U122" s="55"/>
      <c r="V122" s="55"/>
      <c r="W122" s="55"/>
      <c r="X122" s="55"/>
      <c r="Y122" s="55"/>
      <c r="Z122" s="55"/>
      <c r="AA122" s="55"/>
      <c r="AB122" s="55"/>
      <c r="AC122" s="55"/>
      <c r="AD122" s="55"/>
      <c r="AE122" s="55"/>
      <c r="AF122" s="55"/>
      <c r="AG122" s="55"/>
      <c r="AH122" s="55"/>
      <c r="AI122" s="55"/>
      <c r="AJ122" s="55"/>
      <c r="AK122" s="55"/>
      <c r="AL122" s="55"/>
      <c r="AM122" s="55"/>
      <c r="AN122" s="55"/>
      <c r="AO122" s="55"/>
      <c r="AP122" s="55"/>
      <c r="AQ122" s="55"/>
      <c r="AR122" s="55"/>
      <c r="AS122" s="55"/>
      <c r="AT122" s="55"/>
      <c r="AU122" s="55"/>
      <c r="AV122" s="55"/>
      <c r="AW122" s="55"/>
      <c r="AX122" s="55"/>
      <c r="AY122" s="55"/>
      <c r="AZ122" s="55"/>
      <c r="BA122" s="55"/>
      <c r="BB122" s="55"/>
      <c r="BC122" s="55"/>
      <c r="BD122" s="55"/>
      <c r="BE122" s="55"/>
      <c r="BF122" s="55"/>
      <c r="BG122" s="55"/>
      <c r="BH122" s="55"/>
      <c r="BI122" s="55"/>
      <c r="BJ122" s="55"/>
      <c r="BK122" s="55"/>
      <c r="BL122" s="55"/>
      <c r="BM122" s="55"/>
      <c r="BN122" s="55"/>
      <c r="BO122" s="55"/>
      <c r="BP122" s="55"/>
      <c r="BQ122" s="55"/>
      <c r="BR122" s="55"/>
      <c r="BS122" s="55"/>
      <c r="BT122" s="55"/>
      <c r="BU122" s="55"/>
      <c r="BV122" s="55"/>
      <c r="BW122" s="55"/>
      <c r="BX122" s="55"/>
      <c r="BY122" s="55"/>
      <c r="BZ122" s="55"/>
      <c r="CA122" s="55"/>
      <c r="CB122" s="55"/>
      <c r="CC122" s="55"/>
      <c r="CD122" s="55"/>
      <c r="CE122" s="55"/>
      <c r="CF122" s="55"/>
      <c r="CG122" s="55"/>
      <c r="CH122" s="55"/>
      <c r="CI122" s="55"/>
      <c r="CJ122" s="55"/>
      <c r="CK122" s="55"/>
      <c r="CL122" s="55"/>
      <c r="CM122" s="55"/>
      <c r="CN122" s="55"/>
      <c r="CO122" s="55"/>
      <c r="CP122" s="55"/>
      <c r="CQ122" s="55"/>
      <c r="CR122" s="55"/>
      <c r="CS122" s="55"/>
      <c r="CT122" s="55"/>
      <c r="CU122" s="55"/>
      <c r="CV122" s="55"/>
      <c r="CW122" s="55"/>
      <c r="CX122" s="55"/>
      <c r="CY122" s="55"/>
      <c r="CZ122" s="55"/>
      <c r="DA122" s="55"/>
      <c r="DB122" s="55"/>
      <c r="DC122" s="55"/>
      <c r="DD122" s="55"/>
      <c r="DE122" s="55"/>
      <c r="DF122" s="55"/>
      <c r="DG122" s="55"/>
      <c r="DH122" s="55"/>
      <c r="DI122" s="55"/>
      <c r="DJ122" s="55"/>
      <c r="DK122" s="55"/>
      <c r="DL122" s="55"/>
      <c r="DM122" s="55"/>
      <c r="DN122" s="55"/>
      <c r="DO122" s="55"/>
      <c r="DP122" s="55"/>
      <c r="DQ122" s="55"/>
      <c r="DR122" s="55"/>
      <c r="DS122" s="55"/>
      <c r="DT122" s="55"/>
      <c r="DU122" s="55"/>
      <c r="DV122" s="55"/>
      <c r="DW122" s="55"/>
      <c r="DX122" s="55"/>
      <c r="DY122" s="55"/>
      <c r="DZ122" s="55"/>
      <c r="EA122" s="55"/>
      <c r="EB122" s="55"/>
      <c r="EC122" s="55"/>
      <c r="ED122" s="55"/>
      <c r="EE122" s="55"/>
      <c r="EF122" s="55"/>
      <c r="EG122" s="55"/>
      <c r="EH122" s="55"/>
      <c r="EI122" s="55"/>
      <c r="EJ122" s="55"/>
      <c r="EK122" s="55"/>
      <c r="EL122" s="55"/>
      <c r="EM122" s="55"/>
      <c r="EN122" s="55"/>
      <c r="EO122" s="55"/>
      <c r="EP122" s="55"/>
      <c r="EQ122" s="55"/>
      <c r="ER122" s="55"/>
      <c r="ES122" s="55"/>
      <c r="ET122" s="55"/>
      <c r="EU122" s="55"/>
      <c r="EV122" s="55"/>
      <c r="EW122" s="55"/>
      <c r="EX122" s="55"/>
      <c r="EY122" s="55"/>
      <c r="EZ122" s="55"/>
      <c r="FA122" s="55"/>
      <c r="FB122" s="55"/>
      <c r="FC122" s="55"/>
      <c r="FD122" s="55"/>
      <c r="FE122" s="55"/>
      <c r="FF122" s="55"/>
      <c r="FG122" s="55"/>
      <c r="FH122" s="55"/>
      <c r="FI122" s="55"/>
      <c r="FJ122" s="55"/>
      <c r="FK122" s="55"/>
      <c r="FL122" s="55"/>
      <c r="FM122" s="55"/>
      <c r="FN122" s="55"/>
      <c r="FO122" s="55"/>
      <c r="FP122" s="55"/>
      <c r="FQ122" s="55"/>
      <c r="FR122" s="55"/>
      <c r="FS122" s="55"/>
      <c r="FT122" s="55"/>
      <c r="FU122" s="55"/>
      <c r="FV122" s="55"/>
      <c r="FW122" s="55"/>
      <c r="FX122" s="55"/>
      <c r="FY122" s="55"/>
      <c r="FZ122" s="55"/>
      <c r="GA122" s="55"/>
      <c r="GB122" s="55"/>
      <c r="GC122" s="55"/>
      <c r="GD122" s="55"/>
      <c r="GE122" s="55"/>
      <c r="GF122" s="55"/>
      <c r="GG122" s="55"/>
      <c r="GH122" s="55"/>
      <c r="GI122" s="55"/>
      <c r="GJ122" s="55"/>
      <c r="GK122" s="55"/>
      <c r="GL122" s="55"/>
      <c r="GM122" s="55"/>
      <c r="GN122" s="55"/>
      <c r="GO122" s="55"/>
      <c r="GP122" s="55"/>
      <c r="GQ122" s="55"/>
      <c r="GR122" s="55"/>
      <c r="GS122" s="55"/>
      <c r="GT122" s="55"/>
      <c r="GU122" s="55"/>
      <c r="GV122" s="55"/>
      <c r="GW122" s="55"/>
      <c r="GX122" s="55"/>
      <c r="GY122" s="55"/>
      <c r="GZ122" s="55"/>
      <c r="HA122" s="55"/>
      <c r="HB122" s="55"/>
      <c r="HC122" s="55"/>
      <c r="HD122" s="55"/>
      <c r="HE122" s="55"/>
      <c r="HF122" s="55"/>
      <c r="HG122" s="55"/>
      <c r="HH122" s="55"/>
      <c r="HI122" s="55"/>
      <c r="HJ122" s="55"/>
      <c r="HK122" s="55"/>
      <c r="HL122" s="55"/>
      <c r="HM122" s="55"/>
      <c r="HN122" s="55"/>
      <c r="HO122" s="55"/>
      <c r="HP122" s="55"/>
      <c r="HQ122" s="55"/>
      <c r="HR122" s="55"/>
      <c r="HS122" s="55"/>
      <c r="HT122" s="55"/>
      <c r="HU122" s="55"/>
      <c r="HV122" s="55"/>
      <c r="HW122" s="55"/>
      <c r="HX122" s="55"/>
      <c r="HY122" s="55"/>
      <c r="HZ122" s="55"/>
      <c r="IA122" s="55"/>
      <c r="IB122" s="55"/>
    </row>
    <row r="123" spans="1:236" ht="15" customHeight="1" x14ac:dyDescent="0.2">
      <c r="A123" s="63" t="s">
        <v>374</v>
      </c>
      <c r="B123" s="44" t="s">
        <v>245</v>
      </c>
      <c r="C123" s="45" t="s">
        <v>160</v>
      </c>
      <c r="D123" s="451"/>
      <c r="E123" s="55"/>
      <c r="F123" s="55"/>
      <c r="G123" s="55"/>
      <c r="H123" s="55"/>
      <c r="I123" s="55"/>
      <c r="J123" s="55"/>
      <c r="K123" s="55"/>
      <c r="L123" s="55"/>
      <c r="M123" s="55"/>
      <c r="N123" s="55"/>
      <c r="O123" s="55"/>
      <c r="P123" s="55"/>
      <c r="Q123" s="55"/>
      <c r="R123" s="55"/>
      <c r="S123" s="55"/>
      <c r="T123" s="55"/>
      <c r="U123" s="55"/>
      <c r="V123" s="55"/>
      <c r="W123" s="55"/>
      <c r="X123" s="55"/>
      <c r="Y123" s="55"/>
      <c r="Z123" s="55"/>
      <c r="AA123" s="55"/>
      <c r="AB123" s="55"/>
      <c r="AC123" s="55"/>
      <c r="AD123" s="55"/>
      <c r="AE123" s="55"/>
      <c r="AF123" s="55"/>
      <c r="AG123" s="55"/>
      <c r="AH123" s="55"/>
      <c r="AI123" s="55"/>
      <c r="AJ123" s="55"/>
      <c r="AK123" s="55"/>
      <c r="AL123" s="55"/>
      <c r="AM123" s="55"/>
      <c r="AN123" s="55"/>
      <c r="AO123" s="55"/>
      <c r="AP123" s="55"/>
      <c r="AQ123" s="55"/>
      <c r="AR123" s="55"/>
      <c r="AS123" s="55"/>
      <c r="AT123" s="55"/>
      <c r="AU123" s="55"/>
      <c r="AV123" s="55"/>
      <c r="AW123" s="55"/>
      <c r="AX123" s="55"/>
      <c r="AY123" s="55"/>
      <c r="AZ123" s="55"/>
      <c r="BA123" s="55"/>
      <c r="BB123" s="55"/>
      <c r="BC123" s="55"/>
      <c r="BD123" s="55"/>
      <c r="BE123" s="55"/>
      <c r="BF123" s="55"/>
      <c r="BG123" s="55"/>
      <c r="BH123" s="55"/>
      <c r="BI123" s="55"/>
      <c r="BJ123" s="55"/>
      <c r="BK123" s="55"/>
      <c r="BL123" s="55"/>
      <c r="BM123" s="55"/>
      <c r="BN123" s="55"/>
      <c r="BO123" s="55"/>
      <c r="BP123" s="55"/>
      <c r="BQ123" s="55"/>
      <c r="BR123" s="55"/>
      <c r="BS123" s="55"/>
      <c r="BT123" s="55"/>
      <c r="BU123" s="55"/>
      <c r="BV123" s="55"/>
      <c r="BW123" s="55"/>
      <c r="BX123" s="55"/>
      <c r="BY123" s="55"/>
      <c r="BZ123" s="55"/>
      <c r="CA123" s="55"/>
      <c r="CB123" s="55"/>
      <c r="CC123" s="55"/>
      <c r="CD123" s="55"/>
      <c r="CE123" s="55"/>
      <c r="CF123" s="55"/>
      <c r="CG123" s="55"/>
      <c r="CH123" s="55"/>
      <c r="CI123" s="55"/>
      <c r="CJ123" s="55"/>
      <c r="CK123" s="55"/>
      <c r="CL123" s="55"/>
      <c r="CM123" s="55"/>
      <c r="CN123" s="55"/>
      <c r="CO123" s="55"/>
      <c r="CP123" s="55"/>
      <c r="CQ123" s="55"/>
      <c r="CR123" s="55"/>
      <c r="CS123" s="55"/>
      <c r="CT123" s="55"/>
      <c r="CU123" s="55"/>
      <c r="CV123" s="55"/>
      <c r="CW123" s="55"/>
      <c r="CX123" s="55"/>
      <c r="CY123" s="55"/>
      <c r="CZ123" s="55"/>
      <c r="DA123" s="55"/>
      <c r="DB123" s="55"/>
      <c r="DC123" s="55"/>
      <c r="DD123" s="55"/>
      <c r="DE123" s="55"/>
      <c r="DF123" s="55"/>
      <c r="DG123" s="55"/>
      <c r="DH123" s="55"/>
      <c r="DI123" s="55"/>
      <c r="DJ123" s="55"/>
      <c r="DK123" s="55"/>
      <c r="DL123" s="55"/>
      <c r="DM123" s="55"/>
      <c r="DN123" s="55"/>
      <c r="DO123" s="55"/>
      <c r="DP123" s="55"/>
      <c r="DQ123" s="55"/>
      <c r="DR123" s="55"/>
      <c r="DS123" s="55"/>
      <c r="DT123" s="55"/>
      <c r="DU123" s="55"/>
      <c r="DV123" s="55"/>
      <c r="DW123" s="55"/>
      <c r="DX123" s="55"/>
      <c r="DY123" s="55"/>
      <c r="DZ123" s="55"/>
      <c r="EA123" s="55"/>
      <c r="EB123" s="55"/>
      <c r="EC123" s="55"/>
      <c r="ED123" s="55"/>
      <c r="EE123" s="55"/>
      <c r="EF123" s="55"/>
      <c r="EG123" s="55"/>
      <c r="EH123" s="55"/>
      <c r="EI123" s="55"/>
      <c r="EJ123" s="55"/>
      <c r="EK123" s="55"/>
      <c r="EL123" s="55"/>
      <c r="EM123" s="55"/>
      <c r="EN123" s="55"/>
      <c r="EO123" s="55"/>
      <c r="EP123" s="55"/>
      <c r="EQ123" s="55"/>
      <c r="ER123" s="55"/>
      <c r="ES123" s="55"/>
      <c r="ET123" s="55"/>
      <c r="EU123" s="55"/>
      <c r="EV123" s="55"/>
      <c r="EW123" s="55"/>
      <c r="EX123" s="55"/>
      <c r="EY123" s="55"/>
      <c r="EZ123" s="55"/>
      <c r="FA123" s="55"/>
      <c r="FB123" s="55"/>
      <c r="FC123" s="55"/>
      <c r="FD123" s="55"/>
      <c r="FE123" s="55"/>
      <c r="FF123" s="55"/>
      <c r="FG123" s="55"/>
      <c r="FH123" s="55"/>
      <c r="FI123" s="55"/>
      <c r="FJ123" s="55"/>
      <c r="FK123" s="55"/>
      <c r="FL123" s="55"/>
      <c r="FM123" s="55"/>
      <c r="FN123" s="55"/>
      <c r="FO123" s="55"/>
      <c r="FP123" s="55"/>
      <c r="FQ123" s="55"/>
      <c r="FR123" s="55"/>
      <c r="FS123" s="55"/>
      <c r="FT123" s="55"/>
      <c r="FU123" s="55"/>
      <c r="FV123" s="55"/>
      <c r="FW123" s="55"/>
      <c r="FX123" s="55"/>
      <c r="FY123" s="55"/>
      <c r="FZ123" s="55"/>
      <c r="GA123" s="55"/>
      <c r="GB123" s="55"/>
      <c r="GC123" s="55"/>
      <c r="GD123" s="55"/>
      <c r="GE123" s="55"/>
      <c r="GF123" s="55"/>
      <c r="GG123" s="55"/>
      <c r="GH123" s="55"/>
      <c r="GI123" s="55"/>
      <c r="GJ123" s="55"/>
      <c r="GK123" s="55"/>
      <c r="GL123" s="55"/>
      <c r="GM123" s="55"/>
      <c r="GN123" s="55"/>
      <c r="GO123" s="55"/>
      <c r="GP123" s="55"/>
      <c r="GQ123" s="55"/>
      <c r="GR123" s="55"/>
      <c r="GS123" s="55"/>
      <c r="GT123" s="55"/>
      <c r="GU123" s="55"/>
      <c r="GV123" s="55"/>
      <c r="GW123" s="55"/>
      <c r="GX123" s="55"/>
      <c r="GY123" s="55"/>
      <c r="GZ123" s="55"/>
      <c r="HA123" s="55"/>
      <c r="HB123" s="55"/>
      <c r="HC123" s="55"/>
      <c r="HD123" s="55"/>
      <c r="HE123" s="55"/>
      <c r="HF123" s="55"/>
      <c r="HG123" s="55"/>
      <c r="HH123" s="55"/>
      <c r="HI123" s="55"/>
      <c r="HJ123" s="55"/>
      <c r="HK123" s="55"/>
      <c r="HL123" s="55"/>
      <c r="HM123" s="55"/>
      <c r="HN123" s="55"/>
      <c r="HO123" s="55"/>
      <c r="HP123" s="55"/>
      <c r="HQ123" s="55"/>
      <c r="HR123" s="55"/>
      <c r="HS123" s="55"/>
      <c r="HT123" s="55"/>
      <c r="HU123" s="55"/>
      <c r="HV123" s="55"/>
      <c r="HW123" s="55"/>
      <c r="HX123" s="55"/>
      <c r="HY123" s="55"/>
      <c r="HZ123" s="55"/>
      <c r="IA123" s="55"/>
      <c r="IB123" s="55"/>
    </row>
    <row r="124" spans="1:236" ht="15" customHeight="1" x14ac:dyDescent="0.2">
      <c r="A124" s="63" t="s">
        <v>375</v>
      </c>
      <c r="B124" s="44" t="s">
        <v>246</v>
      </c>
      <c r="C124" s="45" t="s">
        <v>197</v>
      </c>
      <c r="D124" s="451"/>
      <c r="E124" s="55"/>
      <c r="F124" s="55"/>
      <c r="G124" s="55"/>
      <c r="H124" s="55"/>
      <c r="I124" s="55"/>
      <c r="J124" s="55"/>
      <c r="K124" s="55"/>
      <c r="L124" s="55"/>
      <c r="M124" s="55"/>
      <c r="N124" s="55"/>
      <c r="O124" s="55"/>
      <c r="P124" s="55"/>
      <c r="Q124" s="55"/>
      <c r="R124" s="55"/>
      <c r="S124" s="55"/>
      <c r="T124" s="55"/>
      <c r="U124" s="55"/>
      <c r="V124" s="55"/>
      <c r="W124" s="55"/>
      <c r="X124" s="55"/>
      <c r="Y124" s="55"/>
      <c r="Z124" s="55"/>
      <c r="AA124" s="55"/>
      <c r="AB124" s="55"/>
      <c r="AC124" s="55"/>
      <c r="AD124" s="55"/>
      <c r="AE124" s="55"/>
      <c r="AF124" s="55"/>
      <c r="AG124" s="55"/>
      <c r="AH124" s="55"/>
      <c r="AI124" s="55"/>
      <c r="AJ124" s="55"/>
      <c r="AK124" s="55"/>
      <c r="AL124" s="55"/>
      <c r="AM124" s="55"/>
      <c r="AN124" s="55"/>
      <c r="AO124" s="55"/>
      <c r="AP124" s="55"/>
      <c r="AQ124" s="55"/>
      <c r="AR124" s="55"/>
      <c r="AS124" s="55"/>
      <c r="AT124" s="55"/>
      <c r="AU124" s="55"/>
      <c r="AV124" s="55"/>
      <c r="AW124" s="55"/>
      <c r="AX124" s="55"/>
      <c r="AY124" s="55"/>
      <c r="AZ124" s="55"/>
      <c r="BA124" s="55"/>
      <c r="BB124" s="55"/>
      <c r="BC124" s="55"/>
      <c r="BD124" s="55"/>
      <c r="BE124" s="55"/>
      <c r="BF124" s="55"/>
      <c r="BG124" s="55"/>
      <c r="BH124" s="55"/>
      <c r="BI124" s="55"/>
      <c r="BJ124" s="55"/>
      <c r="BK124" s="55"/>
      <c r="BL124" s="55"/>
      <c r="BM124" s="55"/>
      <c r="BN124" s="55"/>
      <c r="BO124" s="55"/>
      <c r="BP124" s="55"/>
      <c r="BQ124" s="55"/>
      <c r="BR124" s="55"/>
      <c r="BS124" s="55"/>
      <c r="BT124" s="55"/>
      <c r="BU124" s="55"/>
      <c r="BV124" s="55"/>
      <c r="BW124" s="55"/>
      <c r="BX124" s="55"/>
      <c r="BY124" s="55"/>
      <c r="BZ124" s="55"/>
      <c r="CA124" s="55"/>
      <c r="CB124" s="55"/>
      <c r="CC124" s="55"/>
      <c r="CD124" s="55"/>
      <c r="CE124" s="55"/>
      <c r="CF124" s="55"/>
      <c r="CG124" s="55"/>
      <c r="CH124" s="55"/>
      <c r="CI124" s="55"/>
      <c r="CJ124" s="55"/>
      <c r="CK124" s="55"/>
      <c r="CL124" s="55"/>
      <c r="CM124" s="55"/>
      <c r="CN124" s="55"/>
      <c r="CO124" s="55"/>
      <c r="CP124" s="55"/>
      <c r="CQ124" s="55"/>
      <c r="CR124" s="55"/>
      <c r="CS124" s="55"/>
      <c r="CT124" s="55"/>
      <c r="CU124" s="55"/>
      <c r="CV124" s="55"/>
      <c r="CW124" s="55"/>
      <c r="CX124" s="55"/>
      <c r="CY124" s="55"/>
      <c r="CZ124" s="55"/>
      <c r="DA124" s="55"/>
      <c r="DB124" s="55"/>
      <c r="DC124" s="55"/>
      <c r="DD124" s="55"/>
      <c r="DE124" s="55"/>
      <c r="DF124" s="55"/>
      <c r="DG124" s="55"/>
      <c r="DH124" s="55"/>
      <c r="DI124" s="55"/>
      <c r="DJ124" s="55"/>
      <c r="DK124" s="55"/>
      <c r="DL124" s="55"/>
      <c r="DM124" s="55"/>
      <c r="DN124" s="55"/>
      <c r="DO124" s="55"/>
      <c r="DP124" s="55"/>
      <c r="DQ124" s="55"/>
      <c r="DR124" s="55"/>
      <c r="DS124" s="55"/>
      <c r="DT124" s="55"/>
      <c r="DU124" s="55"/>
      <c r="DV124" s="55"/>
      <c r="DW124" s="55"/>
      <c r="DX124" s="55"/>
      <c r="DY124" s="55"/>
      <c r="DZ124" s="55"/>
      <c r="EA124" s="55"/>
      <c r="EB124" s="55"/>
      <c r="EC124" s="55"/>
      <c r="ED124" s="55"/>
      <c r="EE124" s="55"/>
      <c r="EF124" s="55"/>
      <c r="EG124" s="55"/>
      <c r="EH124" s="55"/>
      <c r="EI124" s="55"/>
      <c r="EJ124" s="55"/>
      <c r="EK124" s="55"/>
      <c r="EL124" s="55"/>
      <c r="EM124" s="55"/>
      <c r="EN124" s="55"/>
      <c r="EO124" s="55"/>
      <c r="EP124" s="55"/>
      <c r="EQ124" s="55"/>
      <c r="ER124" s="55"/>
      <c r="ES124" s="55"/>
      <c r="ET124" s="55"/>
      <c r="EU124" s="55"/>
      <c r="EV124" s="55"/>
      <c r="EW124" s="55"/>
      <c r="EX124" s="55"/>
      <c r="EY124" s="55"/>
      <c r="EZ124" s="55"/>
      <c r="FA124" s="55"/>
      <c r="FB124" s="55"/>
      <c r="FC124" s="55"/>
      <c r="FD124" s="55"/>
      <c r="FE124" s="55"/>
      <c r="FF124" s="55"/>
      <c r="FG124" s="55"/>
      <c r="FH124" s="55"/>
      <c r="FI124" s="55"/>
      <c r="FJ124" s="55"/>
      <c r="FK124" s="55"/>
      <c r="FL124" s="55"/>
      <c r="FM124" s="55"/>
      <c r="FN124" s="55"/>
      <c r="FO124" s="55"/>
      <c r="FP124" s="55"/>
      <c r="FQ124" s="55"/>
      <c r="FR124" s="55"/>
      <c r="FS124" s="55"/>
      <c r="FT124" s="55"/>
      <c r="FU124" s="55"/>
      <c r="FV124" s="55"/>
      <c r="FW124" s="55"/>
      <c r="FX124" s="55"/>
      <c r="FY124" s="55"/>
      <c r="FZ124" s="55"/>
      <c r="GA124" s="55"/>
      <c r="GB124" s="55"/>
      <c r="GC124" s="55"/>
      <c r="GD124" s="55"/>
      <c r="GE124" s="55"/>
      <c r="GF124" s="55"/>
      <c r="GG124" s="55"/>
      <c r="GH124" s="55"/>
      <c r="GI124" s="55"/>
      <c r="GJ124" s="55"/>
      <c r="GK124" s="55"/>
      <c r="GL124" s="55"/>
      <c r="GM124" s="55"/>
      <c r="GN124" s="55"/>
      <c r="GO124" s="55"/>
      <c r="GP124" s="55"/>
      <c r="GQ124" s="55"/>
      <c r="GR124" s="55"/>
      <c r="GS124" s="55"/>
      <c r="GT124" s="55"/>
      <c r="GU124" s="55"/>
      <c r="GV124" s="55"/>
      <c r="GW124" s="55"/>
      <c r="GX124" s="55"/>
      <c r="GY124" s="55"/>
      <c r="GZ124" s="55"/>
      <c r="HA124" s="55"/>
      <c r="HB124" s="55"/>
      <c r="HC124" s="55"/>
      <c r="HD124" s="55"/>
      <c r="HE124" s="55"/>
      <c r="HF124" s="55"/>
      <c r="HG124" s="55"/>
      <c r="HH124" s="55"/>
      <c r="HI124" s="55"/>
      <c r="HJ124" s="55"/>
      <c r="HK124" s="55"/>
      <c r="HL124" s="55"/>
      <c r="HM124" s="55"/>
      <c r="HN124" s="55"/>
      <c r="HO124" s="55"/>
      <c r="HP124" s="55"/>
      <c r="HQ124" s="55"/>
      <c r="HR124" s="55"/>
      <c r="HS124" s="55"/>
      <c r="HT124" s="55"/>
      <c r="HU124" s="55"/>
      <c r="HV124" s="55"/>
      <c r="HW124" s="55"/>
      <c r="HX124" s="55"/>
      <c r="HY124" s="55"/>
      <c r="HZ124" s="55"/>
      <c r="IA124" s="55"/>
      <c r="IB124" s="55"/>
    </row>
    <row r="125" spans="1:236" ht="15" customHeight="1" x14ac:dyDescent="0.2">
      <c r="A125" s="63" t="s">
        <v>376</v>
      </c>
      <c r="B125" s="44" t="s">
        <v>247</v>
      </c>
      <c r="C125" s="45" t="s">
        <v>197</v>
      </c>
      <c r="D125" s="451"/>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5"/>
      <c r="AG125" s="55"/>
      <c r="AH125" s="55"/>
      <c r="AI125" s="55"/>
      <c r="AJ125" s="55"/>
      <c r="AK125" s="55"/>
      <c r="AL125" s="55"/>
      <c r="AM125" s="55"/>
      <c r="AN125" s="55"/>
      <c r="AO125" s="55"/>
      <c r="AP125" s="55"/>
      <c r="AQ125" s="55"/>
      <c r="AR125" s="55"/>
      <c r="AS125" s="55"/>
      <c r="AT125" s="55"/>
      <c r="AU125" s="55"/>
      <c r="AV125" s="55"/>
      <c r="AW125" s="55"/>
      <c r="AX125" s="55"/>
      <c r="AY125" s="55"/>
      <c r="AZ125" s="55"/>
      <c r="BA125" s="55"/>
      <c r="BB125" s="55"/>
      <c r="BC125" s="55"/>
      <c r="BD125" s="55"/>
      <c r="BE125" s="55"/>
      <c r="BF125" s="55"/>
      <c r="BG125" s="55"/>
      <c r="BH125" s="55"/>
      <c r="BI125" s="55"/>
      <c r="BJ125" s="55"/>
      <c r="BK125" s="55"/>
      <c r="BL125" s="55"/>
      <c r="BM125" s="55"/>
      <c r="BN125" s="55"/>
      <c r="BO125" s="55"/>
      <c r="BP125" s="55"/>
      <c r="BQ125" s="55"/>
      <c r="BR125" s="55"/>
      <c r="BS125" s="55"/>
      <c r="BT125" s="55"/>
      <c r="BU125" s="55"/>
      <c r="BV125" s="55"/>
      <c r="BW125" s="55"/>
      <c r="BX125" s="55"/>
      <c r="BY125" s="55"/>
      <c r="BZ125" s="55"/>
      <c r="CA125" s="55"/>
      <c r="CB125" s="55"/>
      <c r="CC125" s="55"/>
      <c r="CD125" s="55"/>
      <c r="CE125" s="55"/>
      <c r="CF125" s="55"/>
      <c r="CG125" s="55"/>
      <c r="CH125" s="55"/>
      <c r="CI125" s="55"/>
      <c r="CJ125" s="55"/>
      <c r="CK125" s="55"/>
      <c r="CL125" s="55"/>
      <c r="CM125" s="55"/>
      <c r="CN125" s="55"/>
      <c r="CO125" s="55"/>
      <c r="CP125" s="55"/>
      <c r="CQ125" s="55"/>
      <c r="CR125" s="55"/>
      <c r="CS125" s="55"/>
      <c r="CT125" s="55"/>
      <c r="CU125" s="55"/>
      <c r="CV125" s="55"/>
      <c r="CW125" s="55"/>
      <c r="CX125" s="55"/>
      <c r="CY125" s="55"/>
      <c r="CZ125" s="55"/>
      <c r="DA125" s="55"/>
      <c r="DB125" s="55"/>
      <c r="DC125" s="55"/>
      <c r="DD125" s="55"/>
      <c r="DE125" s="55"/>
      <c r="DF125" s="55"/>
      <c r="DG125" s="55"/>
      <c r="DH125" s="55"/>
      <c r="DI125" s="55"/>
      <c r="DJ125" s="55"/>
      <c r="DK125" s="55"/>
      <c r="DL125" s="55"/>
      <c r="DM125" s="55"/>
      <c r="DN125" s="55"/>
      <c r="DO125" s="55"/>
      <c r="DP125" s="55"/>
      <c r="DQ125" s="55"/>
      <c r="DR125" s="55"/>
      <c r="DS125" s="55"/>
      <c r="DT125" s="55"/>
      <c r="DU125" s="55"/>
      <c r="DV125" s="55"/>
      <c r="DW125" s="55"/>
      <c r="DX125" s="55"/>
      <c r="DY125" s="55"/>
      <c r="DZ125" s="55"/>
      <c r="EA125" s="55"/>
      <c r="EB125" s="55"/>
      <c r="EC125" s="55"/>
      <c r="ED125" s="55"/>
      <c r="EE125" s="55"/>
      <c r="EF125" s="55"/>
      <c r="EG125" s="55"/>
      <c r="EH125" s="55"/>
      <c r="EI125" s="55"/>
      <c r="EJ125" s="55"/>
      <c r="EK125" s="55"/>
      <c r="EL125" s="55"/>
      <c r="EM125" s="55"/>
      <c r="EN125" s="55"/>
      <c r="EO125" s="55"/>
      <c r="EP125" s="55"/>
      <c r="EQ125" s="55"/>
      <c r="ER125" s="55"/>
      <c r="ES125" s="55"/>
      <c r="ET125" s="55"/>
      <c r="EU125" s="55"/>
      <c r="EV125" s="55"/>
      <c r="EW125" s="55"/>
      <c r="EX125" s="55"/>
      <c r="EY125" s="55"/>
      <c r="EZ125" s="55"/>
      <c r="FA125" s="55"/>
      <c r="FB125" s="55"/>
      <c r="FC125" s="55"/>
      <c r="FD125" s="55"/>
      <c r="FE125" s="55"/>
      <c r="FF125" s="55"/>
      <c r="FG125" s="55"/>
      <c r="FH125" s="55"/>
      <c r="FI125" s="55"/>
      <c r="FJ125" s="55"/>
      <c r="FK125" s="55"/>
      <c r="FL125" s="55"/>
      <c r="FM125" s="55"/>
      <c r="FN125" s="55"/>
      <c r="FO125" s="55"/>
      <c r="FP125" s="55"/>
      <c r="FQ125" s="55"/>
      <c r="FR125" s="55"/>
      <c r="FS125" s="55"/>
      <c r="FT125" s="55"/>
      <c r="FU125" s="55"/>
      <c r="FV125" s="55"/>
      <c r="FW125" s="55"/>
      <c r="FX125" s="55"/>
      <c r="FY125" s="55"/>
      <c r="FZ125" s="55"/>
      <c r="GA125" s="55"/>
      <c r="GB125" s="55"/>
      <c r="GC125" s="55"/>
      <c r="GD125" s="55"/>
      <c r="GE125" s="55"/>
      <c r="GF125" s="55"/>
      <c r="GG125" s="55"/>
      <c r="GH125" s="55"/>
      <c r="GI125" s="55"/>
      <c r="GJ125" s="55"/>
      <c r="GK125" s="55"/>
      <c r="GL125" s="55"/>
      <c r="GM125" s="55"/>
      <c r="GN125" s="55"/>
      <c r="GO125" s="55"/>
      <c r="GP125" s="55"/>
      <c r="GQ125" s="55"/>
      <c r="GR125" s="55"/>
      <c r="GS125" s="55"/>
      <c r="GT125" s="55"/>
      <c r="GU125" s="55"/>
      <c r="GV125" s="55"/>
      <c r="GW125" s="55"/>
      <c r="GX125" s="55"/>
      <c r="GY125" s="55"/>
      <c r="GZ125" s="55"/>
      <c r="HA125" s="55"/>
      <c r="HB125" s="55"/>
      <c r="HC125" s="55"/>
      <c r="HD125" s="55"/>
      <c r="HE125" s="55"/>
      <c r="HF125" s="55"/>
      <c r="HG125" s="55"/>
      <c r="HH125" s="55"/>
      <c r="HI125" s="55"/>
      <c r="HJ125" s="55"/>
      <c r="HK125" s="55"/>
      <c r="HL125" s="55"/>
      <c r="HM125" s="55"/>
      <c r="HN125" s="55"/>
      <c r="HO125" s="55"/>
      <c r="HP125" s="55"/>
      <c r="HQ125" s="55"/>
      <c r="HR125" s="55"/>
      <c r="HS125" s="55"/>
      <c r="HT125" s="55"/>
      <c r="HU125" s="55"/>
      <c r="HV125" s="55"/>
      <c r="HW125" s="55"/>
      <c r="HX125" s="55"/>
      <c r="HY125" s="55"/>
      <c r="HZ125" s="55"/>
      <c r="IA125" s="55"/>
      <c r="IB125" s="55"/>
    </row>
    <row r="126" spans="1:236" ht="15" customHeight="1" x14ac:dyDescent="0.2">
      <c r="A126" s="63" t="s">
        <v>377</v>
      </c>
      <c r="B126" s="44" t="s">
        <v>248</v>
      </c>
      <c r="C126" s="45" t="s">
        <v>196</v>
      </c>
      <c r="D126" s="451"/>
      <c r="E126" s="55"/>
      <c r="F126" s="55"/>
      <c r="G126" s="55"/>
      <c r="H126" s="55"/>
      <c r="I126" s="55"/>
      <c r="J126" s="55"/>
      <c r="K126" s="55"/>
      <c r="L126" s="55"/>
      <c r="M126" s="55"/>
      <c r="N126" s="55"/>
      <c r="O126" s="55"/>
      <c r="P126" s="55"/>
      <c r="Q126" s="55"/>
      <c r="R126" s="55"/>
      <c r="S126" s="55"/>
      <c r="T126" s="55"/>
      <c r="U126" s="55"/>
      <c r="V126" s="55"/>
      <c r="W126" s="55"/>
      <c r="X126" s="55"/>
      <c r="Y126" s="55"/>
      <c r="Z126" s="55"/>
      <c r="AA126" s="55"/>
      <c r="AB126" s="55"/>
      <c r="AC126" s="55"/>
      <c r="AD126" s="55"/>
      <c r="AE126" s="55"/>
      <c r="AF126" s="55"/>
      <c r="AG126" s="55"/>
      <c r="AH126" s="55"/>
      <c r="AI126" s="55"/>
      <c r="AJ126" s="55"/>
      <c r="AK126" s="55"/>
      <c r="AL126" s="55"/>
      <c r="AM126" s="55"/>
      <c r="AN126" s="55"/>
      <c r="AO126" s="55"/>
      <c r="AP126" s="55"/>
      <c r="AQ126" s="55"/>
      <c r="AR126" s="55"/>
      <c r="AS126" s="55"/>
      <c r="AT126" s="55"/>
      <c r="AU126" s="55"/>
      <c r="AV126" s="55"/>
      <c r="AW126" s="55"/>
      <c r="AX126" s="55"/>
      <c r="AY126" s="55"/>
      <c r="AZ126" s="55"/>
      <c r="BA126" s="55"/>
      <c r="BB126" s="55"/>
      <c r="BC126" s="55"/>
      <c r="BD126" s="55"/>
      <c r="BE126" s="55"/>
      <c r="BF126" s="55"/>
      <c r="BG126" s="55"/>
      <c r="BH126" s="55"/>
      <c r="BI126" s="55"/>
      <c r="BJ126" s="55"/>
      <c r="BK126" s="55"/>
      <c r="BL126" s="55"/>
      <c r="BM126" s="55"/>
      <c r="BN126" s="55"/>
      <c r="BO126" s="55"/>
      <c r="BP126" s="55"/>
      <c r="BQ126" s="55"/>
      <c r="BR126" s="55"/>
      <c r="BS126" s="55"/>
      <c r="BT126" s="55"/>
      <c r="BU126" s="55"/>
      <c r="BV126" s="55"/>
      <c r="BW126" s="55"/>
      <c r="BX126" s="55"/>
      <c r="BY126" s="55"/>
      <c r="BZ126" s="55"/>
      <c r="CA126" s="55"/>
      <c r="CB126" s="55"/>
      <c r="CC126" s="55"/>
      <c r="CD126" s="55"/>
      <c r="CE126" s="55"/>
      <c r="CF126" s="55"/>
      <c r="CG126" s="55"/>
      <c r="CH126" s="55"/>
      <c r="CI126" s="55"/>
      <c r="CJ126" s="55"/>
      <c r="CK126" s="55"/>
      <c r="CL126" s="55"/>
      <c r="CM126" s="55"/>
      <c r="CN126" s="55"/>
      <c r="CO126" s="55"/>
      <c r="CP126" s="55"/>
      <c r="CQ126" s="55"/>
      <c r="CR126" s="55"/>
      <c r="CS126" s="55"/>
      <c r="CT126" s="55"/>
      <c r="CU126" s="55"/>
      <c r="CV126" s="55"/>
      <c r="CW126" s="55"/>
      <c r="CX126" s="55"/>
      <c r="CY126" s="55"/>
      <c r="CZ126" s="55"/>
      <c r="DA126" s="55"/>
      <c r="DB126" s="55"/>
      <c r="DC126" s="55"/>
      <c r="DD126" s="55"/>
      <c r="DE126" s="55"/>
      <c r="DF126" s="55"/>
      <c r="DG126" s="55"/>
      <c r="DH126" s="55"/>
      <c r="DI126" s="55"/>
      <c r="DJ126" s="55"/>
      <c r="DK126" s="55"/>
      <c r="DL126" s="55"/>
      <c r="DM126" s="55"/>
      <c r="DN126" s="55"/>
      <c r="DO126" s="55"/>
      <c r="DP126" s="55"/>
      <c r="DQ126" s="55"/>
      <c r="DR126" s="55"/>
      <c r="DS126" s="55"/>
      <c r="DT126" s="55"/>
      <c r="DU126" s="55"/>
      <c r="DV126" s="55"/>
      <c r="DW126" s="55"/>
      <c r="DX126" s="55"/>
      <c r="DY126" s="55"/>
      <c r="DZ126" s="55"/>
      <c r="EA126" s="55"/>
      <c r="EB126" s="55"/>
      <c r="EC126" s="55"/>
      <c r="ED126" s="55"/>
      <c r="EE126" s="55"/>
      <c r="EF126" s="55"/>
      <c r="EG126" s="55"/>
      <c r="EH126" s="55"/>
      <c r="EI126" s="55"/>
      <c r="EJ126" s="55"/>
      <c r="EK126" s="55"/>
      <c r="EL126" s="55"/>
      <c r="EM126" s="55"/>
      <c r="EN126" s="55"/>
      <c r="EO126" s="55"/>
      <c r="EP126" s="55"/>
      <c r="EQ126" s="55"/>
      <c r="ER126" s="55"/>
      <c r="ES126" s="55"/>
      <c r="ET126" s="55"/>
      <c r="EU126" s="55"/>
      <c r="EV126" s="55"/>
      <c r="EW126" s="55"/>
      <c r="EX126" s="55"/>
      <c r="EY126" s="55"/>
      <c r="EZ126" s="55"/>
      <c r="FA126" s="55"/>
      <c r="FB126" s="55"/>
      <c r="FC126" s="55"/>
      <c r="FD126" s="55"/>
      <c r="FE126" s="55"/>
      <c r="FF126" s="55"/>
      <c r="FG126" s="55"/>
      <c r="FH126" s="55"/>
      <c r="FI126" s="55"/>
      <c r="FJ126" s="55"/>
      <c r="FK126" s="55"/>
      <c r="FL126" s="55"/>
      <c r="FM126" s="55"/>
      <c r="FN126" s="55"/>
      <c r="FO126" s="55"/>
      <c r="FP126" s="55"/>
      <c r="FQ126" s="55"/>
      <c r="FR126" s="55"/>
      <c r="FS126" s="55"/>
      <c r="FT126" s="55"/>
      <c r="FU126" s="55"/>
      <c r="FV126" s="55"/>
      <c r="FW126" s="55"/>
      <c r="FX126" s="55"/>
      <c r="FY126" s="55"/>
      <c r="FZ126" s="55"/>
      <c r="GA126" s="55"/>
      <c r="GB126" s="55"/>
      <c r="GC126" s="55"/>
      <c r="GD126" s="55"/>
      <c r="GE126" s="55"/>
      <c r="GF126" s="55"/>
      <c r="GG126" s="55"/>
      <c r="GH126" s="55"/>
      <c r="GI126" s="55"/>
      <c r="GJ126" s="55"/>
      <c r="GK126" s="55"/>
      <c r="GL126" s="55"/>
      <c r="GM126" s="55"/>
      <c r="GN126" s="55"/>
      <c r="GO126" s="55"/>
      <c r="GP126" s="55"/>
      <c r="GQ126" s="55"/>
      <c r="GR126" s="55"/>
      <c r="GS126" s="55"/>
      <c r="GT126" s="55"/>
      <c r="GU126" s="55"/>
      <c r="GV126" s="55"/>
      <c r="GW126" s="55"/>
      <c r="GX126" s="55"/>
      <c r="GY126" s="55"/>
      <c r="GZ126" s="55"/>
      <c r="HA126" s="55"/>
      <c r="HB126" s="55"/>
      <c r="HC126" s="55"/>
      <c r="HD126" s="55"/>
      <c r="HE126" s="55"/>
      <c r="HF126" s="55"/>
      <c r="HG126" s="55"/>
      <c r="HH126" s="55"/>
      <c r="HI126" s="55"/>
      <c r="HJ126" s="55"/>
      <c r="HK126" s="55"/>
      <c r="HL126" s="55"/>
      <c r="HM126" s="55"/>
      <c r="HN126" s="55"/>
      <c r="HO126" s="55"/>
      <c r="HP126" s="55"/>
      <c r="HQ126" s="55"/>
      <c r="HR126" s="55"/>
      <c r="HS126" s="55"/>
      <c r="HT126" s="55"/>
      <c r="HU126" s="55"/>
      <c r="HV126" s="55"/>
      <c r="HW126" s="55"/>
      <c r="HX126" s="55"/>
      <c r="HY126" s="55"/>
      <c r="HZ126" s="55"/>
      <c r="IA126" s="55"/>
      <c r="IB126" s="55"/>
    </row>
    <row r="127" spans="1:236" ht="15" customHeight="1" x14ac:dyDescent="0.2">
      <c r="A127" s="63" t="s">
        <v>378</v>
      </c>
      <c r="B127" s="44" t="s">
        <v>1013</v>
      </c>
      <c r="C127" s="45" t="s">
        <v>198</v>
      </c>
      <c r="D127" s="451"/>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5"/>
      <c r="AG127" s="55"/>
      <c r="AH127" s="55"/>
      <c r="AI127" s="55"/>
      <c r="AJ127" s="55"/>
      <c r="AK127" s="55"/>
      <c r="AL127" s="55"/>
      <c r="AM127" s="55"/>
      <c r="AN127" s="55"/>
      <c r="AO127" s="55"/>
      <c r="AP127" s="55"/>
      <c r="AQ127" s="55"/>
      <c r="AR127" s="55"/>
      <c r="AS127" s="55"/>
      <c r="AT127" s="55"/>
      <c r="AU127" s="55"/>
      <c r="AV127" s="55"/>
      <c r="AW127" s="55"/>
      <c r="AX127" s="55"/>
      <c r="AY127" s="55"/>
      <c r="AZ127" s="55"/>
      <c r="BA127" s="55"/>
      <c r="BB127" s="55"/>
      <c r="BC127" s="55"/>
      <c r="BD127" s="55"/>
      <c r="BE127" s="55"/>
      <c r="BF127" s="55"/>
      <c r="BG127" s="55"/>
      <c r="BH127" s="55"/>
      <c r="BI127" s="55"/>
      <c r="BJ127" s="55"/>
      <c r="BK127" s="55"/>
      <c r="BL127" s="55"/>
      <c r="BM127" s="55"/>
      <c r="BN127" s="55"/>
      <c r="BO127" s="55"/>
      <c r="BP127" s="55"/>
      <c r="BQ127" s="55"/>
      <c r="BR127" s="55"/>
      <c r="BS127" s="55"/>
      <c r="BT127" s="55"/>
      <c r="BU127" s="55"/>
      <c r="BV127" s="55"/>
      <c r="BW127" s="55"/>
      <c r="BX127" s="55"/>
      <c r="BY127" s="55"/>
      <c r="BZ127" s="55"/>
      <c r="CA127" s="55"/>
      <c r="CB127" s="55"/>
      <c r="CC127" s="55"/>
      <c r="CD127" s="55"/>
      <c r="CE127" s="55"/>
      <c r="CF127" s="55"/>
      <c r="CG127" s="55"/>
      <c r="CH127" s="55"/>
      <c r="CI127" s="55"/>
      <c r="CJ127" s="55"/>
      <c r="CK127" s="55"/>
      <c r="CL127" s="55"/>
      <c r="CM127" s="55"/>
      <c r="CN127" s="55"/>
      <c r="CO127" s="55"/>
      <c r="CP127" s="55"/>
      <c r="CQ127" s="55"/>
      <c r="CR127" s="55"/>
      <c r="CS127" s="55"/>
      <c r="CT127" s="55"/>
      <c r="CU127" s="55"/>
      <c r="CV127" s="55"/>
      <c r="CW127" s="55"/>
      <c r="CX127" s="55"/>
      <c r="CY127" s="55"/>
      <c r="CZ127" s="55"/>
      <c r="DA127" s="55"/>
      <c r="DB127" s="55"/>
      <c r="DC127" s="55"/>
      <c r="DD127" s="55"/>
      <c r="DE127" s="55"/>
      <c r="DF127" s="55"/>
      <c r="DG127" s="55"/>
      <c r="DH127" s="55"/>
      <c r="DI127" s="55"/>
      <c r="DJ127" s="55"/>
      <c r="DK127" s="55"/>
      <c r="DL127" s="55"/>
      <c r="DM127" s="55"/>
      <c r="DN127" s="55"/>
      <c r="DO127" s="55"/>
      <c r="DP127" s="55"/>
      <c r="DQ127" s="55"/>
      <c r="DR127" s="55"/>
      <c r="DS127" s="55"/>
      <c r="DT127" s="55"/>
      <c r="DU127" s="55"/>
      <c r="DV127" s="55"/>
      <c r="DW127" s="55"/>
      <c r="DX127" s="55"/>
      <c r="DY127" s="55"/>
      <c r="DZ127" s="55"/>
      <c r="EA127" s="55"/>
      <c r="EB127" s="55"/>
      <c r="EC127" s="55"/>
      <c r="ED127" s="55"/>
      <c r="EE127" s="55"/>
      <c r="EF127" s="55"/>
      <c r="EG127" s="55"/>
      <c r="EH127" s="55"/>
      <c r="EI127" s="55"/>
      <c r="EJ127" s="55"/>
      <c r="EK127" s="55"/>
      <c r="EL127" s="55"/>
      <c r="EM127" s="55"/>
      <c r="EN127" s="55"/>
      <c r="EO127" s="55"/>
      <c r="EP127" s="55"/>
      <c r="EQ127" s="55"/>
      <c r="ER127" s="55"/>
      <c r="ES127" s="55"/>
      <c r="ET127" s="55"/>
      <c r="EU127" s="55"/>
      <c r="EV127" s="55"/>
      <c r="EW127" s="55"/>
      <c r="EX127" s="55"/>
      <c r="EY127" s="55"/>
      <c r="EZ127" s="55"/>
      <c r="FA127" s="55"/>
      <c r="FB127" s="55"/>
      <c r="FC127" s="55"/>
      <c r="FD127" s="55"/>
      <c r="FE127" s="55"/>
      <c r="FF127" s="55"/>
      <c r="FG127" s="55"/>
      <c r="FH127" s="55"/>
      <c r="FI127" s="55"/>
      <c r="FJ127" s="55"/>
      <c r="FK127" s="55"/>
      <c r="FL127" s="55"/>
      <c r="FM127" s="55"/>
      <c r="FN127" s="55"/>
      <c r="FO127" s="55"/>
      <c r="FP127" s="55"/>
      <c r="FQ127" s="55"/>
      <c r="FR127" s="55"/>
      <c r="FS127" s="55"/>
      <c r="FT127" s="55"/>
      <c r="FU127" s="55"/>
      <c r="FV127" s="55"/>
      <c r="FW127" s="55"/>
      <c r="FX127" s="55"/>
      <c r="FY127" s="55"/>
      <c r="FZ127" s="55"/>
      <c r="GA127" s="55"/>
      <c r="GB127" s="55"/>
      <c r="GC127" s="55"/>
      <c r="GD127" s="55"/>
      <c r="GE127" s="55"/>
      <c r="GF127" s="55"/>
      <c r="GG127" s="55"/>
      <c r="GH127" s="55"/>
      <c r="GI127" s="55"/>
      <c r="GJ127" s="55"/>
      <c r="GK127" s="55"/>
      <c r="GL127" s="55"/>
      <c r="GM127" s="55"/>
      <c r="GN127" s="55"/>
      <c r="GO127" s="55"/>
      <c r="GP127" s="55"/>
      <c r="GQ127" s="55"/>
      <c r="GR127" s="55"/>
      <c r="GS127" s="55"/>
      <c r="GT127" s="55"/>
      <c r="GU127" s="55"/>
      <c r="GV127" s="55"/>
      <c r="GW127" s="55"/>
      <c r="GX127" s="55"/>
      <c r="GY127" s="55"/>
      <c r="GZ127" s="55"/>
      <c r="HA127" s="55"/>
      <c r="HB127" s="55"/>
      <c r="HC127" s="55"/>
      <c r="HD127" s="55"/>
      <c r="HE127" s="55"/>
      <c r="HF127" s="55"/>
      <c r="HG127" s="55"/>
      <c r="HH127" s="55"/>
      <c r="HI127" s="55"/>
      <c r="HJ127" s="55"/>
      <c r="HK127" s="55"/>
      <c r="HL127" s="55"/>
      <c r="HM127" s="55"/>
      <c r="HN127" s="55"/>
      <c r="HO127" s="55"/>
      <c r="HP127" s="55"/>
      <c r="HQ127" s="55"/>
      <c r="HR127" s="55"/>
      <c r="HS127" s="55"/>
      <c r="HT127" s="55"/>
      <c r="HU127" s="55"/>
      <c r="HV127" s="55"/>
      <c r="HW127" s="55"/>
      <c r="HX127" s="55"/>
      <c r="HY127" s="55"/>
      <c r="HZ127" s="55"/>
      <c r="IA127" s="55"/>
      <c r="IB127" s="55"/>
    </row>
    <row r="128" spans="1:236" ht="15" customHeight="1" x14ac:dyDescent="0.2">
      <c r="A128" s="63" t="s">
        <v>379</v>
      </c>
      <c r="B128" s="44" t="s">
        <v>1014</v>
      </c>
      <c r="C128" s="45" t="s">
        <v>198</v>
      </c>
      <c r="D128" s="451"/>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55"/>
      <c r="AH128" s="55"/>
      <c r="AI128" s="55"/>
      <c r="AJ128" s="55"/>
      <c r="AK128" s="55"/>
      <c r="AL128" s="55"/>
      <c r="AM128" s="55"/>
      <c r="AN128" s="55"/>
      <c r="AO128" s="55"/>
      <c r="AP128" s="55"/>
      <c r="AQ128" s="55"/>
      <c r="AR128" s="55"/>
      <c r="AS128" s="55"/>
      <c r="AT128" s="55"/>
      <c r="AU128" s="55"/>
      <c r="AV128" s="55"/>
      <c r="AW128" s="55"/>
      <c r="AX128" s="55"/>
      <c r="AY128" s="55"/>
      <c r="AZ128" s="55"/>
      <c r="BA128" s="55"/>
      <c r="BB128" s="55"/>
      <c r="BC128" s="55"/>
      <c r="BD128" s="55"/>
      <c r="BE128" s="55"/>
      <c r="BF128" s="55"/>
      <c r="BG128" s="55"/>
      <c r="BH128" s="55"/>
      <c r="BI128" s="55"/>
      <c r="BJ128" s="55"/>
      <c r="BK128" s="55"/>
      <c r="BL128" s="55"/>
      <c r="BM128" s="55"/>
      <c r="BN128" s="55"/>
      <c r="BO128" s="55"/>
      <c r="BP128" s="55"/>
      <c r="BQ128" s="55"/>
      <c r="BR128" s="55"/>
      <c r="BS128" s="55"/>
      <c r="BT128" s="55"/>
      <c r="BU128" s="55"/>
      <c r="BV128" s="55"/>
      <c r="BW128" s="55"/>
      <c r="BX128" s="55"/>
      <c r="BY128" s="55"/>
      <c r="BZ128" s="55"/>
      <c r="CA128" s="55"/>
      <c r="CB128" s="55"/>
      <c r="CC128" s="55"/>
      <c r="CD128" s="55"/>
      <c r="CE128" s="55"/>
      <c r="CF128" s="55"/>
      <c r="CG128" s="55"/>
      <c r="CH128" s="55"/>
      <c r="CI128" s="55"/>
      <c r="CJ128" s="55"/>
      <c r="CK128" s="55"/>
      <c r="CL128" s="55"/>
      <c r="CM128" s="55"/>
      <c r="CN128" s="55"/>
      <c r="CO128" s="55"/>
      <c r="CP128" s="55"/>
      <c r="CQ128" s="55"/>
      <c r="CR128" s="55"/>
      <c r="CS128" s="55"/>
      <c r="CT128" s="55"/>
      <c r="CU128" s="55"/>
      <c r="CV128" s="55"/>
      <c r="CW128" s="55"/>
      <c r="CX128" s="55"/>
      <c r="CY128" s="55"/>
      <c r="CZ128" s="55"/>
      <c r="DA128" s="55"/>
      <c r="DB128" s="55"/>
      <c r="DC128" s="55"/>
      <c r="DD128" s="55"/>
      <c r="DE128" s="55"/>
      <c r="DF128" s="55"/>
      <c r="DG128" s="55"/>
      <c r="DH128" s="55"/>
      <c r="DI128" s="55"/>
      <c r="DJ128" s="55"/>
      <c r="DK128" s="55"/>
      <c r="DL128" s="55"/>
      <c r="DM128" s="55"/>
      <c r="DN128" s="55"/>
      <c r="DO128" s="55"/>
      <c r="DP128" s="55"/>
      <c r="DQ128" s="55"/>
      <c r="DR128" s="55"/>
      <c r="DS128" s="55"/>
      <c r="DT128" s="55"/>
      <c r="DU128" s="55"/>
      <c r="DV128" s="55"/>
      <c r="DW128" s="55"/>
      <c r="DX128" s="55"/>
      <c r="DY128" s="55"/>
      <c r="DZ128" s="55"/>
      <c r="EA128" s="55"/>
      <c r="EB128" s="55"/>
      <c r="EC128" s="55"/>
      <c r="ED128" s="55"/>
      <c r="EE128" s="55"/>
      <c r="EF128" s="55"/>
      <c r="EG128" s="55"/>
      <c r="EH128" s="55"/>
      <c r="EI128" s="55"/>
      <c r="EJ128" s="55"/>
      <c r="EK128" s="55"/>
      <c r="EL128" s="55"/>
      <c r="EM128" s="55"/>
      <c r="EN128" s="55"/>
      <c r="EO128" s="55"/>
      <c r="EP128" s="55"/>
      <c r="EQ128" s="55"/>
      <c r="ER128" s="55"/>
      <c r="ES128" s="55"/>
      <c r="ET128" s="55"/>
      <c r="EU128" s="55"/>
      <c r="EV128" s="55"/>
      <c r="EW128" s="55"/>
      <c r="EX128" s="55"/>
      <c r="EY128" s="55"/>
      <c r="EZ128" s="55"/>
      <c r="FA128" s="55"/>
      <c r="FB128" s="55"/>
      <c r="FC128" s="55"/>
      <c r="FD128" s="55"/>
      <c r="FE128" s="55"/>
      <c r="FF128" s="55"/>
      <c r="FG128" s="55"/>
      <c r="FH128" s="55"/>
      <c r="FI128" s="55"/>
      <c r="FJ128" s="55"/>
      <c r="FK128" s="55"/>
      <c r="FL128" s="55"/>
      <c r="FM128" s="55"/>
      <c r="FN128" s="55"/>
      <c r="FO128" s="55"/>
      <c r="FP128" s="55"/>
      <c r="FQ128" s="55"/>
      <c r="FR128" s="55"/>
      <c r="FS128" s="55"/>
      <c r="FT128" s="55"/>
      <c r="FU128" s="55"/>
      <c r="FV128" s="55"/>
      <c r="FW128" s="55"/>
      <c r="FX128" s="55"/>
      <c r="FY128" s="55"/>
      <c r="FZ128" s="55"/>
      <c r="GA128" s="55"/>
      <c r="GB128" s="55"/>
      <c r="GC128" s="55"/>
      <c r="GD128" s="55"/>
      <c r="GE128" s="55"/>
      <c r="GF128" s="55"/>
      <c r="GG128" s="55"/>
      <c r="GH128" s="55"/>
      <c r="GI128" s="55"/>
      <c r="GJ128" s="55"/>
      <c r="GK128" s="55"/>
      <c r="GL128" s="55"/>
      <c r="GM128" s="55"/>
      <c r="GN128" s="55"/>
      <c r="GO128" s="55"/>
      <c r="GP128" s="55"/>
      <c r="GQ128" s="55"/>
      <c r="GR128" s="55"/>
      <c r="GS128" s="55"/>
      <c r="GT128" s="55"/>
      <c r="GU128" s="55"/>
      <c r="GV128" s="55"/>
      <c r="GW128" s="55"/>
      <c r="GX128" s="55"/>
      <c r="GY128" s="55"/>
      <c r="GZ128" s="55"/>
      <c r="HA128" s="55"/>
      <c r="HB128" s="55"/>
      <c r="HC128" s="55"/>
      <c r="HD128" s="55"/>
      <c r="HE128" s="55"/>
      <c r="HF128" s="55"/>
      <c r="HG128" s="55"/>
      <c r="HH128" s="55"/>
      <c r="HI128" s="55"/>
      <c r="HJ128" s="55"/>
      <c r="HK128" s="55"/>
      <c r="HL128" s="55"/>
      <c r="HM128" s="55"/>
      <c r="HN128" s="55"/>
      <c r="HO128" s="55"/>
      <c r="HP128" s="55"/>
      <c r="HQ128" s="55"/>
      <c r="HR128" s="55"/>
      <c r="HS128" s="55"/>
      <c r="HT128" s="55"/>
      <c r="HU128" s="55"/>
      <c r="HV128" s="55"/>
      <c r="HW128" s="55"/>
      <c r="HX128" s="55"/>
      <c r="HY128" s="55"/>
      <c r="HZ128" s="55"/>
      <c r="IA128" s="55"/>
      <c r="IB128" s="55"/>
    </row>
    <row r="129" spans="1:237" ht="25.5" x14ac:dyDescent="0.2">
      <c r="A129" s="63" t="s">
        <v>380</v>
      </c>
      <c r="B129" s="44" t="s">
        <v>1198</v>
      </c>
      <c r="C129" s="45" t="s">
        <v>198</v>
      </c>
      <c r="D129" s="451"/>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5"/>
      <c r="AG129" s="55"/>
      <c r="AH129" s="55"/>
      <c r="AI129" s="55"/>
      <c r="AJ129" s="55"/>
      <c r="AK129" s="55"/>
      <c r="AL129" s="55"/>
      <c r="AM129" s="55"/>
      <c r="AN129" s="55"/>
      <c r="AO129" s="55"/>
      <c r="AP129" s="55"/>
      <c r="AQ129" s="55"/>
      <c r="AR129" s="55"/>
      <c r="AS129" s="55"/>
      <c r="AT129" s="55"/>
      <c r="AU129" s="55"/>
      <c r="AV129" s="55"/>
      <c r="AW129" s="55"/>
      <c r="AX129" s="55"/>
      <c r="AY129" s="55"/>
      <c r="AZ129" s="55"/>
      <c r="BA129" s="55"/>
      <c r="BB129" s="55"/>
      <c r="BC129" s="55"/>
      <c r="BD129" s="55"/>
      <c r="BE129" s="55"/>
      <c r="BF129" s="55"/>
      <c r="BG129" s="55"/>
      <c r="BH129" s="55"/>
      <c r="BI129" s="55"/>
      <c r="BJ129" s="55"/>
      <c r="BK129" s="55"/>
      <c r="BL129" s="55"/>
      <c r="BM129" s="55"/>
      <c r="BN129" s="55"/>
      <c r="BO129" s="55"/>
      <c r="BP129" s="55"/>
      <c r="BQ129" s="55"/>
      <c r="BR129" s="55"/>
      <c r="BS129" s="55"/>
      <c r="BT129" s="55"/>
      <c r="BU129" s="55"/>
      <c r="BV129" s="55"/>
      <c r="BW129" s="55"/>
      <c r="BX129" s="55"/>
      <c r="BY129" s="55"/>
      <c r="BZ129" s="55"/>
      <c r="CA129" s="55"/>
      <c r="CB129" s="55"/>
      <c r="CC129" s="55"/>
      <c r="CD129" s="55"/>
      <c r="CE129" s="55"/>
      <c r="CF129" s="55"/>
      <c r="CG129" s="55"/>
      <c r="CH129" s="55"/>
      <c r="CI129" s="55"/>
      <c r="CJ129" s="55"/>
      <c r="CK129" s="55"/>
      <c r="CL129" s="55"/>
      <c r="CM129" s="55"/>
      <c r="CN129" s="55"/>
      <c r="CO129" s="55"/>
      <c r="CP129" s="55"/>
      <c r="CQ129" s="55"/>
      <c r="CR129" s="55"/>
      <c r="CS129" s="55"/>
      <c r="CT129" s="55"/>
      <c r="CU129" s="55"/>
      <c r="CV129" s="55"/>
      <c r="CW129" s="55"/>
      <c r="CX129" s="55"/>
      <c r="CY129" s="55"/>
      <c r="CZ129" s="55"/>
      <c r="DA129" s="55"/>
      <c r="DB129" s="55"/>
      <c r="DC129" s="55"/>
      <c r="DD129" s="55"/>
      <c r="DE129" s="55"/>
      <c r="DF129" s="55"/>
      <c r="DG129" s="55"/>
      <c r="DH129" s="55"/>
      <c r="DI129" s="55"/>
      <c r="DJ129" s="55"/>
      <c r="DK129" s="55"/>
      <c r="DL129" s="55"/>
      <c r="DM129" s="55"/>
      <c r="DN129" s="55"/>
      <c r="DO129" s="55"/>
      <c r="DP129" s="55"/>
      <c r="DQ129" s="55"/>
      <c r="DR129" s="55"/>
      <c r="DS129" s="55"/>
      <c r="DT129" s="55"/>
      <c r="DU129" s="55"/>
      <c r="DV129" s="55"/>
      <c r="DW129" s="55"/>
      <c r="DX129" s="55"/>
      <c r="DY129" s="55"/>
      <c r="DZ129" s="55"/>
      <c r="EA129" s="55"/>
      <c r="EB129" s="55"/>
      <c r="EC129" s="55"/>
      <c r="ED129" s="55"/>
      <c r="EE129" s="55"/>
      <c r="EF129" s="55"/>
      <c r="EG129" s="55"/>
      <c r="EH129" s="55"/>
      <c r="EI129" s="55"/>
      <c r="EJ129" s="55"/>
      <c r="EK129" s="55"/>
      <c r="EL129" s="55"/>
      <c r="EM129" s="55"/>
      <c r="EN129" s="55"/>
      <c r="EO129" s="55"/>
      <c r="EP129" s="55"/>
      <c r="EQ129" s="55"/>
      <c r="ER129" s="55"/>
      <c r="ES129" s="55"/>
      <c r="ET129" s="55"/>
      <c r="EU129" s="55"/>
      <c r="EV129" s="55"/>
      <c r="EW129" s="55"/>
      <c r="EX129" s="55"/>
      <c r="EY129" s="55"/>
      <c r="EZ129" s="55"/>
      <c r="FA129" s="55"/>
      <c r="FB129" s="55"/>
      <c r="FC129" s="55"/>
      <c r="FD129" s="55"/>
      <c r="FE129" s="55"/>
      <c r="FF129" s="55"/>
      <c r="FG129" s="55"/>
      <c r="FH129" s="55"/>
      <c r="FI129" s="55"/>
      <c r="FJ129" s="55"/>
      <c r="FK129" s="55"/>
      <c r="FL129" s="55"/>
      <c r="FM129" s="55"/>
      <c r="FN129" s="55"/>
      <c r="FO129" s="55"/>
      <c r="FP129" s="55"/>
      <c r="FQ129" s="55"/>
      <c r="FR129" s="55"/>
      <c r="FS129" s="55"/>
      <c r="FT129" s="55"/>
      <c r="FU129" s="55"/>
      <c r="FV129" s="55"/>
      <c r="FW129" s="55"/>
      <c r="FX129" s="55"/>
      <c r="FY129" s="55"/>
      <c r="FZ129" s="55"/>
      <c r="GA129" s="55"/>
      <c r="GB129" s="55"/>
      <c r="GC129" s="55"/>
      <c r="GD129" s="55"/>
      <c r="GE129" s="55"/>
      <c r="GF129" s="55"/>
      <c r="GG129" s="55"/>
      <c r="GH129" s="55"/>
      <c r="GI129" s="55"/>
      <c r="GJ129" s="55"/>
      <c r="GK129" s="55"/>
      <c r="GL129" s="55"/>
      <c r="GM129" s="55"/>
      <c r="GN129" s="55"/>
      <c r="GO129" s="55"/>
      <c r="GP129" s="55"/>
      <c r="GQ129" s="55"/>
      <c r="GR129" s="55"/>
      <c r="GS129" s="55"/>
      <c r="GT129" s="55"/>
      <c r="GU129" s="55"/>
      <c r="GV129" s="55"/>
      <c r="GW129" s="55"/>
      <c r="GX129" s="55"/>
      <c r="GY129" s="55"/>
      <c r="GZ129" s="55"/>
      <c r="HA129" s="55"/>
      <c r="HB129" s="55"/>
      <c r="HC129" s="55"/>
      <c r="HD129" s="55"/>
      <c r="HE129" s="55"/>
      <c r="HF129" s="55"/>
      <c r="HG129" s="55"/>
      <c r="HH129" s="55"/>
      <c r="HI129" s="55"/>
      <c r="HJ129" s="55"/>
      <c r="HK129" s="55"/>
      <c r="HL129" s="55"/>
      <c r="HM129" s="55"/>
      <c r="HN129" s="55"/>
      <c r="HO129" s="55"/>
      <c r="HP129" s="55"/>
      <c r="HQ129" s="55"/>
      <c r="HR129" s="55"/>
      <c r="HS129" s="55"/>
      <c r="HT129" s="55"/>
      <c r="HU129" s="55"/>
      <c r="HV129" s="55"/>
      <c r="HW129" s="55"/>
      <c r="HX129" s="55"/>
      <c r="HY129" s="55"/>
      <c r="HZ129" s="55"/>
      <c r="IA129" s="55"/>
      <c r="IB129" s="55"/>
    </row>
    <row r="130" spans="1:237" ht="15" customHeight="1" x14ac:dyDescent="0.2">
      <c r="A130" s="63" t="s">
        <v>381</v>
      </c>
      <c r="B130" s="44" t="s">
        <v>468</v>
      </c>
      <c r="C130" s="45" t="s">
        <v>198</v>
      </c>
      <c r="D130" s="451"/>
      <c r="E130" s="55"/>
      <c r="F130" s="55"/>
      <c r="G130" s="55"/>
      <c r="H130" s="55"/>
      <c r="I130" s="55"/>
      <c r="J130" s="55"/>
      <c r="K130" s="55"/>
      <c r="L130" s="55"/>
      <c r="M130" s="55"/>
      <c r="N130" s="55"/>
      <c r="O130" s="55"/>
      <c r="P130" s="55"/>
      <c r="Q130" s="55"/>
      <c r="R130" s="55"/>
      <c r="S130" s="55"/>
      <c r="T130" s="55"/>
      <c r="U130" s="55"/>
      <c r="V130" s="55"/>
      <c r="W130" s="55"/>
      <c r="X130" s="55"/>
      <c r="Y130" s="55"/>
      <c r="Z130" s="55"/>
      <c r="AA130" s="55"/>
      <c r="AB130" s="55"/>
      <c r="AC130" s="55"/>
      <c r="AD130" s="55"/>
      <c r="AE130" s="55"/>
      <c r="AF130" s="55"/>
      <c r="AG130" s="55"/>
      <c r="AH130" s="55"/>
      <c r="AI130" s="55"/>
      <c r="AJ130" s="55"/>
      <c r="AK130" s="55"/>
      <c r="AL130" s="55"/>
      <c r="AM130" s="55"/>
      <c r="AN130" s="55"/>
      <c r="AO130" s="55"/>
      <c r="AP130" s="55"/>
      <c r="AQ130" s="55"/>
      <c r="AR130" s="55"/>
      <c r="AS130" s="55"/>
      <c r="AT130" s="55"/>
      <c r="AU130" s="55"/>
      <c r="AV130" s="55"/>
      <c r="AW130" s="55"/>
      <c r="AX130" s="55"/>
      <c r="AY130" s="55"/>
      <c r="AZ130" s="55"/>
      <c r="BA130" s="55"/>
      <c r="BB130" s="55"/>
      <c r="BC130" s="55"/>
      <c r="BD130" s="55"/>
      <c r="BE130" s="55"/>
      <c r="BF130" s="55"/>
      <c r="BG130" s="55"/>
      <c r="BH130" s="55"/>
      <c r="BI130" s="55"/>
      <c r="BJ130" s="55"/>
      <c r="BK130" s="55"/>
      <c r="BL130" s="55"/>
      <c r="BM130" s="55"/>
      <c r="BN130" s="55"/>
      <c r="BO130" s="55"/>
      <c r="BP130" s="55"/>
      <c r="BQ130" s="55"/>
      <c r="BR130" s="55"/>
      <c r="BS130" s="55"/>
      <c r="BT130" s="55"/>
      <c r="BU130" s="55"/>
      <c r="BV130" s="55"/>
      <c r="BW130" s="55"/>
      <c r="BX130" s="55"/>
      <c r="BY130" s="55"/>
      <c r="BZ130" s="55"/>
      <c r="CA130" s="55"/>
      <c r="CB130" s="55"/>
      <c r="CC130" s="55"/>
      <c r="CD130" s="55"/>
      <c r="CE130" s="55"/>
      <c r="CF130" s="55"/>
      <c r="CG130" s="55"/>
      <c r="CH130" s="55"/>
      <c r="CI130" s="55"/>
      <c r="CJ130" s="55"/>
      <c r="CK130" s="55"/>
      <c r="CL130" s="55"/>
      <c r="CM130" s="55"/>
      <c r="CN130" s="55"/>
      <c r="CO130" s="55"/>
      <c r="CP130" s="55"/>
      <c r="CQ130" s="55"/>
      <c r="CR130" s="55"/>
      <c r="CS130" s="55"/>
      <c r="CT130" s="55"/>
      <c r="CU130" s="55"/>
      <c r="CV130" s="55"/>
      <c r="CW130" s="55"/>
      <c r="CX130" s="55"/>
      <c r="CY130" s="55"/>
      <c r="CZ130" s="55"/>
      <c r="DA130" s="55"/>
      <c r="DB130" s="55"/>
      <c r="DC130" s="55"/>
      <c r="DD130" s="55"/>
      <c r="DE130" s="55"/>
      <c r="DF130" s="55"/>
      <c r="DG130" s="55"/>
      <c r="DH130" s="55"/>
      <c r="DI130" s="55"/>
      <c r="DJ130" s="55"/>
      <c r="DK130" s="55"/>
      <c r="DL130" s="55"/>
      <c r="DM130" s="55"/>
      <c r="DN130" s="55"/>
      <c r="DO130" s="55"/>
      <c r="DP130" s="55"/>
      <c r="DQ130" s="55"/>
      <c r="DR130" s="55"/>
      <c r="DS130" s="55"/>
      <c r="DT130" s="55"/>
      <c r="DU130" s="55"/>
      <c r="DV130" s="55"/>
      <c r="DW130" s="55"/>
      <c r="DX130" s="55"/>
      <c r="DY130" s="55"/>
      <c r="DZ130" s="55"/>
      <c r="EA130" s="55"/>
      <c r="EB130" s="55"/>
      <c r="EC130" s="55"/>
      <c r="ED130" s="55"/>
      <c r="EE130" s="55"/>
      <c r="EF130" s="55"/>
      <c r="EG130" s="55"/>
      <c r="EH130" s="55"/>
      <c r="EI130" s="55"/>
      <c r="EJ130" s="55"/>
      <c r="EK130" s="55"/>
      <c r="EL130" s="55"/>
      <c r="EM130" s="55"/>
      <c r="EN130" s="55"/>
      <c r="EO130" s="55"/>
      <c r="EP130" s="55"/>
      <c r="EQ130" s="55"/>
      <c r="ER130" s="55"/>
      <c r="ES130" s="55"/>
      <c r="ET130" s="55"/>
      <c r="EU130" s="55"/>
      <c r="EV130" s="55"/>
      <c r="EW130" s="55"/>
      <c r="EX130" s="55"/>
      <c r="EY130" s="55"/>
      <c r="EZ130" s="55"/>
      <c r="FA130" s="55"/>
      <c r="FB130" s="55"/>
      <c r="FC130" s="55"/>
      <c r="FD130" s="55"/>
      <c r="FE130" s="55"/>
      <c r="FF130" s="55"/>
      <c r="FG130" s="55"/>
      <c r="FH130" s="55"/>
      <c r="FI130" s="55"/>
      <c r="FJ130" s="55"/>
      <c r="FK130" s="55"/>
      <c r="FL130" s="55"/>
      <c r="FM130" s="55"/>
      <c r="FN130" s="55"/>
      <c r="FO130" s="55"/>
      <c r="FP130" s="55"/>
      <c r="FQ130" s="55"/>
      <c r="FR130" s="55"/>
      <c r="FS130" s="55"/>
      <c r="FT130" s="55"/>
      <c r="FU130" s="55"/>
      <c r="FV130" s="55"/>
      <c r="FW130" s="55"/>
      <c r="FX130" s="55"/>
      <c r="FY130" s="55"/>
      <c r="FZ130" s="55"/>
      <c r="GA130" s="55"/>
      <c r="GB130" s="55"/>
      <c r="GC130" s="55"/>
      <c r="GD130" s="55"/>
      <c r="GE130" s="55"/>
      <c r="GF130" s="55"/>
      <c r="GG130" s="55"/>
      <c r="GH130" s="55"/>
      <c r="GI130" s="55"/>
      <c r="GJ130" s="55"/>
      <c r="GK130" s="55"/>
      <c r="GL130" s="55"/>
      <c r="GM130" s="55"/>
      <c r="GN130" s="55"/>
      <c r="GO130" s="55"/>
      <c r="GP130" s="55"/>
      <c r="GQ130" s="55"/>
      <c r="GR130" s="55"/>
      <c r="GS130" s="55"/>
      <c r="GT130" s="55"/>
      <c r="GU130" s="55"/>
      <c r="GV130" s="55"/>
      <c r="GW130" s="55"/>
      <c r="GX130" s="55"/>
      <c r="GY130" s="55"/>
      <c r="GZ130" s="55"/>
      <c r="HA130" s="55"/>
      <c r="HB130" s="55"/>
      <c r="HC130" s="55"/>
      <c r="HD130" s="55"/>
      <c r="HE130" s="55"/>
      <c r="HF130" s="55"/>
      <c r="HG130" s="55"/>
      <c r="HH130" s="55"/>
      <c r="HI130" s="55"/>
      <c r="HJ130" s="55"/>
      <c r="HK130" s="55"/>
      <c r="HL130" s="55"/>
      <c r="HM130" s="55"/>
      <c r="HN130" s="55"/>
      <c r="HO130" s="55"/>
      <c r="HP130" s="55"/>
      <c r="HQ130" s="55"/>
      <c r="HR130" s="55"/>
      <c r="HS130" s="55"/>
      <c r="HT130" s="55"/>
      <c r="HU130" s="55"/>
      <c r="HV130" s="55"/>
      <c r="HW130" s="55"/>
      <c r="HX130" s="55"/>
      <c r="HY130" s="55"/>
      <c r="HZ130" s="55"/>
      <c r="IA130" s="55"/>
      <c r="IB130" s="55"/>
    </row>
    <row r="131" spans="1:237" ht="26.25" thickBot="1" x14ac:dyDescent="0.25">
      <c r="A131" s="375" t="s">
        <v>1200</v>
      </c>
      <c r="B131" s="68" t="s">
        <v>1201</v>
      </c>
      <c r="C131" s="48" t="s">
        <v>198</v>
      </c>
      <c r="D131" s="452"/>
      <c r="E131" s="55"/>
      <c r="F131" s="55"/>
      <c r="G131" s="55"/>
      <c r="H131" s="55"/>
      <c r="I131" s="55"/>
      <c r="J131" s="55"/>
      <c r="K131" s="55"/>
      <c r="L131" s="55"/>
      <c r="M131" s="55"/>
      <c r="N131" s="55"/>
      <c r="O131" s="55"/>
      <c r="P131" s="55"/>
      <c r="Q131" s="55"/>
      <c r="R131" s="55"/>
      <c r="S131" s="55"/>
      <c r="T131" s="55"/>
      <c r="U131" s="55"/>
      <c r="V131" s="55"/>
      <c r="W131" s="55"/>
      <c r="X131" s="55"/>
      <c r="Y131" s="55"/>
      <c r="Z131" s="55"/>
      <c r="AA131" s="55"/>
      <c r="AB131" s="55"/>
      <c r="AC131" s="55"/>
      <c r="AD131" s="55"/>
      <c r="AE131" s="55"/>
      <c r="AF131" s="55"/>
      <c r="AG131" s="55"/>
      <c r="AH131" s="55"/>
      <c r="AI131" s="55"/>
      <c r="AJ131" s="55"/>
      <c r="AK131" s="55"/>
      <c r="AL131" s="55"/>
      <c r="AM131" s="55"/>
      <c r="AN131" s="55"/>
      <c r="AO131" s="55"/>
      <c r="AP131" s="55"/>
      <c r="AQ131" s="55"/>
      <c r="AR131" s="55"/>
      <c r="AS131" s="55"/>
      <c r="AT131" s="55"/>
      <c r="AU131" s="55"/>
      <c r="AV131" s="55"/>
      <c r="AW131" s="55"/>
      <c r="AX131" s="55"/>
      <c r="AY131" s="55"/>
      <c r="AZ131" s="55"/>
      <c r="BA131" s="55"/>
      <c r="BB131" s="55"/>
      <c r="BC131" s="55"/>
      <c r="BD131" s="55"/>
      <c r="BE131" s="55"/>
      <c r="BF131" s="55"/>
      <c r="BG131" s="55"/>
      <c r="BH131" s="55"/>
      <c r="BI131" s="55"/>
      <c r="BJ131" s="55"/>
      <c r="BK131" s="55"/>
      <c r="BL131" s="55"/>
      <c r="BM131" s="55"/>
      <c r="BN131" s="55"/>
      <c r="BO131" s="55"/>
      <c r="BP131" s="55"/>
      <c r="BQ131" s="55"/>
      <c r="BR131" s="55"/>
      <c r="BS131" s="55"/>
      <c r="BT131" s="55"/>
      <c r="BU131" s="55"/>
      <c r="BV131" s="55"/>
      <c r="BW131" s="55"/>
      <c r="BX131" s="55"/>
      <c r="BY131" s="55"/>
      <c r="BZ131" s="55"/>
      <c r="CA131" s="55"/>
      <c r="CB131" s="55"/>
      <c r="CC131" s="55"/>
      <c r="CD131" s="55"/>
      <c r="CE131" s="55"/>
      <c r="CF131" s="55"/>
      <c r="CG131" s="55"/>
      <c r="CH131" s="55"/>
      <c r="CI131" s="55"/>
      <c r="CJ131" s="55"/>
      <c r="CK131" s="55"/>
      <c r="CL131" s="55"/>
      <c r="CM131" s="55"/>
      <c r="CN131" s="55"/>
      <c r="CO131" s="55"/>
      <c r="CP131" s="55"/>
      <c r="CQ131" s="55"/>
      <c r="CR131" s="55"/>
      <c r="CS131" s="55"/>
      <c r="CT131" s="55"/>
      <c r="CU131" s="55"/>
      <c r="CV131" s="55"/>
      <c r="CW131" s="55"/>
      <c r="CX131" s="55"/>
      <c r="CY131" s="55"/>
      <c r="CZ131" s="55"/>
      <c r="DA131" s="55"/>
      <c r="DB131" s="55"/>
      <c r="DC131" s="55"/>
      <c r="DD131" s="55"/>
      <c r="DE131" s="55"/>
      <c r="DF131" s="55"/>
      <c r="DG131" s="55"/>
      <c r="DH131" s="55"/>
      <c r="DI131" s="55"/>
      <c r="DJ131" s="55"/>
      <c r="DK131" s="55"/>
      <c r="DL131" s="55"/>
      <c r="DM131" s="55"/>
      <c r="DN131" s="55"/>
      <c r="DO131" s="55"/>
      <c r="DP131" s="55"/>
      <c r="DQ131" s="55"/>
      <c r="DR131" s="55"/>
      <c r="DS131" s="55"/>
      <c r="DT131" s="55"/>
      <c r="DU131" s="55"/>
      <c r="DV131" s="55"/>
      <c r="DW131" s="55"/>
      <c r="DX131" s="55"/>
      <c r="DY131" s="55"/>
      <c r="DZ131" s="55"/>
      <c r="EA131" s="55"/>
      <c r="EB131" s="55"/>
      <c r="EC131" s="55"/>
      <c r="ED131" s="55"/>
      <c r="EE131" s="55"/>
      <c r="EF131" s="55"/>
      <c r="EG131" s="55"/>
      <c r="EH131" s="55"/>
      <c r="EI131" s="55"/>
      <c r="EJ131" s="55"/>
      <c r="EK131" s="55"/>
      <c r="EL131" s="55"/>
      <c r="EM131" s="55"/>
      <c r="EN131" s="55"/>
      <c r="EO131" s="55"/>
      <c r="EP131" s="55"/>
      <c r="EQ131" s="55"/>
      <c r="ER131" s="55"/>
      <c r="ES131" s="55"/>
      <c r="ET131" s="55"/>
      <c r="EU131" s="55"/>
      <c r="EV131" s="55"/>
      <c r="EW131" s="55"/>
      <c r="EX131" s="55"/>
      <c r="EY131" s="55"/>
      <c r="EZ131" s="55"/>
      <c r="FA131" s="55"/>
      <c r="FB131" s="55"/>
      <c r="FC131" s="55"/>
      <c r="FD131" s="55"/>
      <c r="FE131" s="55"/>
      <c r="FF131" s="55"/>
      <c r="FG131" s="55"/>
      <c r="FH131" s="55"/>
      <c r="FI131" s="55"/>
      <c r="FJ131" s="55"/>
      <c r="FK131" s="55"/>
      <c r="FL131" s="55"/>
      <c r="FM131" s="55"/>
      <c r="FN131" s="55"/>
      <c r="FO131" s="55"/>
      <c r="FP131" s="55"/>
      <c r="FQ131" s="55"/>
      <c r="FR131" s="55"/>
      <c r="FS131" s="55"/>
      <c r="FT131" s="55"/>
      <c r="FU131" s="55"/>
      <c r="FV131" s="55"/>
      <c r="FW131" s="55"/>
      <c r="FX131" s="55"/>
      <c r="FY131" s="55"/>
      <c r="FZ131" s="55"/>
      <c r="GA131" s="55"/>
      <c r="GB131" s="55"/>
      <c r="GC131" s="55"/>
      <c r="GD131" s="55"/>
      <c r="GE131" s="55"/>
      <c r="GF131" s="55"/>
      <c r="GG131" s="55"/>
      <c r="GH131" s="55"/>
      <c r="GI131" s="55"/>
      <c r="GJ131" s="55"/>
      <c r="GK131" s="55"/>
      <c r="GL131" s="55"/>
      <c r="GM131" s="55"/>
      <c r="GN131" s="55"/>
      <c r="GO131" s="55"/>
      <c r="GP131" s="55"/>
      <c r="GQ131" s="55"/>
      <c r="GR131" s="55"/>
      <c r="GS131" s="55"/>
      <c r="GT131" s="55"/>
      <c r="GU131" s="55"/>
      <c r="GV131" s="55"/>
      <c r="GW131" s="55"/>
      <c r="GX131" s="55"/>
      <c r="GY131" s="55"/>
      <c r="GZ131" s="55"/>
      <c r="HA131" s="55"/>
      <c r="HB131" s="55"/>
      <c r="HC131" s="55"/>
      <c r="HD131" s="55"/>
      <c r="HE131" s="55"/>
      <c r="HF131" s="55"/>
      <c r="HG131" s="55"/>
      <c r="HH131" s="55"/>
      <c r="HI131" s="55"/>
      <c r="HJ131" s="55"/>
      <c r="HK131" s="55"/>
      <c r="HL131" s="55"/>
      <c r="HM131" s="55"/>
      <c r="HN131" s="55"/>
      <c r="HO131" s="55"/>
      <c r="HP131" s="55"/>
      <c r="HQ131" s="55"/>
      <c r="HR131" s="55"/>
      <c r="HS131" s="55"/>
      <c r="HT131" s="55"/>
      <c r="HU131" s="55"/>
      <c r="HV131" s="55"/>
      <c r="HW131" s="55"/>
      <c r="HX131" s="55"/>
      <c r="HY131" s="55"/>
      <c r="HZ131" s="55"/>
      <c r="IA131" s="55"/>
      <c r="IB131" s="55"/>
    </row>
    <row r="132" spans="1:237" ht="15" hidden="1" customHeight="1" x14ac:dyDescent="0.2">
      <c r="A132" s="376"/>
      <c r="B132" s="67"/>
      <c r="C132" s="53"/>
      <c r="D132" s="449"/>
      <c r="E132" s="55"/>
      <c r="F132" s="55"/>
      <c r="G132" s="55"/>
      <c r="H132" s="55"/>
      <c r="I132" s="55"/>
      <c r="J132" s="55"/>
      <c r="K132" s="55"/>
      <c r="L132" s="55"/>
      <c r="M132" s="55"/>
      <c r="N132" s="55"/>
      <c r="O132" s="55"/>
      <c r="P132" s="55"/>
      <c r="Q132" s="55"/>
      <c r="R132" s="55"/>
      <c r="S132" s="55"/>
      <c r="T132" s="55"/>
      <c r="U132" s="55"/>
      <c r="V132" s="55"/>
      <c r="W132" s="55"/>
      <c r="X132" s="55"/>
      <c r="Y132" s="55"/>
      <c r="Z132" s="55"/>
      <c r="AA132" s="55"/>
      <c r="AB132" s="55"/>
      <c r="AC132" s="55"/>
      <c r="AD132" s="55"/>
      <c r="AE132" s="55"/>
      <c r="AF132" s="55"/>
      <c r="AG132" s="55"/>
      <c r="AH132" s="55"/>
      <c r="AI132" s="55"/>
      <c r="AJ132" s="55"/>
      <c r="AK132" s="55"/>
      <c r="AL132" s="55"/>
      <c r="AM132" s="55"/>
      <c r="AN132" s="55"/>
      <c r="AO132" s="55"/>
      <c r="AP132" s="55"/>
      <c r="AQ132" s="55"/>
      <c r="AR132" s="55"/>
      <c r="AS132" s="55"/>
      <c r="AT132" s="55"/>
      <c r="AU132" s="55"/>
      <c r="AV132" s="55"/>
      <c r="AW132" s="55"/>
      <c r="AX132" s="55"/>
      <c r="AY132" s="55"/>
      <c r="AZ132" s="55"/>
      <c r="BA132" s="55"/>
      <c r="BB132" s="55"/>
      <c r="BC132" s="55"/>
      <c r="BD132" s="55"/>
      <c r="BE132" s="55"/>
      <c r="BF132" s="55"/>
      <c r="BG132" s="55"/>
      <c r="BH132" s="55"/>
      <c r="BI132" s="55"/>
      <c r="BJ132" s="55"/>
      <c r="BK132" s="55"/>
      <c r="BL132" s="55"/>
      <c r="BM132" s="55"/>
      <c r="BN132" s="55"/>
      <c r="BO132" s="55"/>
      <c r="BP132" s="55"/>
      <c r="BQ132" s="55"/>
      <c r="BR132" s="55"/>
      <c r="BS132" s="55"/>
      <c r="BT132" s="55"/>
      <c r="BU132" s="55"/>
      <c r="BV132" s="55"/>
      <c r="BW132" s="55"/>
      <c r="BX132" s="55"/>
      <c r="BY132" s="55"/>
      <c r="BZ132" s="55"/>
      <c r="CA132" s="55"/>
      <c r="CB132" s="55"/>
      <c r="CC132" s="55"/>
      <c r="CD132" s="55"/>
      <c r="CE132" s="55"/>
      <c r="CF132" s="55"/>
      <c r="CG132" s="55"/>
      <c r="CH132" s="55"/>
      <c r="CI132" s="55"/>
      <c r="CJ132" s="55"/>
      <c r="CK132" s="55"/>
      <c r="CL132" s="55"/>
      <c r="CM132" s="55"/>
      <c r="CN132" s="55"/>
      <c r="CO132" s="55"/>
      <c r="CP132" s="55"/>
      <c r="CQ132" s="55"/>
      <c r="CR132" s="55"/>
      <c r="CS132" s="55"/>
      <c r="CT132" s="55"/>
      <c r="CU132" s="55"/>
      <c r="CV132" s="55"/>
      <c r="CW132" s="55"/>
      <c r="CX132" s="55"/>
      <c r="CY132" s="55"/>
      <c r="CZ132" s="55"/>
      <c r="DA132" s="55"/>
      <c r="DB132" s="55"/>
      <c r="DC132" s="55"/>
      <c r="DD132" s="55"/>
      <c r="DE132" s="55"/>
      <c r="DF132" s="55"/>
      <c r="DG132" s="55"/>
      <c r="DH132" s="55"/>
      <c r="DI132" s="55"/>
      <c r="DJ132" s="55"/>
      <c r="DK132" s="55"/>
      <c r="DL132" s="55"/>
      <c r="DM132" s="55"/>
      <c r="DN132" s="55"/>
      <c r="DO132" s="55"/>
      <c r="DP132" s="55"/>
      <c r="DQ132" s="55"/>
      <c r="DR132" s="55"/>
      <c r="DS132" s="55"/>
      <c r="DT132" s="55"/>
      <c r="DU132" s="55"/>
      <c r="DV132" s="55"/>
      <c r="DW132" s="55"/>
      <c r="DX132" s="55"/>
      <c r="DY132" s="55"/>
      <c r="DZ132" s="55"/>
      <c r="EA132" s="55"/>
      <c r="EB132" s="55"/>
      <c r="EC132" s="55"/>
      <c r="ED132" s="55"/>
      <c r="EE132" s="55"/>
      <c r="EF132" s="55"/>
      <c r="EG132" s="55"/>
      <c r="EH132" s="55"/>
      <c r="EI132" s="55"/>
      <c r="EJ132" s="55"/>
      <c r="EK132" s="55"/>
      <c r="EL132" s="55"/>
      <c r="EM132" s="55"/>
      <c r="EN132" s="55"/>
      <c r="EO132" s="55"/>
      <c r="EP132" s="55"/>
      <c r="EQ132" s="55"/>
      <c r="ER132" s="55"/>
      <c r="ES132" s="55"/>
      <c r="ET132" s="55"/>
      <c r="EU132" s="55"/>
      <c r="EV132" s="55"/>
      <c r="EW132" s="55"/>
      <c r="EX132" s="55"/>
      <c r="EY132" s="55"/>
      <c r="EZ132" s="55"/>
      <c r="FA132" s="55"/>
      <c r="FB132" s="55"/>
      <c r="FC132" s="55"/>
      <c r="FD132" s="55"/>
      <c r="FE132" s="55"/>
      <c r="FF132" s="55"/>
      <c r="FG132" s="55"/>
      <c r="FH132" s="55"/>
      <c r="FI132" s="55"/>
      <c r="FJ132" s="55"/>
      <c r="FK132" s="55"/>
      <c r="FL132" s="55"/>
      <c r="FM132" s="55"/>
      <c r="FN132" s="55"/>
      <c r="FO132" s="55"/>
      <c r="FP132" s="55"/>
      <c r="FQ132" s="55"/>
      <c r="FR132" s="55"/>
      <c r="FS132" s="55"/>
      <c r="FT132" s="55"/>
      <c r="FU132" s="55"/>
      <c r="FV132" s="55"/>
      <c r="FW132" s="55"/>
      <c r="FX132" s="55"/>
      <c r="FY132" s="55"/>
      <c r="FZ132" s="55"/>
      <c r="GA132" s="55"/>
      <c r="GB132" s="55"/>
      <c r="GC132" s="55"/>
      <c r="GD132" s="55"/>
      <c r="GE132" s="55"/>
      <c r="GF132" s="55"/>
      <c r="GG132" s="55"/>
      <c r="GH132" s="55"/>
      <c r="GI132" s="55"/>
      <c r="GJ132" s="55"/>
      <c r="GK132" s="55"/>
      <c r="GL132" s="55"/>
      <c r="GM132" s="55"/>
      <c r="GN132" s="55"/>
      <c r="GO132" s="55"/>
      <c r="GP132" s="55"/>
      <c r="GQ132" s="55"/>
      <c r="GR132" s="55"/>
      <c r="GS132" s="55"/>
      <c r="GT132" s="55"/>
      <c r="GU132" s="55"/>
      <c r="GV132" s="55"/>
      <c r="GW132" s="55"/>
      <c r="GX132" s="55"/>
      <c r="GY132" s="55"/>
      <c r="GZ132" s="55"/>
      <c r="HA132" s="55"/>
      <c r="HB132" s="55"/>
      <c r="HC132" s="55"/>
      <c r="HD132" s="55"/>
      <c r="HE132" s="55"/>
      <c r="HF132" s="55"/>
      <c r="HG132" s="55"/>
      <c r="HH132" s="55"/>
      <c r="HI132" s="55"/>
      <c r="HJ132" s="55"/>
      <c r="HK132" s="55"/>
      <c r="HL132" s="55"/>
      <c r="HM132" s="55"/>
      <c r="HN132" s="55"/>
      <c r="HO132" s="55"/>
      <c r="HP132" s="55"/>
      <c r="HQ132" s="55"/>
      <c r="HR132" s="55"/>
      <c r="HS132" s="55"/>
      <c r="HT132" s="55"/>
      <c r="HU132" s="55"/>
      <c r="HV132" s="55"/>
      <c r="HW132" s="55"/>
      <c r="HX132" s="55"/>
      <c r="HY132" s="55"/>
      <c r="HZ132" s="55"/>
      <c r="IA132" s="55"/>
      <c r="IB132" s="55"/>
    </row>
    <row r="133" spans="1:237" ht="15" hidden="1" customHeight="1" thickBot="1" x14ac:dyDescent="0.25">
      <c r="A133" s="63"/>
      <c r="B133" s="44"/>
      <c r="C133" s="45"/>
      <c r="D133" s="413"/>
      <c r="E133" s="55"/>
      <c r="F133" s="55"/>
      <c r="G133" s="55"/>
      <c r="H133" s="55"/>
      <c r="I133" s="55"/>
      <c r="J133" s="55"/>
      <c r="K133" s="55"/>
      <c r="L133" s="55"/>
      <c r="M133" s="55"/>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c r="AL133" s="55"/>
      <c r="AM133" s="55"/>
      <c r="AN133" s="55"/>
      <c r="AO133" s="55"/>
      <c r="AP133" s="55"/>
      <c r="AQ133" s="55"/>
      <c r="AR133" s="55"/>
      <c r="AS133" s="55"/>
      <c r="AT133" s="55"/>
      <c r="AU133" s="55"/>
      <c r="AV133" s="55"/>
      <c r="AW133" s="55"/>
      <c r="AX133" s="55"/>
      <c r="AY133" s="55"/>
      <c r="AZ133" s="55"/>
      <c r="BA133" s="55"/>
      <c r="BB133" s="55"/>
      <c r="BC133" s="55"/>
      <c r="BD133" s="55"/>
      <c r="BE133" s="55"/>
      <c r="BF133" s="55"/>
      <c r="BG133" s="55"/>
      <c r="BH133" s="55"/>
      <c r="BI133" s="55"/>
      <c r="BJ133" s="55"/>
      <c r="BK133" s="55"/>
      <c r="BL133" s="55"/>
      <c r="BM133" s="55"/>
      <c r="BN133" s="55"/>
      <c r="BO133" s="55"/>
      <c r="BP133" s="55"/>
      <c r="BQ133" s="55"/>
      <c r="BR133" s="55"/>
      <c r="BS133" s="55"/>
      <c r="BT133" s="55"/>
      <c r="BU133" s="55"/>
      <c r="BV133" s="55"/>
      <c r="BW133" s="55"/>
      <c r="BX133" s="55"/>
      <c r="BY133" s="55"/>
      <c r="BZ133" s="55"/>
      <c r="CA133" s="55"/>
      <c r="CB133" s="55"/>
      <c r="CC133" s="55"/>
      <c r="CD133" s="55"/>
      <c r="CE133" s="55"/>
      <c r="CF133" s="55"/>
      <c r="CG133" s="55"/>
      <c r="CH133" s="55"/>
      <c r="CI133" s="55"/>
      <c r="CJ133" s="55"/>
      <c r="CK133" s="55"/>
      <c r="CL133" s="55"/>
      <c r="CM133" s="55"/>
      <c r="CN133" s="55"/>
      <c r="CO133" s="55"/>
      <c r="CP133" s="55"/>
      <c r="CQ133" s="55"/>
      <c r="CR133" s="55"/>
      <c r="CS133" s="55"/>
      <c r="CT133" s="55"/>
      <c r="CU133" s="55"/>
      <c r="CV133" s="55"/>
      <c r="CW133" s="55"/>
      <c r="CX133" s="55"/>
      <c r="CY133" s="55"/>
      <c r="CZ133" s="55"/>
      <c r="DA133" s="55"/>
      <c r="DB133" s="55"/>
      <c r="DC133" s="55"/>
      <c r="DD133" s="55"/>
      <c r="DE133" s="55"/>
      <c r="DF133" s="55"/>
      <c r="DG133" s="55"/>
      <c r="DH133" s="55"/>
      <c r="DI133" s="55"/>
      <c r="DJ133" s="55"/>
      <c r="DK133" s="55"/>
      <c r="DL133" s="55"/>
      <c r="DM133" s="55"/>
      <c r="DN133" s="55"/>
      <c r="DO133" s="55"/>
      <c r="DP133" s="55"/>
      <c r="DQ133" s="55"/>
      <c r="DR133" s="55"/>
      <c r="DS133" s="55"/>
      <c r="DT133" s="55"/>
      <c r="DU133" s="55"/>
      <c r="DV133" s="55"/>
      <c r="DW133" s="55"/>
      <c r="DX133" s="55"/>
      <c r="DY133" s="55"/>
      <c r="DZ133" s="55"/>
      <c r="EA133" s="55"/>
      <c r="EB133" s="55"/>
      <c r="EC133" s="55"/>
      <c r="ED133" s="55"/>
      <c r="EE133" s="55"/>
      <c r="EF133" s="55"/>
      <c r="EG133" s="55"/>
      <c r="EH133" s="55"/>
      <c r="EI133" s="55"/>
      <c r="EJ133" s="55"/>
      <c r="EK133" s="55"/>
      <c r="EL133" s="55"/>
      <c r="EM133" s="55"/>
      <c r="EN133" s="55"/>
      <c r="EO133" s="55"/>
      <c r="EP133" s="55"/>
      <c r="EQ133" s="55"/>
      <c r="ER133" s="55"/>
      <c r="ES133" s="55"/>
      <c r="ET133" s="55"/>
      <c r="EU133" s="55"/>
      <c r="EV133" s="55"/>
      <c r="EW133" s="55"/>
      <c r="EX133" s="55"/>
      <c r="EY133" s="55"/>
      <c r="EZ133" s="55"/>
      <c r="FA133" s="55"/>
      <c r="FB133" s="55"/>
      <c r="FC133" s="55"/>
      <c r="FD133" s="55"/>
      <c r="FE133" s="55"/>
      <c r="FF133" s="55"/>
      <c r="FG133" s="55"/>
      <c r="FH133" s="55"/>
      <c r="FI133" s="55"/>
      <c r="FJ133" s="55"/>
      <c r="FK133" s="55"/>
      <c r="FL133" s="55"/>
      <c r="FM133" s="55"/>
      <c r="FN133" s="55"/>
      <c r="FO133" s="55"/>
      <c r="FP133" s="55"/>
      <c r="FQ133" s="55"/>
      <c r="FR133" s="55"/>
      <c r="FS133" s="55"/>
      <c r="FT133" s="55"/>
      <c r="FU133" s="55"/>
      <c r="FV133" s="55"/>
      <c r="FW133" s="55"/>
      <c r="FX133" s="55"/>
      <c r="FY133" s="55"/>
      <c r="FZ133" s="55"/>
      <c r="GA133" s="55"/>
      <c r="GB133" s="55"/>
      <c r="GC133" s="55"/>
      <c r="GD133" s="55"/>
      <c r="GE133" s="55"/>
      <c r="GF133" s="55"/>
      <c r="GG133" s="55"/>
      <c r="GH133" s="55"/>
      <c r="GI133" s="55"/>
      <c r="GJ133" s="55"/>
      <c r="GK133" s="55"/>
      <c r="GL133" s="55"/>
      <c r="GM133" s="55"/>
      <c r="GN133" s="55"/>
      <c r="GO133" s="55"/>
      <c r="GP133" s="55"/>
      <c r="GQ133" s="55"/>
      <c r="GR133" s="55"/>
      <c r="GS133" s="55"/>
      <c r="GT133" s="55"/>
      <c r="GU133" s="55"/>
      <c r="GV133" s="55"/>
      <c r="GW133" s="55"/>
      <c r="GX133" s="55"/>
      <c r="GY133" s="55"/>
      <c r="GZ133" s="55"/>
      <c r="HA133" s="55"/>
      <c r="HB133" s="55"/>
      <c r="HC133" s="55"/>
      <c r="HD133" s="55"/>
      <c r="HE133" s="55"/>
      <c r="HF133" s="55"/>
      <c r="HG133" s="55"/>
      <c r="HH133" s="55"/>
      <c r="HI133" s="55"/>
      <c r="HJ133" s="55"/>
      <c r="HK133" s="55"/>
      <c r="HL133" s="55"/>
      <c r="HM133" s="55"/>
      <c r="HN133" s="55"/>
      <c r="HO133" s="55"/>
      <c r="HP133" s="55"/>
      <c r="HQ133" s="55"/>
      <c r="HR133" s="55"/>
      <c r="HS133" s="55"/>
      <c r="HT133" s="55"/>
      <c r="HU133" s="55"/>
      <c r="HV133" s="55"/>
      <c r="HW133" s="55"/>
      <c r="HX133" s="55"/>
      <c r="HY133" s="55"/>
      <c r="HZ133" s="55"/>
      <c r="IA133" s="55"/>
      <c r="IB133" s="55"/>
    </row>
    <row r="134" spans="1:237" ht="15" hidden="1" customHeight="1" thickBot="1" x14ac:dyDescent="0.25">
      <c r="A134" s="63"/>
      <c r="B134" s="44"/>
      <c r="C134" s="45"/>
      <c r="D134" s="413"/>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55"/>
      <c r="AH134" s="55"/>
      <c r="AI134" s="55"/>
      <c r="AJ134" s="55"/>
      <c r="AK134" s="55"/>
      <c r="AL134" s="55"/>
      <c r="AM134" s="55"/>
      <c r="AN134" s="55"/>
      <c r="AO134" s="55"/>
      <c r="AP134" s="55"/>
      <c r="AQ134" s="55"/>
      <c r="AR134" s="55"/>
      <c r="AS134" s="55"/>
      <c r="AT134" s="55"/>
      <c r="AU134" s="55"/>
      <c r="AV134" s="55"/>
      <c r="AW134" s="55"/>
      <c r="AX134" s="55"/>
      <c r="AY134" s="55"/>
      <c r="AZ134" s="55"/>
      <c r="BA134" s="55"/>
      <c r="BB134" s="55"/>
      <c r="BC134" s="55"/>
      <c r="BD134" s="55"/>
      <c r="BE134" s="55"/>
      <c r="BF134" s="55"/>
      <c r="BG134" s="55"/>
      <c r="BH134" s="55"/>
      <c r="BI134" s="55"/>
      <c r="BJ134" s="55"/>
      <c r="BK134" s="55"/>
      <c r="BL134" s="55"/>
      <c r="BM134" s="55"/>
      <c r="BN134" s="55"/>
      <c r="BO134" s="55"/>
      <c r="BP134" s="55"/>
      <c r="BQ134" s="55"/>
      <c r="BR134" s="55"/>
      <c r="BS134" s="55"/>
      <c r="BT134" s="55"/>
      <c r="BU134" s="55"/>
      <c r="BV134" s="55"/>
      <c r="BW134" s="55"/>
      <c r="BX134" s="55"/>
      <c r="BY134" s="55"/>
      <c r="BZ134" s="55"/>
      <c r="CA134" s="55"/>
      <c r="CB134" s="55"/>
      <c r="CC134" s="55"/>
      <c r="CD134" s="55"/>
      <c r="CE134" s="55"/>
      <c r="CF134" s="55"/>
      <c r="CG134" s="55"/>
      <c r="CH134" s="55"/>
      <c r="CI134" s="55"/>
      <c r="CJ134" s="55"/>
      <c r="CK134" s="55"/>
      <c r="CL134" s="55"/>
      <c r="CM134" s="55"/>
      <c r="CN134" s="55"/>
      <c r="CO134" s="55"/>
      <c r="CP134" s="55"/>
      <c r="CQ134" s="55"/>
      <c r="CR134" s="55"/>
      <c r="CS134" s="55"/>
      <c r="CT134" s="55"/>
      <c r="CU134" s="55"/>
      <c r="CV134" s="55"/>
      <c r="CW134" s="55"/>
      <c r="CX134" s="55"/>
      <c r="CY134" s="55"/>
      <c r="CZ134" s="55"/>
      <c r="DA134" s="55"/>
      <c r="DB134" s="55"/>
      <c r="DC134" s="55"/>
      <c r="DD134" s="55"/>
      <c r="DE134" s="55"/>
      <c r="DF134" s="55"/>
      <c r="DG134" s="55"/>
      <c r="DH134" s="55"/>
      <c r="DI134" s="55"/>
      <c r="DJ134" s="55"/>
      <c r="DK134" s="55"/>
      <c r="DL134" s="55"/>
      <c r="DM134" s="55"/>
      <c r="DN134" s="55"/>
      <c r="DO134" s="55"/>
      <c r="DP134" s="55"/>
      <c r="DQ134" s="55"/>
      <c r="DR134" s="55"/>
      <c r="DS134" s="55"/>
      <c r="DT134" s="55"/>
      <c r="DU134" s="55"/>
      <c r="DV134" s="55"/>
      <c r="DW134" s="55"/>
      <c r="DX134" s="55"/>
      <c r="DY134" s="55"/>
      <c r="DZ134" s="55"/>
      <c r="EA134" s="55"/>
      <c r="EB134" s="55"/>
      <c r="EC134" s="55"/>
      <c r="ED134" s="55"/>
      <c r="EE134" s="55"/>
      <c r="EF134" s="55"/>
      <c r="EG134" s="55"/>
      <c r="EH134" s="55"/>
      <c r="EI134" s="55"/>
      <c r="EJ134" s="55"/>
      <c r="EK134" s="55"/>
      <c r="EL134" s="55"/>
      <c r="EM134" s="55"/>
      <c r="EN134" s="55"/>
      <c r="EO134" s="55"/>
      <c r="EP134" s="55"/>
      <c r="EQ134" s="55"/>
      <c r="ER134" s="55"/>
      <c r="ES134" s="55"/>
      <c r="ET134" s="55"/>
      <c r="EU134" s="55"/>
      <c r="EV134" s="55"/>
      <c r="EW134" s="55"/>
      <c r="EX134" s="55"/>
      <c r="EY134" s="55"/>
      <c r="EZ134" s="55"/>
      <c r="FA134" s="55"/>
      <c r="FB134" s="55"/>
      <c r="FC134" s="55"/>
      <c r="FD134" s="55"/>
      <c r="FE134" s="55"/>
      <c r="FF134" s="55"/>
      <c r="FG134" s="55"/>
      <c r="FH134" s="55"/>
      <c r="FI134" s="55"/>
      <c r="FJ134" s="55"/>
      <c r="FK134" s="55"/>
      <c r="FL134" s="55"/>
      <c r="FM134" s="55"/>
      <c r="FN134" s="55"/>
      <c r="FO134" s="55"/>
      <c r="FP134" s="55"/>
      <c r="FQ134" s="55"/>
      <c r="FR134" s="55"/>
      <c r="FS134" s="55"/>
      <c r="FT134" s="55"/>
      <c r="FU134" s="55"/>
      <c r="FV134" s="55"/>
      <c r="FW134" s="55"/>
      <c r="FX134" s="55"/>
      <c r="FY134" s="55"/>
      <c r="FZ134" s="55"/>
      <c r="GA134" s="55"/>
      <c r="GB134" s="55"/>
      <c r="GC134" s="55"/>
      <c r="GD134" s="55"/>
      <c r="GE134" s="55"/>
      <c r="GF134" s="55"/>
      <c r="GG134" s="55"/>
      <c r="GH134" s="55"/>
      <c r="GI134" s="55"/>
      <c r="GJ134" s="55"/>
      <c r="GK134" s="55"/>
      <c r="GL134" s="55"/>
      <c r="GM134" s="55"/>
      <c r="GN134" s="55"/>
      <c r="GO134" s="55"/>
      <c r="GP134" s="55"/>
      <c r="GQ134" s="55"/>
      <c r="GR134" s="55"/>
      <c r="GS134" s="55"/>
      <c r="GT134" s="55"/>
      <c r="GU134" s="55"/>
      <c r="GV134" s="55"/>
      <c r="GW134" s="55"/>
      <c r="GX134" s="55"/>
      <c r="GY134" s="55"/>
      <c r="GZ134" s="55"/>
      <c r="HA134" s="55"/>
      <c r="HB134" s="55"/>
      <c r="HC134" s="55"/>
      <c r="HD134" s="55"/>
      <c r="HE134" s="55"/>
      <c r="HF134" s="55"/>
      <c r="HG134" s="55"/>
      <c r="HH134" s="55"/>
      <c r="HI134" s="55"/>
      <c r="HJ134" s="55"/>
      <c r="HK134" s="55"/>
      <c r="HL134" s="55"/>
      <c r="HM134" s="55"/>
      <c r="HN134" s="55"/>
      <c r="HO134" s="55"/>
      <c r="HP134" s="55"/>
      <c r="HQ134" s="55"/>
      <c r="HR134" s="55"/>
      <c r="HS134" s="55"/>
      <c r="HT134" s="55"/>
      <c r="HU134" s="55"/>
      <c r="HV134" s="55"/>
      <c r="HW134" s="55"/>
      <c r="HX134" s="55"/>
      <c r="HY134" s="55"/>
      <c r="HZ134" s="55"/>
      <c r="IA134" s="55"/>
      <c r="IB134" s="55"/>
    </row>
    <row r="135" spans="1:237" ht="15" hidden="1" customHeight="1" thickBot="1" x14ac:dyDescent="0.25">
      <c r="A135" s="63"/>
      <c r="B135" s="44"/>
      <c r="C135" s="45"/>
      <c r="D135" s="413"/>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55"/>
      <c r="AH135" s="55"/>
      <c r="AI135" s="55"/>
      <c r="AJ135" s="55"/>
      <c r="AK135" s="55"/>
      <c r="AL135" s="55"/>
      <c r="AM135" s="55"/>
      <c r="AN135" s="55"/>
      <c r="AO135" s="55"/>
      <c r="AP135" s="55"/>
      <c r="AQ135" s="55"/>
      <c r="AR135" s="55"/>
      <c r="AS135" s="55"/>
      <c r="AT135" s="55"/>
      <c r="AU135" s="55"/>
      <c r="AV135" s="55"/>
      <c r="AW135" s="55"/>
      <c r="AX135" s="55"/>
      <c r="AY135" s="55"/>
      <c r="AZ135" s="55"/>
      <c r="BA135" s="55"/>
      <c r="BB135" s="55"/>
      <c r="BC135" s="55"/>
      <c r="BD135" s="55"/>
      <c r="BE135" s="55"/>
      <c r="BF135" s="55"/>
      <c r="BG135" s="55"/>
      <c r="BH135" s="55"/>
      <c r="BI135" s="55"/>
      <c r="BJ135" s="55"/>
      <c r="BK135" s="55"/>
      <c r="BL135" s="55"/>
      <c r="BM135" s="55"/>
      <c r="BN135" s="55"/>
      <c r="BO135" s="55"/>
      <c r="BP135" s="55"/>
      <c r="BQ135" s="55"/>
      <c r="BR135" s="55"/>
      <c r="BS135" s="55"/>
      <c r="BT135" s="55"/>
      <c r="BU135" s="55"/>
      <c r="BV135" s="55"/>
      <c r="BW135" s="55"/>
      <c r="BX135" s="55"/>
      <c r="BY135" s="55"/>
      <c r="BZ135" s="55"/>
      <c r="CA135" s="55"/>
      <c r="CB135" s="55"/>
      <c r="CC135" s="55"/>
      <c r="CD135" s="55"/>
      <c r="CE135" s="55"/>
      <c r="CF135" s="55"/>
      <c r="CG135" s="55"/>
      <c r="CH135" s="55"/>
      <c r="CI135" s="55"/>
      <c r="CJ135" s="55"/>
      <c r="CK135" s="55"/>
      <c r="CL135" s="55"/>
      <c r="CM135" s="55"/>
      <c r="CN135" s="55"/>
      <c r="CO135" s="55"/>
      <c r="CP135" s="55"/>
      <c r="CQ135" s="55"/>
      <c r="CR135" s="55"/>
      <c r="CS135" s="55"/>
      <c r="CT135" s="55"/>
      <c r="CU135" s="55"/>
      <c r="CV135" s="55"/>
      <c r="CW135" s="55"/>
      <c r="CX135" s="55"/>
      <c r="CY135" s="55"/>
      <c r="CZ135" s="55"/>
      <c r="DA135" s="55"/>
      <c r="DB135" s="55"/>
      <c r="DC135" s="55"/>
      <c r="DD135" s="55"/>
      <c r="DE135" s="55"/>
      <c r="DF135" s="55"/>
      <c r="DG135" s="55"/>
      <c r="DH135" s="55"/>
      <c r="DI135" s="55"/>
      <c r="DJ135" s="55"/>
      <c r="DK135" s="55"/>
      <c r="DL135" s="55"/>
      <c r="DM135" s="55"/>
      <c r="DN135" s="55"/>
      <c r="DO135" s="55"/>
      <c r="DP135" s="55"/>
      <c r="DQ135" s="55"/>
      <c r="DR135" s="55"/>
      <c r="DS135" s="55"/>
      <c r="DT135" s="55"/>
      <c r="DU135" s="55"/>
      <c r="DV135" s="55"/>
      <c r="DW135" s="55"/>
      <c r="DX135" s="55"/>
      <c r="DY135" s="55"/>
      <c r="DZ135" s="55"/>
      <c r="EA135" s="55"/>
      <c r="EB135" s="55"/>
      <c r="EC135" s="55"/>
      <c r="ED135" s="55"/>
      <c r="EE135" s="55"/>
      <c r="EF135" s="55"/>
      <c r="EG135" s="55"/>
      <c r="EH135" s="55"/>
      <c r="EI135" s="55"/>
      <c r="EJ135" s="55"/>
      <c r="EK135" s="55"/>
      <c r="EL135" s="55"/>
      <c r="EM135" s="55"/>
      <c r="EN135" s="55"/>
      <c r="EO135" s="55"/>
      <c r="EP135" s="55"/>
      <c r="EQ135" s="55"/>
      <c r="ER135" s="55"/>
      <c r="ES135" s="55"/>
      <c r="ET135" s="55"/>
      <c r="EU135" s="55"/>
      <c r="EV135" s="55"/>
      <c r="EW135" s="55"/>
      <c r="EX135" s="55"/>
      <c r="EY135" s="55"/>
      <c r="EZ135" s="55"/>
      <c r="FA135" s="55"/>
      <c r="FB135" s="55"/>
      <c r="FC135" s="55"/>
      <c r="FD135" s="55"/>
      <c r="FE135" s="55"/>
      <c r="FF135" s="55"/>
      <c r="FG135" s="55"/>
      <c r="FH135" s="55"/>
      <c r="FI135" s="55"/>
      <c r="FJ135" s="55"/>
      <c r="FK135" s="55"/>
      <c r="FL135" s="55"/>
      <c r="FM135" s="55"/>
      <c r="FN135" s="55"/>
      <c r="FO135" s="55"/>
      <c r="FP135" s="55"/>
      <c r="FQ135" s="55"/>
      <c r="FR135" s="55"/>
      <c r="FS135" s="55"/>
      <c r="FT135" s="55"/>
      <c r="FU135" s="55"/>
      <c r="FV135" s="55"/>
      <c r="FW135" s="55"/>
      <c r="FX135" s="55"/>
      <c r="FY135" s="55"/>
      <c r="FZ135" s="55"/>
      <c r="GA135" s="55"/>
      <c r="GB135" s="55"/>
      <c r="GC135" s="55"/>
      <c r="GD135" s="55"/>
      <c r="GE135" s="55"/>
      <c r="GF135" s="55"/>
      <c r="GG135" s="55"/>
      <c r="GH135" s="55"/>
      <c r="GI135" s="55"/>
      <c r="GJ135" s="55"/>
      <c r="GK135" s="55"/>
      <c r="GL135" s="55"/>
      <c r="GM135" s="55"/>
      <c r="GN135" s="55"/>
      <c r="GO135" s="55"/>
      <c r="GP135" s="55"/>
      <c r="GQ135" s="55"/>
      <c r="GR135" s="55"/>
      <c r="GS135" s="55"/>
      <c r="GT135" s="55"/>
      <c r="GU135" s="55"/>
      <c r="GV135" s="55"/>
      <c r="GW135" s="55"/>
      <c r="GX135" s="55"/>
      <c r="GY135" s="55"/>
      <c r="GZ135" s="55"/>
      <c r="HA135" s="55"/>
      <c r="HB135" s="55"/>
      <c r="HC135" s="55"/>
      <c r="HD135" s="55"/>
      <c r="HE135" s="55"/>
      <c r="HF135" s="55"/>
      <c r="HG135" s="55"/>
      <c r="HH135" s="55"/>
      <c r="HI135" s="55"/>
      <c r="HJ135" s="55"/>
      <c r="HK135" s="55"/>
      <c r="HL135" s="55"/>
      <c r="HM135" s="55"/>
      <c r="HN135" s="55"/>
      <c r="HO135" s="55"/>
      <c r="HP135" s="55"/>
      <c r="HQ135" s="55"/>
      <c r="HR135" s="55"/>
      <c r="HS135" s="55"/>
      <c r="HT135" s="55"/>
      <c r="HU135" s="55"/>
      <c r="HV135" s="55"/>
      <c r="HW135" s="55"/>
      <c r="HX135" s="55"/>
      <c r="HY135" s="55"/>
      <c r="HZ135" s="55"/>
      <c r="IA135" s="55"/>
      <c r="IB135" s="55"/>
    </row>
    <row r="136" spans="1:237" ht="15" hidden="1" customHeight="1" thickBot="1" x14ac:dyDescent="0.25">
      <c r="A136" s="63"/>
      <c r="B136" s="44"/>
      <c r="C136" s="45"/>
      <c r="D136" s="413"/>
      <c r="E136" s="55"/>
      <c r="F136" s="55"/>
      <c r="G136" s="55"/>
      <c r="H136" s="55"/>
      <c r="I136" s="55"/>
      <c r="J136" s="55"/>
      <c r="K136" s="55"/>
      <c r="L136" s="55"/>
      <c r="M136" s="55"/>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c r="AL136" s="55"/>
      <c r="AM136" s="55"/>
      <c r="AN136" s="55"/>
      <c r="AO136" s="55"/>
      <c r="AP136" s="55"/>
      <c r="AQ136" s="55"/>
      <c r="AR136" s="55"/>
      <c r="AS136" s="55"/>
      <c r="AT136" s="55"/>
      <c r="AU136" s="55"/>
      <c r="AV136" s="55"/>
      <c r="AW136" s="55"/>
      <c r="AX136" s="55"/>
      <c r="AY136" s="55"/>
      <c r="AZ136" s="55"/>
      <c r="BA136" s="55"/>
      <c r="BB136" s="55"/>
      <c r="BC136" s="55"/>
      <c r="BD136" s="55"/>
      <c r="BE136" s="55"/>
      <c r="BF136" s="55"/>
      <c r="BG136" s="55"/>
      <c r="BH136" s="55"/>
      <c r="BI136" s="55"/>
      <c r="BJ136" s="55"/>
      <c r="BK136" s="55"/>
      <c r="BL136" s="55"/>
      <c r="BM136" s="55"/>
      <c r="BN136" s="55"/>
      <c r="BO136" s="55"/>
      <c r="BP136" s="55"/>
      <c r="BQ136" s="55"/>
      <c r="BR136" s="55"/>
      <c r="BS136" s="55"/>
      <c r="BT136" s="55"/>
      <c r="BU136" s="55"/>
      <c r="BV136" s="55"/>
      <c r="BW136" s="55"/>
      <c r="BX136" s="55"/>
      <c r="BY136" s="55"/>
      <c r="BZ136" s="55"/>
      <c r="CA136" s="55"/>
      <c r="CB136" s="55"/>
      <c r="CC136" s="55"/>
      <c r="CD136" s="55"/>
      <c r="CE136" s="55"/>
      <c r="CF136" s="55"/>
      <c r="CG136" s="55"/>
      <c r="CH136" s="55"/>
      <c r="CI136" s="55"/>
      <c r="CJ136" s="55"/>
      <c r="CK136" s="55"/>
      <c r="CL136" s="55"/>
      <c r="CM136" s="55"/>
      <c r="CN136" s="55"/>
      <c r="CO136" s="55"/>
      <c r="CP136" s="55"/>
      <c r="CQ136" s="55"/>
      <c r="CR136" s="55"/>
      <c r="CS136" s="55"/>
      <c r="CT136" s="55"/>
      <c r="CU136" s="55"/>
      <c r="CV136" s="55"/>
      <c r="CW136" s="55"/>
      <c r="CX136" s="55"/>
      <c r="CY136" s="55"/>
      <c r="CZ136" s="55"/>
      <c r="DA136" s="55"/>
      <c r="DB136" s="55"/>
      <c r="DC136" s="55"/>
      <c r="DD136" s="55"/>
      <c r="DE136" s="55"/>
      <c r="DF136" s="55"/>
      <c r="DG136" s="55"/>
      <c r="DH136" s="55"/>
      <c r="DI136" s="55"/>
      <c r="DJ136" s="55"/>
      <c r="DK136" s="55"/>
      <c r="DL136" s="55"/>
      <c r="DM136" s="55"/>
      <c r="DN136" s="55"/>
      <c r="DO136" s="55"/>
      <c r="DP136" s="55"/>
      <c r="DQ136" s="55"/>
      <c r="DR136" s="55"/>
      <c r="DS136" s="55"/>
      <c r="DT136" s="55"/>
      <c r="DU136" s="55"/>
      <c r="DV136" s="55"/>
      <c r="DW136" s="55"/>
      <c r="DX136" s="55"/>
      <c r="DY136" s="55"/>
      <c r="DZ136" s="55"/>
      <c r="EA136" s="55"/>
      <c r="EB136" s="55"/>
      <c r="EC136" s="55"/>
      <c r="ED136" s="55"/>
      <c r="EE136" s="55"/>
      <c r="EF136" s="55"/>
      <c r="EG136" s="55"/>
      <c r="EH136" s="55"/>
      <c r="EI136" s="55"/>
      <c r="EJ136" s="55"/>
      <c r="EK136" s="55"/>
      <c r="EL136" s="55"/>
      <c r="EM136" s="55"/>
      <c r="EN136" s="55"/>
      <c r="EO136" s="55"/>
      <c r="EP136" s="55"/>
      <c r="EQ136" s="55"/>
      <c r="ER136" s="55"/>
      <c r="ES136" s="55"/>
      <c r="ET136" s="55"/>
      <c r="EU136" s="55"/>
      <c r="EV136" s="55"/>
      <c r="EW136" s="55"/>
      <c r="EX136" s="55"/>
      <c r="EY136" s="55"/>
      <c r="EZ136" s="55"/>
      <c r="FA136" s="55"/>
      <c r="FB136" s="55"/>
      <c r="FC136" s="55"/>
      <c r="FD136" s="55"/>
      <c r="FE136" s="55"/>
      <c r="FF136" s="55"/>
      <c r="FG136" s="55"/>
      <c r="FH136" s="55"/>
      <c r="FI136" s="55"/>
      <c r="FJ136" s="55"/>
      <c r="FK136" s="55"/>
      <c r="FL136" s="55"/>
      <c r="FM136" s="55"/>
      <c r="FN136" s="55"/>
      <c r="FO136" s="55"/>
      <c r="FP136" s="55"/>
      <c r="FQ136" s="55"/>
      <c r="FR136" s="55"/>
      <c r="FS136" s="55"/>
      <c r="FT136" s="55"/>
      <c r="FU136" s="55"/>
      <c r="FV136" s="55"/>
      <c r="FW136" s="55"/>
      <c r="FX136" s="55"/>
      <c r="FY136" s="55"/>
      <c r="FZ136" s="55"/>
      <c r="GA136" s="55"/>
      <c r="GB136" s="55"/>
      <c r="GC136" s="55"/>
      <c r="GD136" s="55"/>
      <c r="GE136" s="55"/>
      <c r="GF136" s="55"/>
      <c r="GG136" s="55"/>
      <c r="GH136" s="55"/>
      <c r="GI136" s="55"/>
      <c r="GJ136" s="55"/>
      <c r="GK136" s="55"/>
      <c r="GL136" s="55"/>
      <c r="GM136" s="55"/>
      <c r="GN136" s="55"/>
      <c r="GO136" s="55"/>
      <c r="GP136" s="55"/>
      <c r="GQ136" s="55"/>
      <c r="GR136" s="55"/>
      <c r="GS136" s="55"/>
      <c r="GT136" s="55"/>
      <c r="GU136" s="55"/>
      <c r="GV136" s="55"/>
      <c r="GW136" s="55"/>
      <c r="GX136" s="55"/>
      <c r="GY136" s="55"/>
      <c r="GZ136" s="55"/>
      <c r="HA136" s="55"/>
      <c r="HB136" s="55"/>
      <c r="HC136" s="55"/>
      <c r="HD136" s="55"/>
      <c r="HE136" s="55"/>
      <c r="HF136" s="55"/>
      <c r="HG136" s="55"/>
      <c r="HH136" s="55"/>
      <c r="HI136" s="55"/>
      <c r="HJ136" s="55"/>
      <c r="HK136" s="55"/>
      <c r="HL136" s="55"/>
      <c r="HM136" s="55"/>
      <c r="HN136" s="55"/>
      <c r="HO136" s="55"/>
      <c r="HP136" s="55"/>
      <c r="HQ136" s="55"/>
      <c r="HR136" s="55"/>
      <c r="HS136" s="55"/>
      <c r="HT136" s="55"/>
      <c r="HU136" s="55"/>
      <c r="HV136" s="55"/>
      <c r="HW136" s="55"/>
      <c r="HX136" s="55"/>
      <c r="HY136" s="55"/>
      <c r="HZ136" s="55"/>
      <c r="IA136" s="55"/>
      <c r="IB136" s="55"/>
    </row>
    <row r="137" spans="1:237" ht="15" hidden="1" customHeight="1" thickBot="1" x14ac:dyDescent="0.25">
      <c r="A137" s="63"/>
      <c r="B137" s="44"/>
      <c r="C137" s="45"/>
      <c r="D137" s="413"/>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5"/>
      <c r="AG137" s="55"/>
      <c r="AH137" s="55"/>
      <c r="AI137" s="55"/>
      <c r="AJ137" s="55"/>
      <c r="AK137" s="55"/>
      <c r="AL137" s="55"/>
      <c r="AM137" s="55"/>
      <c r="AN137" s="55"/>
      <c r="AO137" s="55"/>
      <c r="AP137" s="55"/>
      <c r="AQ137" s="55"/>
      <c r="AR137" s="55"/>
      <c r="AS137" s="55"/>
      <c r="AT137" s="55"/>
      <c r="AU137" s="55"/>
      <c r="AV137" s="55"/>
      <c r="AW137" s="55"/>
      <c r="AX137" s="55"/>
      <c r="AY137" s="55"/>
      <c r="AZ137" s="55"/>
      <c r="BA137" s="55"/>
      <c r="BB137" s="55"/>
      <c r="BC137" s="55"/>
      <c r="BD137" s="55"/>
      <c r="BE137" s="55"/>
      <c r="BF137" s="55"/>
      <c r="BG137" s="55"/>
      <c r="BH137" s="55"/>
      <c r="BI137" s="55"/>
      <c r="BJ137" s="55"/>
      <c r="BK137" s="55"/>
      <c r="BL137" s="55"/>
      <c r="BM137" s="55"/>
      <c r="BN137" s="55"/>
      <c r="BO137" s="55"/>
      <c r="BP137" s="55"/>
      <c r="BQ137" s="55"/>
      <c r="BR137" s="55"/>
      <c r="BS137" s="55"/>
      <c r="BT137" s="55"/>
      <c r="BU137" s="55"/>
      <c r="BV137" s="55"/>
      <c r="BW137" s="55"/>
      <c r="BX137" s="55"/>
      <c r="BY137" s="55"/>
      <c r="BZ137" s="55"/>
      <c r="CA137" s="55"/>
      <c r="CB137" s="55"/>
      <c r="CC137" s="55"/>
      <c r="CD137" s="55"/>
      <c r="CE137" s="55"/>
      <c r="CF137" s="55"/>
      <c r="CG137" s="55"/>
      <c r="CH137" s="55"/>
      <c r="CI137" s="55"/>
      <c r="CJ137" s="55"/>
      <c r="CK137" s="55"/>
      <c r="CL137" s="55"/>
      <c r="CM137" s="55"/>
      <c r="CN137" s="55"/>
      <c r="CO137" s="55"/>
      <c r="CP137" s="55"/>
      <c r="CQ137" s="55"/>
      <c r="CR137" s="55"/>
      <c r="CS137" s="55"/>
      <c r="CT137" s="55"/>
      <c r="CU137" s="55"/>
      <c r="CV137" s="55"/>
      <c r="CW137" s="55"/>
      <c r="CX137" s="55"/>
      <c r="CY137" s="55"/>
      <c r="CZ137" s="55"/>
      <c r="DA137" s="55"/>
      <c r="DB137" s="55"/>
      <c r="DC137" s="55"/>
      <c r="DD137" s="55"/>
      <c r="DE137" s="55"/>
      <c r="DF137" s="55"/>
      <c r="DG137" s="55"/>
      <c r="DH137" s="55"/>
      <c r="DI137" s="55"/>
      <c r="DJ137" s="55"/>
      <c r="DK137" s="55"/>
      <c r="DL137" s="55"/>
      <c r="DM137" s="55"/>
      <c r="DN137" s="55"/>
      <c r="DO137" s="55"/>
      <c r="DP137" s="55"/>
      <c r="DQ137" s="55"/>
      <c r="DR137" s="55"/>
      <c r="DS137" s="55"/>
      <c r="DT137" s="55"/>
      <c r="DU137" s="55"/>
      <c r="DV137" s="55"/>
      <c r="DW137" s="55"/>
      <c r="DX137" s="55"/>
      <c r="DY137" s="55"/>
      <c r="DZ137" s="55"/>
      <c r="EA137" s="55"/>
      <c r="EB137" s="55"/>
      <c r="EC137" s="55"/>
      <c r="ED137" s="55"/>
      <c r="EE137" s="55"/>
      <c r="EF137" s="55"/>
      <c r="EG137" s="55"/>
      <c r="EH137" s="55"/>
      <c r="EI137" s="55"/>
      <c r="EJ137" s="55"/>
      <c r="EK137" s="55"/>
      <c r="EL137" s="55"/>
      <c r="EM137" s="55"/>
      <c r="EN137" s="55"/>
      <c r="EO137" s="55"/>
      <c r="EP137" s="55"/>
      <c r="EQ137" s="55"/>
      <c r="ER137" s="55"/>
      <c r="ES137" s="55"/>
      <c r="ET137" s="55"/>
      <c r="EU137" s="55"/>
      <c r="EV137" s="55"/>
      <c r="EW137" s="55"/>
      <c r="EX137" s="55"/>
      <c r="EY137" s="55"/>
      <c r="EZ137" s="55"/>
      <c r="FA137" s="55"/>
      <c r="FB137" s="55"/>
      <c r="FC137" s="55"/>
      <c r="FD137" s="55"/>
      <c r="FE137" s="55"/>
      <c r="FF137" s="55"/>
      <c r="FG137" s="55"/>
      <c r="FH137" s="55"/>
      <c r="FI137" s="55"/>
      <c r="FJ137" s="55"/>
      <c r="FK137" s="55"/>
      <c r="FL137" s="55"/>
      <c r="FM137" s="55"/>
      <c r="FN137" s="55"/>
      <c r="FO137" s="55"/>
      <c r="FP137" s="55"/>
      <c r="FQ137" s="55"/>
      <c r="FR137" s="55"/>
      <c r="FS137" s="55"/>
      <c r="FT137" s="55"/>
      <c r="FU137" s="55"/>
      <c r="FV137" s="55"/>
      <c r="FW137" s="55"/>
      <c r="FX137" s="55"/>
      <c r="FY137" s="55"/>
      <c r="FZ137" s="55"/>
      <c r="GA137" s="55"/>
      <c r="GB137" s="55"/>
      <c r="GC137" s="55"/>
      <c r="GD137" s="55"/>
      <c r="GE137" s="55"/>
      <c r="GF137" s="55"/>
      <c r="GG137" s="55"/>
      <c r="GH137" s="55"/>
      <c r="GI137" s="55"/>
      <c r="GJ137" s="55"/>
      <c r="GK137" s="55"/>
      <c r="GL137" s="55"/>
      <c r="GM137" s="55"/>
      <c r="GN137" s="55"/>
      <c r="GO137" s="55"/>
      <c r="GP137" s="55"/>
      <c r="GQ137" s="55"/>
      <c r="GR137" s="55"/>
      <c r="GS137" s="55"/>
      <c r="GT137" s="55"/>
      <c r="GU137" s="55"/>
      <c r="GV137" s="55"/>
      <c r="GW137" s="55"/>
      <c r="GX137" s="55"/>
      <c r="GY137" s="55"/>
      <c r="GZ137" s="55"/>
      <c r="HA137" s="55"/>
      <c r="HB137" s="55"/>
      <c r="HC137" s="55"/>
      <c r="HD137" s="55"/>
      <c r="HE137" s="55"/>
      <c r="HF137" s="55"/>
      <c r="HG137" s="55"/>
      <c r="HH137" s="55"/>
      <c r="HI137" s="55"/>
      <c r="HJ137" s="55"/>
      <c r="HK137" s="55"/>
      <c r="HL137" s="55"/>
      <c r="HM137" s="55"/>
      <c r="HN137" s="55"/>
      <c r="HO137" s="55"/>
      <c r="HP137" s="55"/>
      <c r="HQ137" s="55"/>
      <c r="HR137" s="55"/>
      <c r="HS137" s="55"/>
      <c r="HT137" s="55"/>
      <c r="HU137" s="55"/>
      <c r="HV137" s="55"/>
      <c r="HW137" s="55"/>
      <c r="HX137" s="55"/>
      <c r="HY137" s="55"/>
      <c r="HZ137" s="55"/>
      <c r="IA137" s="55"/>
      <c r="IB137" s="55"/>
    </row>
    <row r="138" spans="1:237" ht="15" hidden="1" customHeight="1" thickBot="1" x14ac:dyDescent="0.25">
      <c r="A138" s="63"/>
      <c r="B138" s="44"/>
      <c r="C138" s="45"/>
      <c r="D138" s="413"/>
      <c r="E138" s="55"/>
      <c r="F138" s="55"/>
      <c r="G138" s="55"/>
      <c r="H138" s="55"/>
      <c r="I138" s="55"/>
      <c r="J138" s="55"/>
      <c r="K138" s="55"/>
      <c r="L138" s="55"/>
      <c r="M138" s="55"/>
      <c r="N138" s="55"/>
      <c r="O138" s="55"/>
      <c r="P138" s="55"/>
      <c r="Q138" s="55"/>
      <c r="R138" s="55"/>
      <c r="S138" s="55"/>
      <c r="T138" s="55"/>
      <c r="U138" s="55"/>
      <c r="V138" s="55"/>
      <c r="W138" s="55"/>
      <c r="X138" s="55"/>
      <c r="Y138" s="55"/>
      <c r="Z138" s="55"/>
      <c r="AA138" s="55"/>
      <c r="AB138" s="55"/>
      <c r="AC138" s="55"/>
      <c r="AD138" s="55"/>
      <c r="AE138" s="55"/>
      <c r="AF138" s="55"/>
      <c r="AG138" s="55"/>
      <c r="AH138" s="55"/>
      <c r="AI138" s="55"/>
      <c r="AJ138" s="55"/>
      <c r="AK138" s="55"/>
      <c r="AL138" s="55"/>
      <c r="AM138" s="55"/>
      <c r="AN138" s="55"/>
      <c r="AO138" s="55"/>
      <c r="AP138" s="55"/>
      <c r="AQ138" s="55"/>
      <c r="AR138" s="55"/>
      <c r="AS138" s="55"/>
      <c r="AT138" s="55"/>
      <c r="AU138" s="55"/>
      <c r="AV138" s="55"/>
      <c r="AW138" s="55"/>
      <c r="AX138" s="55"/>
      <c r="AY138" s="55"/>
      <c r="AZ138" s="55"/>
      <c r="BA138" s="55"/>
      <c r="BB138" s="55"/>
      <c r="BC138" s="55"/>
      <c r="BD138" s="55"/>
      <c r="BE138" s="55"/>
      <c r="BF138" s="55"/>
      <c r="BG138" s="55"/>
      <c r="BH138" s="55"/>
      <c r="BI138" s="55"/>
      <c r="BJ138" s="55"/>
      <c r="BK138" s="55"/>
      <c r="BL138" s="55"/>
      <c r="BM138" s="55"/>
      <c r="BN138" s="55"/>
      <c r="BO138" s="55"/>
      <c r="BP138" s="55"/>
      <c r="BQ138" s="55"/>
      <c r="BR138" s="55"/>
      <c r="BS138" s="55"/>
      <c r="BT138" s="55"/>
      <c r="BU138" s="55"/>
      <c r="BV138" s="55"/>
      <c r="BW138" s="55"/>
      <c r="BX138" s="55"/>
      <c r="BY138" s="55"/>
      <c r="BZ138" s="55"/>
      <c r="CA138" s="55"/>
      <c r="CB138" s="55"/>
      <c r="CC138" s="55"/>
      <c r="CD138" s="55"/>
      <c r="CE138" s="55"/>
      <c r="CF138" s="55"/>
      <c r="CG138" s="55"/>
      <c r="CH138" s="55"/>
      <c r="CI138" s="55"/>
      <c r="CJ138" s="55"/>
      <c r="CK138" s="55"/>
      <c r="CL138" s="55"/>
      <c r="CM138" s="55"/>
      <c r="CN138" s="55"/>
      <c r="CO138" s="55"/>
      <c r="CP138" s="55"/>
      <c r="CQ138" s="55"/>
      <c r="CR138" s="55"/>
      <c r="CS138" s="55"/>
      <c r="CT138" s="55"/>
      <c r="CU138" s="55"/>
      <c r="CV138" s="55"/>
      <c r="CW138" s="55"/>
      <c r="CX138" s="55"/>
      <c r="CY138" s="55"/>
      <c r="CZ138" s="55"/>
      <c r="DA138" s="55"/>
      <c r="DB138" s="55"/>
      <c r="DC138" s="55"/>
      <c r="DD138" s="55"/>
      <c r="DE138" s="55"/>
      <c r="DF138" s="55"/>
      <c r="DG138" s="55"/>
      <c r="DH138" s="55"/>
      <c r="DI138" s="55"/>
      <c r="DJ138" s="55"/>
      <c r="DK138" s="55"/>
      <c r="DL138" s="55"/>
      <c r="DM138" s="55"/>
      <c r="DN138" s="55"/>
      <c r="DO138" s="55"/>
      <c r="DP138" s="55"/>
      <c r="DQ138" s="55"/>
      <c r="DR138" s="55"/>
      <c r="DS138" s="55"/>
      <c r="DT138" s="55"/>
      <c r="DU138" s="55"/>
      <c r="DV138" s="55"/>
      <c r="DW138" s="55"/>
      <c r="DX138" s="55"/>
      <c r="DY138" s="55"/>
      <c r="DZ138" s="55"/>
      <c r="EA138" s="55"/>
      <c r="EB138" s="55"/>
      <c r="EC138" s="55"/>
      <c r="ED138" s="55"/>
      <c r="EE138" s="55"/>
      <c r="EF138" s="55"/>
      <c r="EG138" s="55"/>
      <c r="EH138" s="55"/>
      <c r="EI138" s="55"/>
      <c r="EJ138" s="55"/>
      <c r="EK138" s="55"/>
      <c r="EL138" s="55"/>
      <c r="EM138" s="55"/>
      <c r="EN138" s="55"/>
      <c r="EO138" s="55"/>
      <c r="EP138" s="55"/>
      <c r="EQ138" s="55"/>
      <c r="ER138" s="55"/>
      <c r="ES138" s="55"/>
      <c r="ET138" s="55"/>
      <c r="EU138" s="55"/>
      <c r="EV138" s="55"/>
      <c r="EW138" s="55"/>
      <c r="EX138" s="55"/>
      <c r="EY138" s="55"/>
      <c r="EZ138" s="55"/>
      <c r="FA138" s="55"/>
      <c r="FB138" s="55"/>
      <c r="FC138" s="55"/>
      <c r="FD138" s="55"/>
      <c r="FE138" s="55"/>
      <c r="FF138" s="55"/>
      <c r="FG138" s="55"/>
      <c r="FH138" s="55"/>
      <c r="FI138" s="55"/>
      <c r="FJ138" s="55"/>
      <c r="FK138" s="55"/>
      <c r="FL138" s="55"/>
      <c r="FM138" s="55"/>
      <c r="FN138" s="55"/>
      <c r="FO138" s="55"/>
      <c r="FP138" s="55"/>
      <c r="FQ138" s="55"/>
      <c r="FR138" s="55"/>
      <c r="FS138" s="55"/>
      <c r="FT138" s="55"/>
      <c r="FU138" s="55"/>
      <c r="FV138" s="55"/>
      <c r="FW138" s="55"/>
      <c r="FX138" s="55"/>
      <c r="FY138" s="55"/>
      <c r="FZ138" s="55"/>
      <c r="GA138" s="55"/>
      <c r="GB138" s="55"/>
      <c r="GC138" s="55"/>
      <c r="GD138" s="55"/>
      <c r="GE138" s="55"/>
      <c r="GF138" s="55"/>
      <c r="GG138" s="55"/>
      <c r="GH138" s="55"/>
      <c r="GI138" s="55"/>
      <c r="GJ138" s="55"/>
      <c r="GK138" s="55"/>
      <c r="GL138" s="55"/>
      <c r="GM138" s="55"/>
      <c r="GN138" s="55"/>
      <c r="GO138" s="55"/>
      <c r="GP138" s="55"/>
      <c r="GQ138" s="55"/>
      <c r="GR138" s="55"/>
      <c r="GS138" s="55"/>
      <c r="GT138" s="55"/>
      <c r="GU138" s="55"/>
      <c r="GV138" s="55"/>
      <c r="GW138" s="55"/>
      <c r="GX138" s="55"/>
      <c r="GY138" s="55"/>
      <c r="GZ138" s="55"/>
      <c r="HA138" s="55"/>
      <c r="HB138" s="55"/>
      <c r="HC138" s="55"/>
      <c r="HD138" s="55"/>
      <c r="HE138" s="55"/>
      <c r="HF138" s="55"/>
      <c r="HG138" s="55"/>
      <c r="HH138" s="55"/>
      <c r="HI138" s="55"/>
      <c r="HJ138" s="55"/>
      <c r="HK138" s="55"/>
      <c r="HL138" s="55"/>
      <c r="HM138" s="55"/>
      <c r="HN138" s="55"/>
      <c r="HO138" s="55"/>
      <c r="HP138" s="55"/>
      <c r="HQ138" s="55"/>
      <c r="HR138" s="55"/>
      <c r="HS138" s="55"/>
      <c r="HT138" s="55"/>
      <c r="HU138" s="55"/>
      <c r="HV138" s="55"/>
      <c r="HW138" s="55"/>
      <c r="HX138" s="55"/>
      <c r="HY138" s="55"/>
      <c r="HZ138" s="55"/>
      <c r="IA138" s="55"/>
      <c r="IB138" s="55"/>
    </row>
    <row r="139" spans="1:237" ht="15" hidden="1" customHeight="1" thickBot="1" x14ac:dyDescent="0.25">
      <c r="A139" s="63"/>
      <c r="B139" s="44"/>
      <c r="C139" s="45"/>
      <c r="D139" s="413"/>
      <c r="E139" s="55"/>
      <c r="F139" s="55"/>
      <c r="G139" s="55"/>
      <c r="H139" s="55"/>
      <c r="I139" s="55"/>
      <c r="J139" s="55"/>
      <c r="K139" s="55"/>
      <c r="L139" s="55"/>
      <c r="M139" s="55"/>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c r="AL139" s="55"/>
      <c r="AM139" s="55"/>
      <c r="AN139" s="55"/>
      <c r="AO139" s="55"/>
      <c r="AP139" s="55"/>
      <c r="AQ139" s="55"/>
      <c r="AR139" s="55"/>
      <c r="AS139" s="55"/>
      <c r="AT139" s="55"/>
      <c r="AU139" s="55"/>
      <c r="AV139" s="55"/>
      <c r="AW139" s="55"/>
      <c r="AX139" s="55"/>
      <c r="AY139" s="55"/>
      <c r="AZ139" s="55"/>
      <c r="BA139" s="55"/>
      <c r="BB139" s="55"/>
      <c r="BC139" s="55"/>
      <c r="BD139" s="55"/>
      <c r="BE139" s="55"/>
      <c r="BF139" s="55"/>
      <c r="BG139" s="55"/>
      <c r="BH139" s="55"/>
      <c r="BI139" s="55"/>
      <c r="BJ139" s="55"/>
      <c r="BK139" s="55"/>
      <c r="BL139" s="55"/>
      <c r="BM139" s="55"/>
      <c r="BN139" s="55"/>
      <c r="BO139" s="55"/>
      <c r="BP139" s="55"/>
      <c r="BQ139" s="55"/>
      <c r="BR139" s="55"/>
      <c r="BS139" s="55"/>
      <c r="BT139" s="55"/>
      <c r="BU139" s="55"/>
      <c r="BV139" s="55"/>
      <c r="BW139" s="55"/>
      <c r="BX139" s="55"/>
      <c r="BY139" s="55"/>
      <c r="BZ139" s="55"/>
      <c r="CA139" s="55"/>
      <c r="CB139" s="55"/>
      <c r="CC139" s="55"/>
      <c r="CD139" s="55"/>
      <c r="CE139" s="55"/>
      <c r="CF139" s="55"/>
      <c r="CG139" s="55"/>
      <c r="CH139" s="55"/>
      <c r="CI139" s="55"/>
      <c r="CJ139" s="55"/>
      <c r="CK139" s="55"/>
      <c r="CL139" s="55"/>
      <c r="CM139" s="55"/>
      <c r="CN139" s="55"/>
      <c r="CO139" s="55"/>
      <c r="CP139" s="55"/>
      <c r="CQ139" s="55"/>
      <c r="CR139" s="55"/>
      <c r="CS139" s="55"/>
      <c r="CT139" s="55"/>
      <c r="CU139" s="55"/>
      <c r="CV139" s="55"/>
      <c r="CW139" s="55"/>
      <c r="CX139" s="55"/>
      <c r="CY139" s="55"/>
      <c r="CZ139" s="55"/>
      <c r="DA139" s="55"/>
      <c r="DB139" s="55"/>
      <c r="DC139" s="55"/>
      <c r="DD139" s="55"/>
      <c r="DE139" s="55"/>
      <c r="DF139" s="55"/>
      <c r="DG139" s="55"/>
      <c r="DH139" s="55"/>
      <c r="DI139" s="55"/>
      <c r="DJ139" s="55"/>
      <c r="DK139" s="55"/>
      <c r="DL139" s="55"/>
      <c r="DM139" s="55"/>
      <c r="DN139" s="55"/>
      <c r="DO139" s="55"/>
      <c r="DP139" s="55"/>
      <c r="DQ139" s="55"/>
      <c r="DR139" s="55"/>
      <c r="DS139" s="55"/>
      <c r="DT139" s="55"/>
      <c r="DU139" s="55"/>
      <c r="DV139" s="55"/>
      <c r="DW139" s="55"/>
      <c r="DX139" s="55"/>
      <c r="DY139" s="55"/>
      <c r="DZ139" s="55"/>
      <c r="EA139" s="55"/>
      <c r="EB139" s="55"/>
      <c r="EC139" s="55"/>
      <c r="ED139" s="55"/>
      <c r="EE139" s="55"/>
      <c r="EF139" s="55"/>
      <c r="EG139" s="55"/>
      <c r="EH139" s="55"/>
      <c r="EI139" s="55"/>
      <c r="EJ139" s="55"/>
      <c r="EK139" s="55"/>
      <c r="EL139" s="55"/>
      <c r="EM139" s="55"/>
      <c r="EN139" s="55"/>
      <c r="EO139" s="55"/>
      <c r="EP139" s="55"/>
      <c r="EQ139" s="55"/>
      <c r="ER139" s="55"/>
      <c r="ES139" s="55"/>
      <c r="ET139" s="55"/>
      <c r="EU139" s="55"/>
      <c r="EV139" s="55"/>
      <c r="EW139" s="55"/>
      <c r="EX139" s="55"/>
      <c r="EY139" s="55"/>
      <c r="EZ139" s="55"/>
      <c r="FA139" s="55"/>
      <c r="FB139" s="55"/>
      <c r="FC139" s="55"/>
      <c r="FD139" s="55"/>
      <c r="FE139" s="55"/>
      <c r="FF139" s="55"/>
      <c r="FG139" s="55"/>
      <c r="FH139" s="55"/>
      <c r="FI139" s="55"/>
      <c r="FJ139" s="55"/>
      <c r="FK139" s="55"/>
      <c r="FL139" s="55"/>
      <c r="FM139" s="55"/>
      <c r="FN139" s="55"/>
      <c r="FO139" s="55"/>
      <c r="FP139" s="55"/>
      <c r="FQ139" s="55"/>
      <c r="FR139" s="55"/>
      <c r="FS139" s="55"/>
      <c r="FT139" s="55"/>
      <c r="FU139" s="55"/>
      <c r="FV139" s="55"/>
      <c r="FW139" s="55"/>
      <c r="FX139" s="55"/>
      <c r="FY139" s="55"/>
      <c r="FZ139" s="55"/>
      <c r="GA139" s="55"/>
      <c r="GB139" s="55"/>
      <c r="GC139" s="55"/>
      <c r="GD139" s="55"/>
      <c r="GE139" s="55"/>
      <c r="GF139" s="55"/>
      <c r="GG139" s="55"/>
      <c r="GH139" s="55"/>
      <c r="GI139" s="55"/>
      <c r="GJ139" s="55"/>
      <c r="GK139" s="55"/>
      <c r="GL139" s="55"/>
      <c r="GM139" s="55"/>
      <c r="GN139" s="55"/>
      <c r="GO139" s="55"/>
      <c r="GP139" s="55"/>
      <c r="GQ139" s="55"/>
      <c r="GR139" s="55"/>
      <c r="GS139" s="55"/>
      <c r="GT139" s="55"/>
      <c r="GU139" s="55"/>
      <c r="GV139" s="55"/>
      <c r="GW139" s="55"/>
      <c r="GX139" s="55"/>
      <c r="GY139" s="55"/>
      <c r="GZ139" s="55"/>
      <c r="HA139" s="55"/>
      <c r="HB139" s="55"/>
      <c r="HC139" s="55"/>
      <c r="HD139" s="55"/>
      <c r="HE139" s="55"/>
      <c r="HF139" s="55"/>
      <c r="HG139" s="55"/>
      <c r="HH139" s="55"/>
      <c r="HI139" s="55"/>
      <c r="HJ139" s="55"/>
      <c r="HK139" s="55"/>
      <c r="HL139" s="55"/>
      <c r="HM139" s="55"/>
      <c r="HN139" s="55"/>
      <c r="HO139" s="55"/>
      <c r="HP139" s="55"/>
      <c r="HQ139" s="55"/>
      <c r="HR139" s="55"/>
      <c r="HS139" s="55"/>
      <c r="HT139" s="55"/>
      <c r="HU139" s="55"/>
      <c r="HV139" s="55"/>
      <c r="HW139" s="55"/>
      <c r="HX139" s="55"/>
      <c r="HY139" s="55"/>
      <c r="HZ139" s="55"/>
      <c r="IA139" s="55"/>
      <c r="IB139" s="55"/>
    </row>
    <row r="140" spans="1:237" ht="15" hidden="1" customHeight="1" thickBot="1" x14ac:dyDescent="0.25">
      <c r="A140" s="375"/>
      <c r="B140" s="68"/>
      <c r="C140" s="48"/>
      <c r="D140" s="121"/>
      <c r="E140" s="55"/>
      <c r="F140" s="55"/>
      <c r="G140" s="55"/>
      <c r="H140" s="55"/>
      <c r="I140" s="55"/>
      <c r="J140" s="55"/>
      <c r="K140" s="55"/>
      <c r="L140" s="55"/>
      <c r="M140" s="55"/>
      <c r="N140" s="55"/>
      <c r="O140" s="55"/>
      <c r="P140" s="55"/>
      <c r="Q140" s="55"/>
      <c r="R140" s="55"/>
      <c r="S140" s="55"/>
      <c r="T140" s="55"/>
      <c r="U140" s="55"/>
      <c r="V140" s="55"/>
      <c r="W140" s="55"/>
      <c r="X140" s="55"/>
      <c r="Y140" s="55"/>
      <c r="Z140" s="55"/>
      <c r="AA140" s="55"/>
      <c r="AB140" s="55"/>
      <c r="AC140" s="55"/>
      <c r="AD140" s="55"/>
      <c r="AE140" s="55"/>
      <c r="AF140" s="55"/>
      <c r="AG140" s="55"/>
      <c r="AH140" s="55"/>
      <c r="AI140" s="55"/>
      <c r="AJ140" s="55"/>
      <c r="AK140" s="55"/>
      <c r="AL140" s="55"/>
      <c r="AM140" s="55"/>
      <c r="AN140" s="55"/>
      <c r="AO140" s="55"/>
      <c r="AP140" s="55"/>
      <c r="AQ140" s="55"/>
      <c r="AR140" s="55"/>
      <c r="AS140" s="55"/>
      <c r="AT140" s="55"/>
      <c r="AU140" s="55"/>
      <c r="AV140" s="55"/>
      <c r="AW140" s="55"/>
      <c r="AX140" s="55"/>
      <c r="AY140" s="55"/>
      <c r="AZ140" s="55"/>
      <c r="BA140" s="55"/>
      <c r="BB140" s="55"/>
      <c r="BC140" s="55"/>
      <c r="BD140" s="55"/>
      <c r="BE140" s="55"/>
      <c r="BF140" s="55"/>
      <c r="BG140" s="55"/>
      <c r="BH140" s="55"/>
      <c r="BI140" s="55"/>
      <c r="BJ140" s="55"/>
      <c r="BK140" s="55"/>
      <c r="BL140" s="55"/>
      <c r="BM140" s="55"/>
      <c r="BN140" s="55"/>
      <c r="BO140" s="55"/>
      <c r="BP140" s="55"/>
      <c r="BQ140" s="55"/>
      <c r="BR140" s="55"/>
      <c r="BS140" s="55"/>
      <c r="BT140" s="55"/>
      <c r="BU140" s="55"/>
      <c r="BV140" s="55"/>
      <c r="BW140" s="55"/>
      <c r="BX140" s="55"/>
      <c r="BY140" s="55"/>
      <c r="BZ140" s="55"/>
      <c r="CA140" s="55"/>
      <c r="CB140" s="55"/>
      <c r="CC140" s="55"/>
      <c r="CD140" s="55"/>
      <c r="CE140" s="55"/>
      <c r="CF140" s="55"/>
      <c r="CG140" s="55"/>
      <c r="CH140" s="55"/>
      <c r="CI140" s="55"/>
      <c r="CJ140" s="55"/>
      <c r="CK140" s="55"/>
      <c r="CL140" s="55"/>
      <c r="CM140" s="55"/>
      <c r="CN140" s="55"/>
      <c r="CO140" s="55"/>
      <c r="CP140" s="55"/>
      <c r="CQ140" s="55"/>
      <c r="CR140" s="55"/>
      <c r="CS140" s="55"/>
      <c r="CT140" s="55"/>
      <c r="CU140" s="55"/>
      <c r="CV140" s="55"/>
      <c r="CW140" s="55"/>
      <c r="CX140" s="55"/>
      <c r="CY140" s="55"/>
      <c r="CZ140" s="55"/>
      <c r="DA140" s="55"/>
      <c r="DB140" s="55"/>
      <c r="DC140" s="55"/>
      <c r="DD140" s="55"/>
      <c r="DE140" s="55"/>
      <c r="DF140" s="55"/>
      <c r="DG140" s="55"/>
      <c r="DH140" s="55"/>
      <c r="DI140" s="55"/>
      <c r="DJ140" s="55"/>
      <c r="DK140" s="55"/>
      <c r="DL140" s="55"/>
      <c r="DM140" s="55"/>
      <c r="DN140" s="55"/>
      <c r="DO140" s="55"/>
      <c r="DP140" s="55"/>
      <c r="DQ140" s="55"/>
      <c r="DR140" s="55"/>
      <c r="DS140" s="55"/>
      <c r="DT140" s="55"/>
      <c r="DU140" s="55"/>
      <c r="DV140" s="55"/>
      <c r="DW140" s="55"/>
      <c r="DX140" s="55"/>
      <c r="DY140" s="55"/>
      <c r="DZ140" s="55"/>
      <c r="EA140" s="55"/>
      <c r="EB140" s="55"/>
      <c r="EC140" s="55"/>
      <c r="ED140" s="55"/>
      <c r="EE140" s="55"/>
      <c r="EF140" s="55"/>
      <c r="EG140" s="55"/>
      <c r="EH140" s="55"/>
      <c r="EI140" s="55"/>
      <c r="EJ140" s="55"/>
      <c r="EK140" s="55"/>
      <c r="EL140" s="55"/>
      <c r="EM140" s="55"/>
      <c r="EN140" s="55"/>
      <c r="EO140" s="55"/>
      <c r="EP140" s="55"/>
      <c r="EQ140" s="55"/>
      <c r="ER140" s="55"/>
      <c r="ES140" s="55"/>
      <c r="ET140" s="55"/>
      <c r="EU140" s="55"/>
      <c r="EV140" s="55"/>
      <c r="EW140" s="55"/>
      <c r="EX140" s="55"/>
      <c r="EY140" s="55"/>
      <c r="EZ140" s="55"/>
      <c r="FA140" s="55"/>
      <c r="FB140" s="55"/>
      <c r="FC140" s="55"/>
      <c r="FD140" s="55"/>
      <c r="FE140" s="55"/>
      <c r="FF140" s="55"/>
      <c r="FG140" s="55"/>
      <c r="FH140" s="55"/>
      <c r="FI140" s="55"/>
      <c r="FJ140" s="55"/>
      <c r="FK140" s="55"/>
      <c r="FL140" s="55"/>
      <c r="FM140" s="55"/>
      <c r="FN140" s="55"/>
      <c r="FO140" s="55"/>
      <c r="FP140" s="55"/>
      <c r="FQ140" s="55"/>
      <c r="FR140" s="55"/>
      <c r="FS140" s="55"/>
      <c r="FT140" s="55"/>
      <c r="FU140" s="55"/>
      <c r="FV140" s="55"/>
      <c r="FW140" s="55"/>
      <c r="FX140" s="55"/>
      <c r="FY140" s="55"/>
      <c r="FZ140" s="55"/>
      <c r="GA140" s="55"/>
      <c r="GB140" s="55"/>
      <c r="GC140" s="55"/>
      <c r="GD140" s="55"/>
      <c r="GE140" s="55"/>
      <c r="GF140" s="55"/>
      <c r="GG140" s="55"/>
      <c r="GH140" s="55"/>
      <c r="GI140" s="55"/>
      <c r="GJ140" s="55"/>
      <c r="GK140" s="55"/>
      <c r="GL140" s="55"/>
      <c r="GM140" s="55"/>
      <c r="GN140" s="55"/>
      <c r="GO140" s="55"/>
      <c r="GP140" s="55"/>
      <c r="GQ140" s="55"/>
      <c r="GR140" s="55"/>
      <c r="GS140" s="55"/>
      <c r="GT140" s="55"/>
      <c r="GU140" s="55"/>
      <c r="GV140" s="55"/>
      <c r="GW140" s="55"/>
      <c r="GX140" s="55"/>
      <c r="GY140" s="55"/>
      <c r="GZ140" s="55"/>
      <c r="HA140" s="55"/>
      <c r="HB140" s="55"/>
      <c r="HC140" s="55"/>
      <c r="HD140" s="55"/>
      <c r="HE140" s="55"/>
      <c r="HF140" s="55"/>
      <c r="HG140" s="55"/>
      <c r="HH140" s="55"/>
      <c r="HI140" s="55"/>
      <c r="HJ140" s="55"/>
      <c r="HK140" s="55"/>
      <c r="HL140" s="55"/>
      <c r="HM140" s="55"/>
      <c r="HN140" s="55"/>
      <c r="HO140" s="55"/>
      <c r="HP140" s="55"/>
      <c r="HQ140" s="55"/>
      <c r="HR140" s="55"/>
      <c r="HS140" s="55"/>
      <c r="HT140" s="55"/>
      <c r="HU140" s="55"/>
      <c r="HV140" s="55"/>
      <c r="HW140" s="55"/>
      <c r="HX140" s="55"/>
      <c r="HY140" s="55"/>
      <c r="HZ140" s="55"/>
      <c r="IA140" s="55"/>
      <c r="IB140" s="55"/>
    </row>
    <row r="141" spans="1:237" ht="15" customHeight="1" thickBot="1" x14ac:dyDescent="0.25">
      <c r="A141" s="559"/>
      <c r="B141" s="559"/>
      <c r="C141" s="559"/>
      <c r="D141" s="559"/>
      <c r="IC141" s="62"/>
    </row>
    <row r="142" spans="1:237" s="64" customFormat="1" ht="20.100000000000001" customHeight="1" thickBot="1" x14ac:dyDescent="0.25">
      <c r="A142" s="18" t="s">
        <v>5</v>
      </c>
      <c r="B142" s="16" t="s">
        <v>403</v>
      </c>
      <c r="C142" s="17" t="s">
        <v>198</v>
      </c>
      <c r="D142" s="740" t="s">
        <v>1080</v>
      </c>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c r="AH142" s="65"/>
      <c r="AI142" s="65"/>
      <c r="AJ142" s="65"/>
      <c r="AK142" s="65"/>
      <c r="AL142" s="65"/>
      <c r="AM142" s="65"/>
      <c r="AN142" s="65"/>
      <c r="AO142" s="65"/>
      <c r="AP142" s="65"/>
      <c r="AQ142" s="65"/>
      <c r="AR142" s="65"/>
      <c r="AS142" s="65"/>
      <c r="AT142" s="65"/>
      <c r="AU142" s="65"/>
      <c r="AV142" s="65"/>
      <c r="AW142" s="65"/>
      <c r="AX142" s="65"/>
      <c r="AY142" s="65"/>
      <c r="AZ142" s="65"/>
      <c r="BA142" s="65"/>
      <c r="BB142" s="65"/>
      <c r="BC142" s="65"/>
      <c r="BD142" s="65"/>
      <c r="BE142" s="65"/>
      <c r="BF142" s="65"/>
      <c r="BG142" s="65"/>
      <c r="BH142" s="65"/>
      <c r="BI142" s="65"/>
      <c r="BJ142" s="65"/>
      <c r="BK142" s="65"/>
      <c r="BL142" s="65"/>
      <c r="BM142" s="65"/>
      <c r="BN142" s="65"/>
      <c r="BO142" s="65"/>
      <c r="BP142" s="65"/>
      <c r="BQ142" s="65"/>
      <c r="BR142" s="65"/>
      <c r="BS142" s="65"/>
      <c r="BT142" s="65"/>
      <c r="BU142" s="65"/>
      <c r="BV142" s="65"/>
      <c r="BW142" s="65"/>
      <c r="BX142" s="65"/>
      <c r="BY142" s="65"/>
      <c r="BZ142" s="65"/>
      <c r="CA142" s="65"/>
      <c r="CB142" s="65"/>
      <c r="CC142" s="65"/>
      <c r="CD142" s="65"/>
      <c r="CE142" s="65"/>
      <c r="CF142" s="65"/>
      <c r="CG142" s="65"/>
      <c r="CH142" s="65"/>
      <c r="CI142" s="65"/>
      <c r="CJ142" s="65"/>
      <c r="CK142" s="65"/>
      <c r="CL142" s="65"/>
      <c r="CM142" s="65"/>
      <c r="CN142" s="65"/>
      <c r="CO142" s="65"/>
      <c r="CP142" s="65"/>
      <c r="CQ142" s="65"/>
      <c r="CR142" s="65"/>
      <c r="CS142" s="65"/>
      <c r="CT142" s="65"/>
      <c r="CU142" s="65"/>
      <c r="CV142" s="65"/>
      <c r="CW142" s="65"/>
      <c r="CX142" s="65"/>
      <c r="CY142" s="65"/>
      <c r="CZ142" s="65"/>
      <c r="DA142" s="65"/>
      <c r="DB142" s="65"/>
      <c r="DC142" s="65"/>
      <c r="DD142" s="65"/>
      <c r="DE142" s="65"/>
      <c r="DF142" s="65"/>
      <c r="DG142" s="65"/>
      <c r="DH142" s="65"/>
      <c r="DI142" s="65"/>
      <c r="DJ142" s="65"/>
      <c r="DK142" s="65"/>
      <c r="DL142" s="65"/>
      <c r="DM142" s="65"/>
      <c r="DN142" s="65"/>
      <c r="DO142" s="65"/>
      <c r="DP142" s="65"/>
      <c r="DQ142" s="65"/>
      <c r="DR142" s="65"/>
      <c r="DS142" s="65"/>
      <c r="DT142" s="65"/>
      <c r="DU142" s="65"/>
      <c r="DV142" s="65"/>
      <c r="DW142" s="65"/>
      <c r="DX142" s="65"/>
      <c r="DY142" s="65"/>
      <c r="DZ142" s="65"/>
      <c r="EA142" s="65"/>
      <c r="EB142" s="65"/>
      <c r="EC142" s="65"/>
      <c r="ED142" s="65"/>
      <c r="EE142" s="65"/>
      <c r="EF142" s="65"/>
      <c r="EG142" s="65"/>
      <c r="EH142" s="65"/>
      <c r="EI142" s="65"/>
      <c r="EJ142" s="65"/>
      <c r="EK142" s="65"/>
      <c r="EL142" s="65"/>
      <c r="EM142" s="65"/>
      <c r="EN142" s="65"/>
      <c r="EO142" s="65"/>
      <c r="EP142" s="65"/>
      <c r="EQ142" s="65"/>
      <c r="ER142" s="65"/>
      <c r="ES142" s="65"/>
      <c r="ET142" s="65"/>
      <c r="EU142" s="65"/>
      <c r="EV142" s="65"/>
      <c r="EW142" s="65"/>
      <c r="EX142" s="65"/>
      <c r="EY142" s="65"/>
      <c r="EZ142" s="65"/>
      <c r="FA142" s="65"/>
      <c r="FB142" s="65"/>
      <c r="FC142" s="65"/>
      <c r="FD142" s="65"/>
      <c r="FE142" s="65"/>
      <c r="FF142" s="65"/>
      <c r="FG142" s="65"/>
      <c r="FH142" s="65"/>
      <c r="FI142" s="65"/>
      <c r="FJ142" s="65"/>
      <c r="FK142" s="65"/>
      <c r="FL142" s="65"/>
      <c r="FM142" s="65"/>
      <c r="FN142" s="65"/>
      <c r="FO142" s="65"/>
      <c r="FP142" s="65"/>
      <c r="FQ142" s="65"/>
      <c r="FR142" s="65"/>
      <c r="FS142" s="65"/>
      <c r="FT142" s="65"/>
      <c r="FU142" s="65"/>
      <c r="FV142" s="65"/>
      <c r="FW142" s="65"/>
      <c r="FX142" s="65"/>
      <c r="FY142" s="65"/>
      <c r="FZ142" s="65"/>
      <c r="GA142" s="65"/>
      <c r="GB142" s="65"/>
      <c r="GC142" s="65"/>
      <c r="GD142" s="65"/>
      <c r="GE142" s="65"/>
      <c r="GF142" s="65"/>
      <c r="GG142" s="65"/>
      <c r="GH142" s="65"/>
      <c r="GI142" s="65"/>
      <c r="GJ142" s="65"/>
      <c r="GK142" s="65"/>
      <c r="GL142" s="65"/>
      <c r="GM142" s="65"/>
      <c r="GN142" s="65"/>
      <c r="GO142" s="65"/>
      <c r="GP142" s="65"/>
      <c r="GQ142" s="65"/>
      <c r="GR142" s="65"/>
      <c r="GS142" s="65"/>
      <c r="GT142" s="65"/>
      <c r="GU142" s="65"/>
      <c r="GV142" s="65"/>
      <c r="GW142" s="65"/>
      <c r="GX142" s="65"/>
      <c r="GY142" s="65"/>
      <c r="GZ142" s="65"/>
      <c r="HA142" s="65"/>
      <c r="HB142" s="65"/>
      <c r="HC142" s="65"/>
      <c r="HD142" s="65"/>
      <c r="HE142" s="65"/>
      <c r="HF142" s="65"/>
      <c r="HG142" s="65"/>
      <c r="HH142" s="65"/>
      <c r="HI142" s="65"/>
      <c r="HJ142" s="65"/>
      <c r="HK142" s="65"/>
      <c r="HL142" s="65"/>
      <c r="HM142" s="65"/>
      <c r="HN142" s="65"/>
      <c r="HO142" s="65"/>
      <c r="HP142" s="65"/>
      <c r="HQ142" s="65"/>
      <c r="HR142" s="65"/>
      <c r="HS142" s="65"/>
      <c r="HT142" s="65"/>
      <c r="HU142" s="65"/>
      <c r="HV142" s="65"/>
      <c r="HW142" s="65"/>
      <c r="HX142" s="65"/>
      <c r="HY142" s="65"/>
      <c r="HZ142" s="65"/>
      <c r="IA142" s="65"/>
      <c r="IB142" s="65"/>
      <c r="IC142" s="65"/>
    </row>
    <row r="143" spans="1:237" ht="25.5" x14ac:dyDescent="0.2">
      <c r="A143" s="66" t="s">
        <v>79</v>
      </c>
      <c r="B143" s="378" t="s">
        <v>955</v>
      </c>
      <c r="C143" s="53" t="s">
        <v>954</v>
      </c>
      <c r="D143" s="741"/>
      <c r="E143" s="55"/>
      <c r="F143" s="55"/>
      <c r="G143" s="55"/>
      <c r="H143" s="55"/>
      <c r="I143" s="55"/>
      <c r="J143" s="55"/>
      <c r="K143" s="55"/>
      <c r="L143" s="55"/>
      <c r="M143" s="55"/>
      <c r="N143" s="55"/>
      <c r="O143" s="55"/>
      <c r="P143" s="55"/>
      <c r="Q143" s="55"/>
      <c r="R143" s="55"/>
      <c r="S143" s="55"/>
      <c r="T143" s="55"/>
      <c r="U143" s="55"/>
      <c r="V143" s="55"/>
      <c r="W143" s="55"/>
      <c r="X143" s="55"/>
      <c r="Y143" s="55"/>
      <c r="Z143" s="55"/>
      <c r="AA143" s="55"/>
      <c r="AB143" s="55"/>
      <c r="AC143" s="55"/>
      <c r="AD143" s="55"/>
      <c r="AE143" s="55"/>
      <c r="AF143" s="55"/>
      <c r="AG143" s="55"/>
      <c r="AH143" s="55"/>
      <c r="AI143" s="55"/>
      <c r="AJ143" s="55"/>
      <c r="AK143" s="55"/>
      <c r="AL143" s="55"/>
      <c r="AM143" s="55"/>
      <c r="AN143" s="55"/>
      <c r="AO143" s="55"/>
      <c r="AP143" s="55"/>
      <c r="AQ143" s="55"/>
      <c r="AR143" s="55"/>
      <c r="AS143" s="55"/>
      <c r="AT143" s="55"/>
      <c r="AU143" s="55"/>
      <c r="AV143" s="55"/>
      <c r="AW143" s="55"/>
      <c r="AX143" s="55"/>
      <c r="AY143" s="55"/>
      <c r="AZ143" s="55"/>
      <c r="BA143" s="55"/>
      <c r="BB143" s="55"/>
      <c r="BC143" s="55"/>
      <c r="BD143" s="55"/>
      <c r="BE143" s="55"/>
      <c r="BF143" s="55"/>
      <c r="BG143" s="55"/>
      <c r="BH143" s="55"/>
      <c r="BI143" s="55"/>
      <c r="BJ143" s="55"/>
      <c r="BK143" s="55"/>
      <c r="BL143" s="55"/>
      <c r="BM143" s="55"/>
      <c r="BN143" s="55"/>
      <c r="BO143" s="55"/>
      <c r="BP143" s="55"/>
      <c r="BQ143" s="55"/>
      <c r="BR143" s="55"/>
      <c r="BS143" s="55"/>
      <c r="BT143" s="55"/>
      <c r="BU143" s="55"/>
      <c r="BV143" s="55"/>
      <c r="BW143" s="55"/>
      <c r="BX143" s="55"/>
      <c r="BY143" s="55"/>
      <c r="BZ143" s="55"/>
      <c r="CA143" s="55"/>
      <c r="CB143" s="55"/>
      <c r="CC143" s="55"/>
      <c r="CD143" s="55"/>
      <c r="CE143" s="55"/>
      <c r="CF143" s="55"/>
      <c r="CG143" s="55"/>
      <c r="CH143" s="55"/>
      <c r="CI143" s="55"/>
      <c r="CJ143" s="55"/>
      <c r="CK143" s="55"/>
      <c r="CL143" s="55"/>
      <c r="CM143" s="55"/>
      <c r="CN143" s="55"/>
      <c r="CO143" s="55"/>
      <c r="CP143" s="55"/>
      <c r="CQ143" s="55"/>
      <c r="CR143" s="55"/>
      <c r="CS143" s="55"/>
      <c r="CT143" s="55"/>
      <c r="CU143" s="55"/>
      <c r="CV143" s="55"/>
      <c r="CW143" s="55"/>
      <c r="CX143" s="55"/>
      <c r="CY143" s="55"/>
      <c r="CZ143" s="55"/>
      <c r="DA143" s="55"/>
      <c r="DB143" s="55"/>
      <c r="DC143" s="55"/>
      <c r="DD143" s="55"/>
      <c r="DE143" s="55"/>
      <c r="DF143" s="55"/>
      <c r="DG143" s="55"/>
      <c r="DH143" s="55"/>
      <c r="DI143" s="55"/>
      <c r="DJ143" s="55"/>
      <c r="DK143" s="55"/>
      <c r="DL143" s="55"/>
      <c r="DM143" s="55"/>
      <c r="DN143" s="55"/>
      <c r="DO143" s="55"/>
      <c r="DP143" s="55"/>
      <c r="DQ143" s="55"/>
      <c r="DR143" s="55"/>
      <c r="DS143" s="55"/>
      <c r="DT143" s="55"/>
      <c r="DU143" s="55"/>
      <c r="DV143" s="55"/>
      <c r="DW143" s="55"/>
      <c r="DX143" s="55"/>
      <c r="DY143" s="55"/>
      <c r="DZ143" s="55"/>
      <c r="EA143" s="55"/>
      <c r="EB143" s="55"/>
      <c r="EC143" s="55"/>
      <c r="ED143" s="55"/>
      <c r="EE143" s="55"/>
      <c r="EF143" s="55"/>
      <c r="EG143" s="55"/>
      <c r="EH143" s="55"/>
      <c r="EI143" s="55"/>
      <c r="EJ143" s="55"/>
      <c r="EK143" s="55"/>
      <c r="EL143" s="55"/>
      <c r="EM143" s="55"/>
      <c r="EN143" s="55"/>
      <c r="EO143" s="55"/>
      <c r="EP143" s="55"/>
      <c r="EQ143" s="55"/>
      <c r="ER143" s="55"/>
      <c r="ES143" s="55"/>
      <c r="ET143" s="55"/>
      <c r="EU143" s="55"/>
      <c r="EV143" s="55"/>
      <c r="EW143" s="55"/>
      <c r="EX143" s="55"/>
      <c r="EY143" s="55"/>
      <c r="EZ143" s="55"/>
      <c r="FA143" s="55"/>
      <c r="FB143" s="55"/>
      <c r="FC143" s="55"/>
      <c r="FD143" s="55"/>
      <c r="FE143" s="55"/>
      <c r="FF143" s="55"/>
      <c r="FG143" s="55"/>
      <c r="FH143" s="55"/>
      <c r="FI143" s="55"/>
      <c r="FJ143" s="55"/>
      <c r="FK143" s="55"/>
      <c r="FL143" s="55"/>
      <c r="FM143" s="55"/>
      <c r="FN143" s="55"/>
      <c r="FO143" s="55"/>
      <c r="FP143" s="55"/>
      <c r="FQ143" s="55"/>
      <c r="FR143" s="55"/>
      <c r="FS143" s="55"/>
      <c r="FT143" s="55"/>
      <c r="FU143" s="55"/>
      <c r="FV143" s="55"/>
      <c r="FW143" s="55"/>
      <c r="FX143" s="55"/>
      <c r="FY143" s="55"/>
      <c r="FZ143" s="55"/>
      <c r="GA143" s="55"/>
      <c r="GB143" s="55"/>
      <c r="GC143" s="55"/>
      <c r="GD143" s="55"/>
      <c r="GE143" s="55"/>
      <c r="GF143" s="55"/>
      <c r="GG143" s="55"/>
      <c r="GH143" s="55"/>
      <c r="GI143" s="55"/>
      <c r="GJ143" s="55"/>
      <c r="GK143" s="55"/>
      <c r="GL143" s="55"/>
      <c r="GM143" s="55"/>
      <c r="GN143" s="55"/>
      <c r="GO143" s="55"/>
      <c r="GP143" s="55"/>
      <c r="GQ143" s="55"/>
      <c r="GR143" s="55"/>
      <c r="GS143" s="55"/>
      <c r="GT143" s="55"/>
      <c r="GU143" s="55"/>
      <c r="GV143" s="55"/>
      <c r="GW143" s="55"/>
      <c r="GX143" s="55"/>
      <c r="GY143" s="55"/>
      <c r="GZ143" s="55"/>
      <c r="HA143" s="55"/>
      <c r="HB143" s="55"/>
      <c r="HC143" s="55"/>
      <c r="HD143" s="55"/>
      <c r="HE143" s="55"/>
      <c r="HF143" s="55"/>
      <c r="HG143" s="55"/>
      <c r="HH143" s="55"/>
      <c r="HI143" s="55"/>
      <c r="HJ143" s="55"/>
      <c r="HK143" s="55"/>
      <c r="HL143" s="55"/>
      <c r="HM143" s="55"/>
      <c r="HN143" s="55"/>
      <c r="HO143" s="55"/>
      <c r="HP143" s="55"/>
      <c r="HQ143" s="55"/>
      <c r="HR143" s="55"/>
      <c r="HS143" s="55"/>
      <c r="HT143" s="55"/>
      <c r="HU143" s="55"/>
      <c r="HV143" s="55"/>
      <c r="HW143" s="55"/>
      <c r="HX143" s="55"/>
      <c r="HY143" s="55"/>
      <c r="HZ143" s="55"/>
      <c r="IA143" s="55"/>
      <c r="IB143" s="55"/>
    </row>
    <row r="144" spans="1:237" ht="25.5" x14ac:dyDescent="0.2">
      <c r="A144" s="70" t="s">
        <v>33</v>
      </c>
      <c r="B144" s="46" t="s">
        <v>1070</v>
      </c>
      <c r="C144" s="45" t="s">
        <v>952</v>
      </c>
      <c r="D144" s="741"/>
      <c r="E144" s="55"/>
      <c r="F144" s="55"/>
      <c r="G144" s="55"/>
      <c r="H144" s="55"/>
      <c r="I144" s="55"/>
      <c r="J144" s="55"/>
      <c r="K144" s="55"/>
      <c r="L144" s="55"/>
      <c r="M144" s="55"/>
      <c r="N144" s="55"/>
      <c r="O144" s="55"/>
      <c r="P144" s="55"/>
      <c r="Q144" s="55"/>
      <c r="R144" s="55"/>
      <c r="S144" s="55"/>
      <c r="T144" s="55"/>
      <c r="U144" s="55"/>
      <c r="V144" s="55"/>
      <c r="W144" s="55"/>
      <c r="X144" s="55"/>
      <c r="Y144" s="55"/>
      <c r="Z144" s="55"/>
      <c r="AA144" s="55"/>
      <c r="AB144" s="55"/>
      <c r="AC144" s="55"/>
      <c r="AD144" s="55"/>
      <c r="AE144" s="55"/>
      <c r="AF144" s="55"/>
      <c r="AG144" s="55"/>
      <c r="AH144" s="55"/>
      <c r="AI144" s="55"/>
      <c r="AJ144" s="55"/>
      <c r="AK144" s="55"/>
      <c r="AL144" s="55"/>
      <c r="AM144" s="55"/>
      <c r="AN144" s="55"/>
      <c r="AO144" s="55"/>
      <c r="AP144" s="55"/>
      <c r="AQ144" s="55"/>
      <c r="AR144" s="55"/>
      <c r="AS144" s="55"/>
      <c r="AT144" s="55"/>
      <c r="AU144" s="55"/>
      <c r="AV144" s="55"/>
      <c r="AW144" s="55"/>
      <c r="AX144" s="55"/>
      <c r="AY144" s="55"/>
      <c r="AZ144" s="55"/>
      <c r="BA144" s="55"/>
      <c r="BB144" s="55"/>
      <c r="BC144" s="55"/>
      <c r="BD144" s="55"/>
      <c r="BE144" s="55"/>
      <c r="BF144" s="55"/>
      <c r="BG144" s="55"/>
      <c r="BH144" s="55"/>
      <c r="BI144" s="55"/>
      <c r="BJ144" s="55"/>
      <c r="BK144" s="55"/>
      <c r="BL144" s="55"/>
      <c r="BM144" s="55"/>
      <c r="BN144" s="55"/>
      <c r="BO144" s="55"/>
      <c r="BP144" s="55"/>
      <c r="BQ144" s="55"/>
      <c r="BR144" s="55"/>
      <c r="BS144" s="55"/>
      <c r="BT144" s="55"/>
      <c r="BU144" s="55"/>
      <c r="BV144" s="55"/>
      <c r="BW144" s="55"/>
      <c r="BX144" s="55"/>
      <c r="BY144" s="55"/>
      <c r="BZ144" s="55"/>
      <c r="CA144" s="55"/>
      <c r="CB144" s="55"/>
      <c r="CC144" s="55"/>
      <c r="CD144" s="55"/>
      <c r="CE144" s="55"/>
      <c r="CF144" s="55"/>
      <c r="CG144" s="55"/>
      <c r="CH144" s="55"/>
      <c r="CI144" s="55"/>
      <c r="CJ144" s="55"/>
      <c r="CK144" s="55"/>
      <c r="CL144" s="55"/>
      <c r="CM144" s="55"/>
      <c r="CN144" s="55"/>
      <c r="CO144" s="55"/>
      <c r="CP144" s="55"/>
      <c r="CQ144" s="55"/>
      <c r="CR144" s="55"/>
      <c r="CS144" s="55"/>
      <c r="CT144" s="55"/>
      <c r="CU144" s="55"/>
      <c r="CV144" s="55"/>
      <c r="CW144" s="55"/>
      <c r="CX144" s="55"/>
      <c r="CY144" s="55"/>
      <c r="CZ144" s="55"/>
      <c r="DA144" s="55"/>
      <c r="DB144" s="55"/>
      <c r="DC144" s="55"/>
      <c r="DD144" s="55"/>
      <c r="DE144" s="55"/>
      <c r="DF144" s="55"/>
      <c r="DG144" s="55"/>
      <c r="DH144" s="55"/>
      <c r="DI144" s="55"/>
      <c r="DJ144" s="55"/>
      <c r="DK144" s="55"/>
      <c r="DL144" s="55"/>
      <c r="DM144" s="55"/>
      <c r="DN144" s="55"/>
      <c r="DO144" s="55"/>
      <c r="DP144" s="55"/>
      <c r="DQ144" s="55"/>
      <c r="DR144" s="55"/>
      <c r="DS144" s="55"/>
      <c r="DT144" s="55"/>
      <c r="DU144" s="55"/>
      <c r="DV144" s="55"/>
      <c r="DW144" s="55"/>
      <c r="DX144" s="55"/>
      <c r="DY144" s="55"/>
      <c r="DZ144" s="55"/>
      <c r="EA144" s="55"/>
      <c r="EB144" s="55"/>
      <c r="EC144" s="55"/>
      <c r="ED144" s="55"/>
      <c r="EE144" s="55"/>
      <c r="EF144" s="55"/>
      <c r="EG144" s="55"/>
      <c r="EH144" s="55"/>
      <c r="EI144" s="55"/>
      <c r="EJ144" s="55"/>
      <c r="EK144" s="55"/>
      <c r="EL144" s="55"/>
      <c r="EM144" s="55"/>
      <c r="EN144" s="55"/>
      <c r="EO144" s="55"/>
      <c r="EP144" s="55"/>
      <c r="EQ144" s="55"/>
      <c r="ER144" s="55"/>
      <c r="ES144" s="55"/>
      <c r="ET144" s="55"/>
      <c r="EU144" s="55"/>
      <c r="EV144" s="55"/>
      <c r="EW144" s="55"/>
      <c r="EX144" s="55"/>
      <c r="EY144" s="55"/>
      <c r="EZ144" s="55"/>
      <c r="FA144" s="55"/>
      <c r="FB144" s="55"/>
      <c r="FC144" s="55"/>
      <c r="FD144" s="55"/>
      <c r="FE144" s="55"/>
      <c r="FF144" s="55"/>
      <c r="FG144" s="55"/>
      <c r="FH144" s="55"/>
      <c r="FI144" s="55"/>
      <c r="FJ144" s="55"/>
      <c r="FK144" s="55"/>
      <c r="FL144" s="55"/>
      <c r="FM144" s="55"/>
      <c r="FN144" s="55"/>
      <c r="FO144" s="55"/>
      <c r="FP144" s="55"/>
      <c r="FQ144" s="55"/>
      <c r="FR144" s="55"/>
      <c r="FS144" s="55"/>
      <c r="FT144" s="55"/>
      <c r="FU144" s="55"/>
      <c r="FV144" s="55"/>
      <c r="FW144" s="55"/>
      <c r="FX144" s="55"/>
      <c r="FY144" s="55"/>
      <c r="FZ144" s="55"/>
      <c r="GA144" s="55"/>
      <c r="GB144" s="55"/>
      <c r="GC144" s="55"/>
      <c r="GD144" s="55"/>
      <c r="GE144" s="55"/>
      <c r="GF144" s="55"/>
      <c r="GG144" s="55"/>
      <c r="GH144" s="55"/>
      <c r="GI144" s="55"/>
      <c r="GJ144" s="55"/>
      <c r="GK144" s="55"/>
      <c r="GL144" s="55"/>
      <c r="GM144" s="55"/>
      <c r="GN144" s="55"/>
      <c r="GO144" s="55"/>
      <c r="GP144" s="55"/>
      <c r="GQ144" s="55"/>
      <c r="GR144" s="55"/>
      <c r="GS144" s="55"/>
      <c r="GT144" s="55"/>
      <c r="GU144" s="55"/>
      <c r="GV144" s="55"/>
      <c r="GW144" s="55"/>
      <c r="GX144" s="55"/>
      <c r="GY144" s="55"/>
      <c r="GZ144" s="55"/>
      <c r="HA144" s="55"/>
      <c r="HB144" s="55"/>
      <c r="HC144" s="55"/>
      <c r="HD144" s="55"/>
      <c r="HE144" s="55"/>
      <c r="HF144" s="55"/>
      <c r="HG144" s="55"/>
      <c r="HH144" s="55"/>
      <c r="HI144" s="55"/>
      <c r="HJ144" s="55"/>
      <c r="HK144" s="55"/>
      <c r="HL144" s="55"/>
      <c r="HM144" s="55"/>
      <c r="HN144" s="55"/>
      <c r="HO144" s="55"/>
      <c r="HP144" s="55"/>
      <c r="HQ144" s="55"/>
      <c r="HR144" s="55"/>
      <c r="HS144" s="55"/>
      <c r="HT144" s="55"/>
      <c r="HU144" s="55"/>
      <c r="HV144" s="55"/>
      <c r="HW144" s="55"/>
      <c r="HX144" s="55"/>
      <c r="HY144" s="55"/>
      <c r="HZ144" s="55"/>
      <c r="IA144" s="55"/>
      <c r="IB144" s="55"/>
    </row>
    <row r="145" spans="1:236" ht="15" customHeight="1" x14ac:dyDescent="0.2">
      <c r="A145" s="70" t="s">
        <v>34</v>
      </c>
      <c r="B145" s="46" t="s">
        <v>420</v>
      </c>
      <c r="C145" s="45" t="s">
        <v>195</v>
      </c>
      <c r="D145" s="741"/>
      <c r="E145" s="55"/>
      <c r="F145" s="55"/>
      <c r="G145" s="55"/>
      <c r="H145" s="55"/>
      <c r="I145" s="55"/>
      <c r="J145" s="55"/>
      <c r="K145" s="55"/>
      <c r="L145" s="55"/>
      <c r="M145" s="55"/>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c r="AL145" s="55"/>
      <c r="AM145" s="55"/>
      <c r="AN145" s="55"/>
      <c r="AO145" s="55"/>
      <c r="AP145" s="55"/>
      <c r="AQ145" s="55"/>
      <c r="AR145" s="55"/>
      <c r="AS145" s="55"/>
      <c r="AT145" s="55"/>
      <c r="AU145" s="55"/>
      <c r="AV145" s="55"/>
      <c r="AW145" s="55"/>
      <c r="AX145" s="55"/>
      <c r="AY145" s="55"/>
      <c r="AZ145" s="55"/>
      <c r="BA145" s="55"/>
      <c r="BB145" s="55"/>
      <c r="BC145" s="55"/>
      <c r="BD145" s="55"/>
      <c r="BE145" s="55"/>
      <c r="BF145" s="55"/>
      <c r="BG145" s="55"/>
      <c r="BH145" s="55"/>
      <c r="BI145" s="55"/>
      <c r="BJ145" s="55"/>
      <c r="BK145" s="55"/>
      <c r="BL145" s="55"/>
      <c r="BM145" s="55"/>
      <c r="BN145" s="55"/>
      <c r="BO145" s="55"/>
      <c r="BP145" s="55"/>
      <c r="BQ145" s="55"/>
      <c r="BR145" s="55"/>
      <c r="BS145" s="55"/>
      <c r="BT145" s="55"/>
      <c r="BU145" s="55"/>
      <c r="BV145" s="55"/>
      <c r="BW145" s="55"/>
      <c r="BX145" s="55"/>
      <c r="BY145" s="55"/>
      <c r="BZ145" s="55"/>
      <c r="CA145" s="55"/>
      <c r="CB145" s="55"/>
      <c r="CC145" s="55"/>
      <c r="CD145" s="55"/>
      <c r="CE145" s="55"/>
      <c r="CF145" s="55"/>
      <c r="CG145" s="55"/>
      <c r="CH145" s="55"/>
      <c r="CI145" s="55"/>
      <c r="CJ145" s="55"/>
      <c r="CK145" s="55"/>
      <c r="CL145" s="55"/>
      <c r="CM145" s="55"/>
      <c r="CN145" s="55"/>
      <c r="CO145" s="55"/>
      <c r="CP145" s="55"/>
      <c r="CQ145" s="55"/>
      <c r="CR145" s="55"/>
      <c r="CS145" s="55"/>
      <c r="CT145" s="55"/>
      <c r="CU145" s="55"/>
      <c r="CV145" s="55"/>
      <c r="CW145" s="55"/>
      <c r="CX145" s="55"/>
      <c r="CY145" s="55"/>
      <c r="CZ145" s="55"/>
      <c r="DA145" s="55"/>
      <c r="DB145" s="55"/>
      <c r="DC145" s="55"/>
      <c r="DD145" s="55"/>
      <c r="DE145" s="55"/>
      <c r="DF145" s="55"/>
      <c r="DG145" s="55"/>
      <c r="DH145" s="55"/>
      <c r="DI145" s="55"/>
      <c r="DJ145" s="55"/>
      <c r="DK145" s="55"/>
      <c r="DL145" s="55"/>
      <c r="DM145" s="55"/>
      <c r="DN145" s="55"/>
      <c r="DO145" s="55"/>
      <c r="DP145" s="55"/>
      <c r="DQ145" s="55"/>
      <c r="DR145" s="55"/>
      <c r="DS145" s="55"/>
      <c r="DT145" s="55"/>
      <c r="DU145" s="55"/>
      <c r="DV145" s="55"/>
      <c r="DW145" s="55"/>
      <c r="DX145" s="55"/>
      <c r="DY145" s="55"/>
      <c r="DZ145" s="55"/>
      <c r="EA145" s="55"/>
      <c r="EB145" s="55"/>
      <c r="EC145" s="55"/>
      <c r="ED145" s="55"/>
      <c r="EE145" s="55"/>
      <c r="EF145" s="55"/>
      <c r="EG145" s="55"/>
      <c r="EH145" s="55"/>
      <c r="EI145" s="55"/>
      <c r="EJ145" s="55"/>
      <c r="EK145" s="55"/>
      <c r="EL145" s="55"/>
      <c r="EM145" s="55"/>
      <c r="EN145" s="55"/>
      <c r="EO145" s="55"/>
      <c r="EP145" s="55"/>
      <c r="EQ145" s="55"/>
      <c r="ER145" s="55"/>
      <c r="ES145" s="55"/>
      <c r="ET145" s="55"/>
      <c r="EU145" s="55"/>
      <c r="EV145" s="55"/>
      <c r="EW145" s="55"/>
      <c r="EX145" s="55"/>
      <c r="EY145" s="55"/>
      <c r="EZ145" s="55"/>
      <c r="FA145" s="55"/>
      <c r="FB145" s="55"/>
      <c r="FC145" s="55"/>
      <c r="FD145" s="55"/>
      <c r="FE145" s="55"/>
      <c r="FF145" s="55"/>
      <c r="FG145" s="55"/>
      <c r="FH145" s="55"/>
      <c r="FI145" s="55"/>
      <c r="FJ145" s="55"/>
      <c r="FK145" s="55"/>
      <c r="FL145" s="55"/>
      <c r="FM145" s="55"/>
      <c r="FN145" s="55"/>
      <c r="FO145" s="55"/>
      <c r="FP145" s="55"/>
      <c r="FQ145" s="55"/>
      <c r="FR145" s="55"/>
      <c r="FS145" s="55"/>
      <c r="FT145" s="55"/>
      <c r="FU145" s="55"/>
      <c r="FV145" s="55"/>
      <c r="FW145" s="55"/>
      <c r="FX145" s="55"/>
      <c r="FY145" s="55"/>
      <c r="FZ145" s="55"/>
      <c r="GA145" s="55"/>
      <c r="GB145" s="55"/>
      <c r="GC145" s="55"/>
      <c r="GD145" s="55"/>
      <c r="GE145" s="55"/>
      <c r="GF145" s="55"/>
      <c r="GG145" s="55"/>
      <c r="GH145" s="55"/>
      <c r="GI145" s="55"/>
      <c r="GJ145" s="55"/>
      <c r="GK145" s="55"/>
      <c r="GL145" s="55"/>
      <c r="GM145" s="55"/>
      <c r="GN145" s="55"/>
      <c r="GO145" s="55"/>
      <c r="GP145" s="55"/>
      <c r="GQ145" s="55"/>
      <c r="GR145" s="55"/>
      <c r="GS145" s="55"/>
      <c r="GT145" s="55"/>
      <c r="GU145" s="55"/>
      <c r="GV145" s="55"/>
      <c r="GW145" s="55"/>
      <c r="GX145" s="55"/>
      <c r="GY145" s="55"/>
      <c r="GZ145" s="55"/>
      <c r="HA145" s="55"/>
      <c r="HB145" s="55"/>
      <c r="HC145" s="55"/>
      <c r="HD145" s="55"/>
      <c r="HE145" s="55"/>
      <c r="HF145" s="55"/>
      <c r="HG145" s="55"/>
      <c r="HH145" s="55"/>
      <c r="HI145" s="55"/>
      <c r="HJ145" s="55"/>
      <c r="HK145" s="55"/>
      <c r="HL145" s="55"/>
      <c r="HM145" s="55"/>
      <c r="HN145" s="55"/>
      <c r="HO145" s="55"/>
      <c r="HP145" s="55"/>
      <c r="HQ145" s="55"/>
      <c r="HR145" s="55"/>
      <c r="HS145" s="55"/>
      <c r="HT145" s="55"/>
      <c r="HU145" s="55"/>
      <c r="HV145" s="55"/>
      <c r="HW145" s="55"/>
      <c r="HX145" s="55"/>
      <c r="HY145" s="55"/>
      <c r="HZ145" s="55"/>
      <c r="IA145" s="55"/>
      <c r="IB145" s="55"/>
    </row>
    <row r="146" spans="1:236" ht="15" customHeight="1" x14ac:dyDescent="0.2">
      <c r="A146" s="70" t="s">
        <v>35</v>
      </c>
      <c r="B146" s="46" t="s">
        <v>421</v>
      </c>
      <c r="C146" s="45" t="s">
        <v>194</v>
      </c>
      <c r="D146" s="741"/>
      <c r="E146" s="55"/>
      <c r="F146" s="55"/>
      <c r="G146" s="55"/>
      <c r="H146" s="55"/>
      <c r="I146" s="55"/>
      <c r="J146" s="55"/>
      <c r="K146" s="55"/>
      <c r="L146" s="55"/>
      <c r="M146" s="55"/>
      <c r="N146" s="55"/>
      <c r="O146" s="55"/>
      <c r="P146" s="55"/>
      <c r="Q146" s="55"/>
      <c r="R146" s="55"/>
      <c r="S146" s="55"/>
      <c r="T146" s="55"/>
      <c r="U146" s="55"/>
      <c r="V146" s="55"/>
      <c r="W146" s="55"/>
      <c r="X146" s="55"/>
      <c r="Y146" s="55"/>
      <c r="Z146" s="55"/>
      <c r="AA146" s="55"/>
      <c r="AB146" s="55"/>
      <c r="AC146" s="55"/>
      <c r="AD146" s="55"/>
      <c r="AE146" s="55"/>
      <c r="AF146" s="55"/>
      <c r="AG146" s="55"/>
      <c r="AH146" s="55"/>
      <c r="AI146" s="55"/>
      <c r="AJ146" s="55"/>
      <c r="AK146" s="55"/>
      <c r="AL146" s="55"/>
      <c r="AM146" s="55"/>
      <c r="AN146" s="55"/>
      <c r="AO146" s="55"/>
      <c r="AP146" s="55"/>
      <c r="AQ146" s="55"/>
      <c r="AR146" s="55"/>
      <c r="AS146" s="55"/>
      <c r="AT146" s="55"/>
      <c r="AU146" s="55"/>
      <c r="AV146" s="55"/>
      <c r="AW146" s="55"/>
      <c r="AX146" s="55"/>
      <c r="AY146" s="55"/>
      <c r="AZ146" s="55"/>
      <c r="BA146" s="55"/>
      <c r="BB146" s="55"/>
      <c r="BC146" s="55"/>
      <c r="BD146" s="55"/>
      <c r="BE146" s="55"/>
      <c r="BF146" s="55"/>
      <c r="BG146" s="55"/>
      <c r="BH146" s="55"/>
      <c r="BI146" s="55"/>
      <c r="BJ146" s="55"/>
      <c r="BK146" s="55"/>
      <c r="BL146" s="55"/>
      <c r="BM146" s="55"/>
      <c r="BN146" s="55"/>
      <c r="BO146" s="55"/>
      <c r="BP146" s="55"/>
      <c r="BQ146" s="55"/>
      <c r="BR146" s="55"/>
      <c r="BS146" s="55"/>
      <c r="BT146" s="55"/>
      <c r="BU146" s="55"/>
      <c r="BV146" s="55"/>
      <c r="BW146" s="55"/>
      <c r="BX146" s="55"/>
      <c r="BY146" s="55"/>
      <c r="BZ146" s="55"/>
      <c r="CA146" s="55"/>
      <c r="CB146" s="55"/>
      <c r="CC146" s="55"/>
      <c r="CD146" s="55"/>
      <c r="CE146" s="55"/>
      <c r="CF146" s="55"/>
      <c r="CG146" s="55"/>
      <c r="CH146" s="55"/>
      <c r="CI146" s="55"/>
      <c r="CJ146" s="55"/>
      <c r="CK146" s="55"/>
      <c r="CL146" s="55"/>
      <c r="CM146" s="55"/>
      <c r="CN146" s="55"/>
      <c r="CO146" s="55"/>
      <c r="CP146" s="55"/>
      <c r="CQ146" s="55"/>
      <c r="CR146" s="55"/>
      <c r="CS146" s="55"/>
      <c r="CT146" s="55"/>
      <c r="CU146" s="55"/>
      <c r="CV146" s="55"/>
      <c r="CW146" s="55"/>
      <c r="CX146" s="55"/>
      <c r="CY146" s="55"/>
      <c r="CZ146" s="55"/>
      <c r="DA146" s="55"/>
      <c r="DB146" s="55"/>
      <c r="DC146" s="55"/>
      <c r="DD146" s="55"/>
      <c r="DE146" s="55"/>
      <c r="DF146" s="55"/>
      <c r="DG146" s="55"/>
      <c r="DH146" s="55"/>
      <c r="DI146" s="55"/>
      <c r="DJ146" s="55"/>
      <c r="DK146" s="55"/>
      <c r="DL146" s="55"/>
      <c r="DM146" s="55"/>
      <c r="DN146" s="55"/>
      <c r="DO146" s="55"/>
      <c r="DP146" s="55"/>
      <c r="DQ146" s="55"/>
      <c r="DR146" s="55"/>
      <c r="DS146" s="55"/>
      <c r="DT146" s="55"/>
      <c r="DU146" s="55"/>
      <c r="DV146" s="55"/>
      <c r="DW146" s="55"/>
      <c r="DX146" s="55"/>
      <c r="DY146" s="55"/>
      <c r="DZ146" s="55"/>
      <c r="EA146" s="55"/>
      <c r="EB146" s="55"/>
      <c r="EC146" s="55"/>
      <c r="ED146" s="55"/>
      <c r="EE146" s="55"/>
      <c r="EF146" s="55"/>
      <c r="EG146" s="55"/>
      <c r="EH146" s="55"/>
      <c r="EI146" s="55"/>
      <c r="EJ146" s="55"/>
      <c r="EK146" s="55"/>
      <c r="EL146" s="55"/>
      <c r="EM146" s="55"/>
      <c r="EN146" s="55"/>
      <c r="EO146" s="55"/>
      <c r="EP146" s="55"/>
      <c r="EQ146" s="55"/>
      <c r="ER146" s="55"/>
      <c r="ES146" s="55"/>
      <c r="ET146" s="55"/>
      <c r="EU146" s="55"/>
      <c r="EV146" s="55"/>
      <c r="EW146" s="55"/>
      <c r="EX146" s="55"/>
      <c r="EY146" s="55"/>
      <c r="EZ146" s="55"/>
      <c r="FA146" s="55"/>
      <c r="FB146" s="55"/>
      <c r="FC146" s="55"/>
      <c r="FD146" s="55"/>
      <c r="FE146" s="55"/>
      <c r="FF146" s="55"/>
      <c r="FG146" s="55"/>
      <c r="FH146" s="55"/>
      <c r="FI146" s="55"/>
      <c r="FJ146" s="55"/>
      <c r="FK146" s="55"/>
      <c r="FL146" s="55"/>
      <c r="FM146" s="55"/>
      <c r="FN146" s="55"/>
      <c r="FO146" s="55"/>
      <c r="FP146" s="55"/>
      <c r="FQ146" s="55"/>
      <c r="FR146" s="55"/>
      <c r="FS146" s="55"/>
      <c r="FT146" s="55"/>
      <c r="FU146" s="55"/>
      <c r="FV146" s="55"/>
      <c r="FW146" s="55"/>
      <c r="FX146" s="55"/>
      <c r="FY146" s="55"/>
      <c r="FZ146" s="55"/>
      <c r="GA146" s="55"/>
      <c r="GB146" s="55"/>
      <c r="GC146" s="55"/>
      <c r="GD146" s="55"/>
      <c r="GE146" s="55"/>
      <c r="GF146" s="55"/>
      <c r="GG146" s="55"/>
      <c r="GH146" s="55"/>
      <c r="GI146" s="55"/>
      <c r="GJ146" s="55"/>
      <c r="GK146" s="55"/>
      <c r="GL146" s="55"/>
      <c r="GM146" s="55"/>
      <c r="GN146" s="55"/>
      <c r="GO146" s="55"/>
      <c r="GP146" s="55"/>
      <c r="GQ146" s="55"/>
      <c r="GR146" s="55"/>
      <c r="GS146" s="55"/>
      <c r="GT146" s="55"/>
      <c r="GU146" s="55"/>
      <c r="GV146" s="55"/>
      <c r="GW146" s="55"/>
      <c r="GX146" s="55"/>
      <c r="GY146" s="55"/>
      <c r="GZ146" s="55"/>
      <c r="HA146" s="55"/>
      <c r="HB146" s="55"/>
      <c r="HC146" s="55"/>
      <c r="HD146" s="55"/>
      <c r="HE146" s="55"/>
      <c r="HF146" s="55"/>
      <c r="HG146" s="55"/>
      <c r="HH146" s="55"/>
      <c r="HI146" s="55"/>
      <c r="HJ146" s="55"/>
      <c r="HK146" s="55"/>
      <c r="HL146" s="55"/>
      <c r="HM146" s="55"/>
      <c r="HN146" s="55"/>
      <c r="HO146" s="55"/>
      <c r="HP146" s="55"/>
      <c r="HQ146" s="55"/>
      <c r="HR146" s="55"/>
      <c r="HS146" s="55"/>
      <c r="HT146" s="55"/>
      <c r="HU146" s="55"/>
      <c r="HV146" s="55"/>
      <c r="HW146" s="55"/>
      <c r="HX146" s="55"/>
      <c r="HY146" s="55"/>
      <c r="HZ146" s="55"/>
      <c r="IA146" s="55"/>
      <c r="IB146" s="55"/>
    </row>
    <row r="147" spans="1:236" ht="25.5" x14ac:dyDescent="0.2">
      <c r="A147" s="70" t="s">
        <v>80</v>
      </c>
      <c r="B147" s="46" t="s">
        <v>480</v>
      </c>
      <c r="C147" s="45" t="s">
        <v>193</v>
      </c>
      <c r="D147" s="741"/>
      <c r="E147" s="55"/>
      <c r="F147" s="55"/>
      <c r="G147" s="55"/>
      <c r="H147" s="55"/>
      <c r="I147" s="55"/>
      <c r="J147" s="55"/>
      <c r="K147" s="55"/>
      <c r="L147" s="55"/>
      <c r="M147" s="55"/>
      <c r="N147" s="55"/>
      <c r="O147" s="55"/>
      <c r="P147" s="55"/>
      <c r="Q147" s="55"/>
      <c r="R147" s="55"/>
      <c r="S147" s="55"/>
      <c r="T147" s="55"/>
      <c r="U147" s="55"/>
      <c r="V147" s="55"/>
      <c r="W147" s="55"/>
      <c r="X147" s="55"/>
      <c r="Y147" s="55"/>
      <c r="Z147" s="55"/>
      <c r="AA147" s="55"/>
      <c r="AB147" s="55"/>
      <c r="AC147" s="55"/>
      <c r="AD147" s="55"/>
      <c r="AE147" s="55"/>
      <c r="AF147" s="55"/>
      <c r="AG147" s="55"/>
      <c r="AH147" s="55"/>
      <c r="AI147" s="55"/>
      <c r="AJ147" s="55"/>
      <c r="AK147" s="55"/>
      <c r="AL147" s="55"/>
      <c r="AM147" s="55"/>
      <c r="AN147" s="55"/>
      <c r="AO147" s="55"/>
      <c r="AP147" s="55"/>
      <c r="AQ147" s="55"/>
      <c r="AR147" s="55"/>
      <c r="AS147" s="55"/>
      <c r="AT147" s="55"/>
      <c r="AU147" s="55"/>
      <c r="AV147" s="55"/>
      <c r="AW147" s="55"/>
      <c r="AX147" s="55"/>
      <c r="AY147" s="55"/>
      <c r="AZ147" s="55"/>
      <c r="BA147" s="55"/>
      <c r="BB147" s="55"/>
      <c r="BC147" s="55"/>
      <c r="BD147" s="55"/>
      <c r="BE147" s="55"/>
      <c r="BF147" s="55"/>
      <c r="BG147" s="55"/>
      <c r="BH147" s="55"/>
      <c r="BI147" s="55"/>
      <c r="BJ147" s="55"/>
      <c r="BK147" s="55"/>
      <c r="BL147" s="55"/>
      <c r="BM147" s="55"/>
      <c r="BN147" s="55"/>
      <c r="BO147" s="55"/>
      <c r="BP147" s="55"/>
      <c r="BQ147" s="55"/>
      <c r="BR147" s="55"/>
      <c r="BS147" s="55"/>
      <c r="BT147" s="55"/>
      <c r="BU147" s="55"/>
      <c r="BV147" s="55"/>
      <c r="BW147" s="55"/>
      <c r="BX147" s="55"/>
      <c r="BY147" s="55"/>
      <c r="BZ147" s="55"/>
      <c r="CA147" s="55"/>
      <c r="CB147" s="55"/>
      <c r="CC147" s="55"/>
      <c r="CD147" s="55"/>
      <c r="CE147" s="55"/>
      <c r="CF147" s="55"/>
      <c r="CG147" s="55"/>
      <c r="CH147" s="55"/>
      <c r="CI147" s="55"/>
      <c r="CJ147" s="55"/>
      <c r="CK147" s="55"/>
      <c r="CL147" s="55"/>
      <c r="CM147" s="55"/>
      <c r="CN147" s="55"/>
      <c r="CO147" s="55"/>
      <c r="CP147" s="55"/>
      <c r="CQ147" s="55"/>
      <c r="CR147" s="55"/>
      <c r="CS147" s="55"/>
      <c r="CT147" s="55"/>
      <c r="CU147" s="55"/>
      <c r="CV147" s="55"/>
      <c r="CW147" s="55"/>
      <c r="CX147" s="55"/>
      <c r="CY147" s="55"/>
      <c r="CZ147" s="55"/>
      <c r="DA147" s="55"/>
      <c r="DB147" s="55"/>
      <c r="DC147" s="55"/>
      <c r="DD147" s="55"/>
      <c r="DE147" s="55"/>
      <c r="DF147" s="55"/>
      <c r="DG147" s="55"/>
      <c r="DH147" s="55"/>
      <c r="DI147" s="55"/>
      <c r="DJ147" s="55"/>
      <c r="DK147" s="55"/>
      <c r="DL147" s="55"/>
      <c r="DM147" s="55"/>
      <c r="DN147" s="55"/>
      <c r="DO147" s="55"/>
      <c r="DP147" s="55"/>
      <c r="DQ147" s="55"/>
      <c r="DR147" s="55"/>
      <c r="DS147" s="55"/>
      <c r="DT147" s="55"/>
      <c r="DU147" s="55"/>
      <c r="DV147" s="55"/>
      <c r="DW147" s="55"/>
      <c r="DX147" s="55"/>
      <c r="DY147" s="55"/>
      <c r="DZ147" s="55"/>
      <c r="EA147" s="55"/>
      <c r="EB147" s="55"/>
      <c r="EC147" s="55"/>
      <c r="ED147" s="55"/>
      <c r="EE147" s="55"/>
      <c r="EF147" s="55"/>
      <c r="EG147" s="55"/>
      <c r="EH147" s="55"/>
      <c r="EI147" s="55"/>
      <c r="EJ147" s="55"/>
      <c r="EK147" s="55"/>
      <c r="EL147" s="55"/>
      <c r="EM147" s="55"/>
      <c r="EN147" s="55"/>
      <c r="EO147" s="55"/>
      <c r="EP147" s="55"/>
      <c r="EQ147" s="55"/>
      <c r="ER147" s="55"/>
      <c r="ES147" s="55"/>
      <c r="ET147" s="55"/>
      <c r="EU147" s="55"/>
      <c r="EV147" s="55"/>
      <c r="EW147" s="55"/>
      <c r="EX147" s="55"/>
      <c r="EY147" s="55"/>
      <c r="EZ147" s="55"/>
      <c r="FA147" s="55"/>
      <c r="FB147" s="55"/>
      <c r="FC147" s="55"/>
      <c r="FD147" s="55"/>
      <c r="FE147" s="55"/>
      <c r="FF147" s="55"/>
      <c r="FG147" s="55"/>
      <c r="FH147" s="55"/>
      <c r="FI147" s="55"/>
      <c r="FJ147" s="55"/>
      <c r="FK147" s="55"/>
      <c r="FL147" s="55"/>
      <c r="FM147" s="55"/>
      <c r="FN147" s="55"/>
      <c r="FO147" s="55"/>
      <c r="FP147" s="55"/>
      <c r="FQ147" s="55"/>
      <c r="FR147" s="55"/>
      <c r="FS147" s="55"/>
      <c r="FT147" s="55"/>
      <c r="FU147" s="55"/>
      <c r="FV147" s="55"/>
      <c r="FW147" s="55"/>
      <c r="FX147" s="55"/>
      <c r="FY147" s="55"/>
      <c r="FZ147" s="55"/>
      <c r="GA147" s="55"/>
      <c r="GB147" s="55"/>
      <c r="GC147" s="55"/>
      <c r="GD147" s="55"/>
      <c r="GE147" s="55"/>
      <c r="GF147" s="55"/>
      <c r="GG147" s="55"/>
      <c r="GH147" s="55"/>
      <c r="GI147" s="55"/>
      <c r="GJ147" s="55"/>
      <c r="GK147" s="55"/>
      <c r="GL147" s="55"/>
      <c r="GM147" s="55"/>
      <c r="GN147" s="55"/>
      <c r="GO147" s="55"/>
      <c r="GP147" s="55"/>
      <c r="GQ147" s="55"/>
      <c r="GR147" s="55"/>
      <c r="GS147" s="55"/>
      <c r="GT147" s="55"/>
      <c r="GU147" s="55"/>
      <c r="GV147" s="55"/>
      <c r="GW147" s="55"/>
      <c r="GX147" s="55"/>
      <c r="GY147" s="55"/>
      <c r="GZ147" s="55"/>
      <c r="HA147" s="55"/>
      <c r="HB147" s="55"/>
      <c r="HC147" s="55"/>
      <c r="HD147" s="55"/>
      <c r="HE147" s="55"/>
      <c r="HF147" s="55"/>
      <c r="HG147" s="55"/>
      <c r="HH147" s="55"/>
      <c r="HI147" s="55"/>
      <c r="HJ147" s="55"/>
      <c r="HK147" s="55"/>
      <c r="HL147" s="55"/>
      <c r="HM147" s="55"/>
      <c r="HN147" s="55"/>
      <c r="HO147" s="55"/>
      <c r="HP147" s="55"/>
      <c r="HQ147" s="55"/>
      <c r="HR147" s="55"/>
      <c r="HS147" s="55"/>
      <c r="HT147" s="55"/>
      <c r="HU147" s="55"/>
      <c r="HV147" s="55"/>
      <c r="HW147" s="55"/>
      <c r="HX147" s="55"/>
      <c r="HY147" s="55"/>
      <c r="HZ147" s="55"/>
      <c r="IA147" s="55"/>
      <c r="IB147" s="55"/>
    </row>
    <row r="148" spans="1:236" ht="15" customHeight="1" x14ac:dyDescent="0.2">
      <c r="A148" s="70" t="s">
        <v>28</v>
      </c>
      <c r="B148" s="46" t="s">
        <v>956</v>
      </c>
      <c r="C148" s="45" t="s">
        <v>194</v>
      </c>
      <c r="D148" s="741"/>
      <c r="E148" s="55"/>
      <c r="F148" s="55"/>
      <c r="G148" s="55"/>
      <c r="H148" s="55"/>
      <c r="I148" s="55"/>
      <c r="J148" s="55"/>
      <c r="K148" s="55"/>
      <c r="L148" s="55"/>
      <c r="M148" s="55"/>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c r="AL148" s="55"/>
      <c r="AM148" s="55"/>
      <c r="AN148" s="55"/>
      <c r="AO148" s="55"/>
      <c r="AP148" s="55"/>
      <c r="AQ148" s="55"/>
      <c r="AR148" s="55"/>
      <c r="AS148" s="55"/>
      <c r="AT148" s="55"/>
      <c r="AU148" s="55"/>
      <c r="AV148" s="55"/>
      <c r="AW148" s="55"/>
      <c r="AX148" s="55"/>
      <c r="AY148" s="55"/>
      <c r="AZ148" s="55"/>
      <c r="BA148" s="55"/>
      <c r="BB148" s="55"/>
      <c r="BC148" s="55"/>
      <c r="BD148" s="55"/>
      <c r="BE148" s="55"/>
      <c r="BF148" s="55"/>
      <c r="BG148" s="55"/>
      <c r="BH148" s="55"/>
      <c r="BI148" s="55"/>
      <c r="BJ148" s="55"/>
      <c r="BK148" s="55"/>
      <c r="BL148" s="55"/>
      <c r="BM148" s="55"/>
      <c r="BN148" s="55"/>
      <c r="BO148" s="55"/>
      <c r="BP148" s="55"/>
      <c r="BQ148" s="55"/>
      <c r="BR148" s="55"/>
      <c r="BS148" s="55"/>
      <c r="BT148" s="55"/>
      <c r="BU148" s="55"/>
      <c r="BV148" s="55"/>
      <c r="BW148" s="55"/>
      <c r="BX148" s="55"/>
      <c r="BY148" s="55"/>
      <c r="BZ148" s="55"/>
      <c r="CA148" s="55"/>
      <c r="CB148" s="55"/>
      <c r="CC148" s="55"/>
      <c r="CD148" s="55"/>
      <c r="CE148" s="55"/>
      <c r="CF148" s="55"/>
      <c r="CG148" s="55"/>
      <c r="CH148" s="55"/>
      <c r="CI148" s="55"/>
      <c r="CJ148" s="55"/>
      <c r="CK148" s="55"/>
      <c r="CL148" s="55"/>
      <c r="CM148" s="55"/>
      <c r="CN148" s="55"/>
      <c r="CO148" s="55"/>
      <c r="CP148" s="55"/>
      <c r="CQ148" s="55"/>
      <c r="CR148" s="55"/>
      <c r="CS148" s="55"/>
      <c r="CT148" s="55"/>
      <c r="CU148" s="55"/>
      <c r="CV148" s="55"/>
      <c r="CW148" s="55"/>
      <c r="CX148" s="55"/>
      <c r="CY148" s="55"/>
      <c r="CZ148" s="55"/>
      <c r="DA148" s="55"/>
      <c r="DB148" s="55"/>
      <c r="DC148" s="55"/>
      <c r="DD148" s="55"/>
      <c r="DE148" s="55"/>
      <c r="DF148" s="55"/>
      <c r="DG148" s="55"/>
      <c r="DH148" s="55"/>
      <c r="DI148" s="55"/>
      <c r="DJ148" s="55"/>
      <c r="DK148" s="55"/>
      <c r="DL148" s="55"/>
      <c r="DM148" s="55"/>
      <c r="DN148" s="55"/>
      <c r="DO148" s="55"/>
      <c r="DP148" s="55"/>
      <c r="DQ148" s="55"/>
      <c r="DR148" s="55"/>
      <c r="DS148" s="55"/>
      <c r="DT148" s="55"/>
      <c r="DU148" s="55"/>
      <c r="DV148" s="55"/>
      <c r="DW148" s="55"/>
      <c r="DX148" s="55"/>
      <c r="DY148" s="55"/>
      <c r="DZ148" s="55"/>
      <c r="EA148" s="55"/>
      <c r="EB148" s="55"/>
      <c r="EC148" s="55"/>
      <c r="ED148" s="55"/>
      <c r="EE148" s="55"/>
      <c r="EF148" s="55"/>
      <c r="EG148" s="55"/>
      <c r="EH148" s="55"/>
      <c r="EI148" s="55"/>
      <c r="EJ148" s="55"/>
      <c r="EK148" s="55"/>
      <c r="EL148" s="55"/>
      <c r="EM148" s="55"/>
      <c r="EN148" s="55"/>
      <c r="EO148" s="55"/>
      <c r="EP148" s="55"/>
      <c r="EQ148" s="55"/>
      <c r="ER148" s="55"/>
      <c r="ES148" s="55"/>
      <c r="ET148" s="55"/>
      <c r="EU148" s="55"/>
      <c r="EV148" s="55"/>
      <c r="EW148" s="55"/>
      <c r="EX148" s="55"/>
      <c r="EY148" s="55"/>
      <c r="EZ148" s="55"/>
      <c r="FA148" s="55"/>
      <c r="FB148" s="55"/>
      <c r="FC148" s="55"/>
      <c r="FD148" s="55"/>
      <c r="FE148" s="55"/>
      <c r="FF148" s="55"/>
      <c r="FG148" s="55"/>
      <c r="FH148" s="55"/>
      <c r="FI148" s="55"/>
      <c r="FJ148" s="55"/>
      <c r="FK148" s="55"/>
      <c r="FL148" s="55"/>
      <c r="FM148" s="55"/>
      <c r="FN148" s="55"/>
      <c r="FO148" s="55"/>
      <c r="FP148" s="55"/>
      <c r="FQ148" s="55"/>
      <c r="FR148" s="55"/>
      <c r="FS148" s="55"/>
      <c r="FT148" s="55"/>
      <c r="FU148" s="55"/>
      <c r="FV148" s="55"/>
      <c r="FW148" s="55"/>
      <c r="FX148" s="55"/>
      <c r="FY148" s="55"/>
      <c r="FZ148" s="55"/>
      <c r="GA148" s="55"/>
      <c r="GB148" s="55"/>
      <c r="GC148" s="55"/>
      <c r="GD148" s="55"/>
      <c r="GE148" s="55"/>
      <c r="GF148" s="55"/>
      <c r="GG148" s="55"/>
      <c r="GH148" s="55"/>
      <c r="GI148" s="55"/>
      <c r="GJ148" s="55"/>
      <c r="GK148" s="55"/>
      <c r="GL148" s="55"/>
      <c r="GM148" s="55"/>
      <c r="GN148" s="55"/>
      <c r="GO148" s="55"/>
      <c r="GP148" s="55"/>
      <c r="GQ148" s="55"/>
      <c r="GR148" s="55"/>
      <c r="GS148" s="55"/>
      <c r="GT148" s="55"/>
      <c r="GU148" s="55"/>
      <c r="GV148" s="55"/>
      <c r="GW148" s="55"/>
      <c r="GX148" s="55"/>
      <c r="GY148" s="55"/>
      <c r="GZ148" s="55"/>
      <c r="HA148" s="55"/>
      <c r="HB148" s="55"/>
      <c r="HC148" s="55"/>
      <c r="HD148" s="55"/>
      <c r="HE148" s="55"/>
      <c r="HF148" s="55"/>
      <c r="HG148" s="55"/>
      <c r="HH148" s="55"/>
      <c r="HI148" s="55"/>
      <c r="HJ148" s="55"/>
      <c r="HK148" s="55"/>
      <c r="HL148" s="55"/>
      <c r="HM148" s="55"/>
      <c r="HN148" s="55"/>
      <c r="HO148" s="55"/>
      <c r="HP148" s="55"/>
      <c r="HQ148" s="55"/>
      <c r="HR148" s="55"/>
      <c r="HS148" s="55"/>
      <c r="HT148" s="55"/>
      <c r="HU148" s="55"/>
      <c r="HV148" s="55"/>
      <c r="HW148" s="55"/>
      <c r="HX148" s="55"/>
      <c r="HY148" s="55"/>
      <c r="HZ148" s="55"/>
      <c r="IA148" s="55"/>
      <c r="IB148" s="55"/>
    </row>
    <row r="149" spans="1:236" ht="15" customHeight="1" x14ac:dyDescent="0.2">
      <c r="A149" s="70" t="s">
        <v>81</v>
      </c>
      <c r="B149" s="46" t="s">
        <v>957</v>
      </c>
      <c r="C149" s="45" t="s">
        <v>195</v>
      </c>
      <c r="D149" s="741"/>
      <c r="E149" s="55"/>
      <c r="F149" s="55"/>
      <c r="G149" s="55"/>
      <c r="H149" s="55"/>
      <c r="I149" s="55"/>
      <c r="J149" s="55"/>
      <c r="K149" s="55"/>
      <c r="L149" s="55"/>
      <c r="M149" s="55"/>
      <c r="N149" s="55"/>
      <c r="O149" s="55"/>
      <c r="P149" s="55"/>
      <c r="Q149" s="55"/>
      <c r="R149" s="55"/>
      <c r="S149" s="55"/>
      <c r="T149" s="55"/>
      <c r="U149" s="55"/>
      <c r="V149" s="55"/>
      <c r="W149" s="55"/>
      <c r="X149" s="55"/>
      <c r="Y149" s="55"/>
      <c r="Z149" s="55"/>
      <c r="AA149" s="55"/>
      <c r="AB149" s="55"/>
      <c r="AC149" s="55"/>
      <c r="AD149" s="55"/>
      <c r="AE149" s="55"/>
      <c r="AF149" s="55"/>
      <c r="AG149" s="55"/>
      <c r="AH149" s="55"/>
      <c r="AI149" s="55"/>
      <c r="AJ149" s="55"/>
      <c r="AK149" s="55"/>
      <c r="AL149" s="55"/>
      <c r="AM149" s="55"/>
      <c r="AN149" s="55"/>
      <c r="AO149" s="55"/>
      <c r="AP149" s="55"/>
      <c r="AQ149" s="55"/>
      <c r="AR149" s="55"/>
      <c r="AS149" s="55"/>
      <c r="AT149" s="55"/>
      <c r="AU149" s="55"/>
      <c r="AV149" s="55"/>
      <c r="AW149" s="55"/>
      <c r="AX149" s="55"/>
      <c r="AY149" s="55"/>
      <c r="AZ149" s="55"/>
      <c r="BA149" s="55"/>
      <c r="BB149" s="55"/>
      <c r="BC149" s="55"/>
      <c r="BD149" s="55"/>
      <c r="BE149" s="55"/>
      <c r="BF149" s="55"/>
      <c r="BG149" s="55"/>
      <c r="BH149" s="55"/>
      <c r="BI149" s="55"/>
      <c r="BJ149" s="55"/>
      <c r="BK149" s="55"/>
      <c r="BL149" s="55"/>
      <c r="BM149" s="55"/>
      <c r="BN149" s="55"/>
      <c r="BO149" s="55"/>
      <c r="BP149" s="55"/>
      <c r="BQ149" s="55"/>
      <c r="BR149" s="55"/>
      <c r="BS149" s="55"/>
      <c r="BT149" s="55"/>
      <c r="BU149" s="55"/>
      <c r="BV149" s="55"/>
      <c r="BW149" s="55"/>
      <c r="BX149" s="55"/>
      <c r="BY149" s="55"/>
      <c r="BZ149" s="55"/>
      <c r="CA149" s="55"/>
      <c r="CB149" s="55"/>
      <c r="CC149" s="55"/>
      <c r="CD149" s="55"/>
      <c r="CE149" s="55"/>
      <c r="CF149" s="55"/>
      <c r="CG149" s="55"/>
      <c r="CH149" s="55"/>
      <c r="CI149" s="55"/>
      <c r="CJ149" s="55"/>
      <c r="CK149" s="55"/>
      <c r="CL149" s="55"/>
      <c r="CM149" s="55"/>
      <c r="CN149" s="55"/>
      <c r="CO149" s="55"/>
      <c r="CP149" s="55"/>
      <c r="CQ149" s="55"/>
      <c r="CR149" s="55"/>
      <c r="CS149" s="55"/>
      <c r="CT149" s="55"/>
      <c r="CU149" s="55"/>
      <c r="CV149" s="55"/>
      <c r="CW149" s="55"/>
      <c r="CX149" s="55"/>
      <c r="CY149" s="55"/>
      <c r="CZ149" s="55"/>
      <c r="DA149" s="55"/>
      <c r="DB149" s="55"/>
      <c r="DC149" s="55"/>
      <c r="DD149" s="55"/>
      <c r="DE149" s="55"/>
      <c r="DF149" s="55"/>
      <c r="DG149" s="55"/>
      <c r="DH149" s="55"/>
      <c r="DI149" s="55"/>
      <c r="DJ149" s="55"/>
      <c r="DK149" s="55"/>
      <c r="DL149" s="55"/>
      <c r="DM149" s="55"/>
      <c r="DN149" s="55"/>
      <c r="DO149" s="55"/>
      <c r="DP149" s="55"/>
      <c r="DQ149" s="55"/>
      <c r="DR149" s="55"/>
      <c r="DS149" s="55"/>
      <c r="DT149" s="55"/>
      <c r="DU149" s="55"/>
      <c r="DV149" s="55"/>
      <c r="DW149" s="55"/>
      <c r="DX149" s="55"/>
      <c r="DY149" s="55"/>
      <c r="DZ149" s="55"/>
      <c r="EA149" s="55"/>
      <c r="EB149" s="55"/>
      <c r="EC149" s="55"/>
      <c r="ED149" s="55"/>
      <c r="EE149" s="55"/>
      <c r="EF149" s="55"/>
      <c r="EG149" s="55"/>
      <c r="EH149" s="55"/>
      <c r="EI149" s="55"/>
      <c r="EJ149" s="55"/>
      <c r="EK149" s="55"/>
      <c r="EL149" s="55"/>
      <c r="EM149" s="55"/>
      <c r="EN149" s="55"/>
      <c r="EO149" s="55"/>
      <c r="EP149" s="55"/>
      <c r="EQ149" s="55"/>
      <c r="ER149" s="55"/>
      <c r="ES149" s="55"/>
      <c r="ET149" s="55"/>
      <c r="EU149" s="55"/>
      <c r="EV149" s="55"/>
      <c r="EW149" s="55"/>
      <c r="EX149" s="55"/>
      <c r="EY149" s="55"/>
      <c r="EZ149" s="55"/>
      <c r="FA149" s="55"/>
      <c r="FB149" s="55"/>
      <c r="FC149" s="55"/>
      <c r="FD149" s="55"/>
      <c r="FE149" s="55"/>
      <c r="FF149" s="55"/>
      <c r="FG149" s="55"/>
      <c r="FH149" s="55"/>
      <c r="FI149" s="55"/>
      <c r="FJ149" s="55"/>
      <c r="FK149" s="55"/>
      <c r="FL149" s="55"/>
      <c r="FM149" s="55"/>
      <c r="FN149" s="55"/>
      <c r="FO149" s="55"/>
      <c r="FP149" s="55"/>
      <c r="FQ149" s="55"/>
      <c r="FR149" s="55"/>
      <c r="FS149" s="55"/>
      <c r="FT149" s="55"/>
      <c r="FU149" s="55"/>
      <c r="FV149" s="55"/>
      <c r="FW149" s="55"/>
      <c r="FX149" s="55"/>
      <c r="FY149" s="55"/>
      <c r="FZ149" s="55"/>
      <c r="GA149" s="55"/>
      <c r="GB149" s="55"/>
      <c r="GC149" s="55"/>
      <c r="GD149" s="55"/>
      <c r="GE149" s="55"/>
      <c r="GF149" s="55"/>
      <c r="GG149" s="55"/>
      <c r="GH149" s="55"/>
      <c r="GI149" s="55"/>
      <c r="GJ149" s="55"/>
      <c r="GK149" s="55"/>
      <c r="GL149" s="55"/>
      <c r="GM149" s="55"/>
      <c r="GN149" s="55"/>
      <c r="GO149" s="55"/>
      <c r="GP149" s="55"/>
      <c r="GQ149" s="55"/>
      <c r="GR149" s="55"/>
      <c r="GS149" s="55"/>
      <c r="GT149" s="55"/>
      <c r="GU149" s="55"/>
      <c r="GV149" s="55"/>
      <c r="GW149" s="55"/>
      <c r="GX149" s="55"/>
      <c r="GY149" s="55"/>
      <c r="GZ149" s="55"/>
      <c r="HA149" s="55"/>
      <c r="HB149" s="55"/>
      <c r="HC149" s="55"/>
      <c r="HD149" s="55"/>
      <c r="HE149" s="55"/>
      <c r="HF149" s="55"/>
      <c r="HG149" s="55"/>
      <c r="HH149" s="55"/>
      <c r="HI149" s="55"/>
      <c r="HJ149" s="55"/>
      <c r="HK149" s="55"/>
      <c r="HL149" s="55"/>
      <c r="HM149" s="55"/>
      <c r="HN149" s="55"/>
      <c r="HO149" s="55"/>
      <c r="HP149" s="55"/>
      <c r="HQ149" s="55"/>
      <c r="HR149" s="55"/>
      <c r="HS149" s="55"/>
      <c r="HT149" s="55"/>
      <c r="HU149" s="55"/>
      <c r="HV149" s="55"/>
      <c r="HW149" s="55"/>
      <c r="HX149" s="55"/>
      <c r="HY149" s="55"/>
      <c r="HZ149" s="55"/>
      <c r="IA149" s="55"/>
      <c r="IB149" s="55"/>
    </row>
    <row r="150" spans="1:236" ht="15" customHeight="1" x14ac:dyDescent="0.2">
      <c r="A150" s="70" t="s">
        <v>82</v>
      </c>
      <c r="B150" s="44" t="s">
        <v>941</v>
      </c>
      <c r="C150" s="45" t="s">
        <v>195</v>
      </c>
      <c r="D150" s="741"/>
      <c r="E150" s="55"/>
      <c r="F150" s="55"/>
      <c r="G150" s="55"/>
      <c r="H150" s="55"/>
      <c r="I150" s="55"/>
      <c r="J150" s="55"/>
      <c r="K150" s="55"/>
      <c r="L150" s="55"/>
      <c r="M150" s="55"/>
      <c r="N150" s="55"/>
      <c r="O150" s="55"/>
      <c r="P150" s="55"/>
      <c r="Q150" s="55"/>
      <c r="R150" s="55"/>
      <c r="S150" s="55"/>
      <c r="T150" s="55"/>
      <c r="U150" s="55"/>
      <c r="V150" s="55"/>
      <c r="W150" s="55"/>
      <c r="X150" s="55"/>
      <c r="Y150" s="55"/>
      <c r="Z150" s="55"/>
      <c r="AA150" s="55"/>
      <c r="AB150" s="55"/>
      <c r="AC150" s="55"/>
      <c r="AD150" s="55"/>
      <c r="AE150" s="55"/>
      <c r="AF150" s="55"/>
      <c r="AG150" s="55"/>
      <c r="AH150" s="55"/>
      <c r="AI150" s="55"/>
      <c r="AJ150" s="55"/>
      <c r="AK150" s="55"/>
      <c r="AL150" s="55"/>
      <c r="AM150" s="55"/>
      <c r="AN150" s="55"/>
      <c r="AO150" s="55"/>
      <c r="AP150" s="55"/>
      <c r="AQ150" s="55"/>
      <c r="AR150" s="55"/>
      <c r="AS150" s="55"/>
      <c r="AT150" s="55"/>
      <c r="AU150" s="55"/>
      <c r="AV150" s="55"/>
      <c r="AW150" s="55"/>
      <c r="AX150" s="55"/>
      <c r="AY150" s="55"/>
      <c r="AZ150" s="55"/>
      <c r="BA150" s="55"/>
      <c r="BB150" s="55"/>
      <c r="BC150" s="55"/>
      <c r="BD150" s="55"/>
      <c r="BE150" s="55"/>
      <c r="BF150" s="55"/>
      <c r="BG150" s="55"/>
      <c r="BH150" s="55"/>
      <c r="BI150" s="55"/>
      <c r="BJ150" s="55"/>
      <c r="BK150" s="55"/>
      <c r="BL150" s="55"/>
      <c r="BM150" s="55"/>
      <c r="BN150" s="55"/>
      <c r="BO150" s="55"/>
      <c r="BP150" s="55"/>
      <c r="BQ150" s="55"/>
      <c r="BR150" s="55"/>
      <c r="BS150" s="55"/>
      <c r="BT150" s="55"/>
      <c r="BU150" s="55"/>
      <c r="BV150" s="55"/>
      <c r="BW150" s="55"/>
      <c r="BX150" s="55"/>
      <c r="BY150" s="55"/>
      <c r="BZ150" s="55"/>
      <c r="CA150" s="55"/>
      <c r="CB150" s="55"/>
      <c r="CC150" s="55"/>
      <c r="CD150" s="55"/>
      <c r="CE150" s="55"/>
      <c r="CF150" s="55"/>
      <c r="CG150" s="55"/>
      <c r="CH150" s="55"/>
      <c r="CI150" s="55"/>
      <c r="CJ150" s="55"/>
      <c r="CK150" s="55"/>
      <c r="CL150" s="55"/>
      <c r="CM150" s="55"/>
      <c r="CN150" s="55"/>
      <c r="CO150" s="55"/>
      <c r="CP150" s="55"/>
      <c r="CQ150" s="55"/>
      <c r="CR150" s="55"/>
      <c r="CS150" s="55"/>
      <c r="CT150" s="55"/>
      <c r="CU150" s="55"/>
      <c r="CV150" s="55"/>
      <c r="CW150" s="55"/>
      <c r="CX150" s="55"/>
      <c r="CY150" s="55"/>
      <c r="CZ150" s="55"/>
      <c r="DA150" s="55"/>
      <c r="DB150" s="55"/>
      <c r="DC150" s="55"/>
      <c r="DD150" s="55"/>
      <c r="DE150" s="55"/>
      <c r="DF150" s="55"/>
      <c r="DG150" s="55"/>
      <c r="DH150" s="55"/>
      <c r="DI150" s="55"/>
      <c r="DJ150" s="55"/>
      <c r="DK150" s="55"/>
      <c r="DL150" s="55"/>
      <c r="DM150" s="55"/>
      <c r="DN150" s="55"/>
      <c r="DO150" s="55"/>
      <c r="DP150" s="55"/>
      <c r="DQ150" s="55"/>
      <c r="DR150" s="55"/>
      <c r="DS150" s="55"/>
      <c r="DT150" s="55"/>
      <c r="DU150" s="55"/>
      <c r="DV150" s="55"/>
      <c r="DW150" s="55"/>
      <c r="DX150" s="55"/>
      <c r="DY150" s="55"/>
      <c r="DZ150" s="55"/>
      <c r="EA150" s="55"/>
      <c r="EB150" s="55"/>
      <c r="EC150" s="55"/>
      <c r="ED150" s="55"/>
      <c r="EE150" s="55"/>
      <c r="EF150" s="55"/>
      <c r="EG150" s="55"/>
      <c r="EH150" s="55"/>
      <c r="EI150" s="55"/>
      <c r="EJ150" s="55"/>
      <c r="EK150" s="55"/>
      <c r="EL150" s="55"/>
      <c r="EM150" s="55"/>
      <c r="EN150" s="55"/>
      <c r="EO150" s="55"/>
      <c r="EP150" s="55"/>
      <c r="EQ150" s="55"/>
      <c r="ER150" s="55"/>
      <c r="ES150" s="55"/>
      <c r="ET150" s="55"/>
      <c r="EU150" s="55"/>
      <c r="EV150" s="55"/>
      <c r="EW150" s="55"/>
      <c r="EX150" s="55"/>
      <c r="EY150" s="55"/>
      <c r="EZ150" s="55"/>
      <c r="FA150" s="55"/>
      <c r="FB150" s="55"/>
      <c r="FC150" s="55"/>
      <c r="FD150" s="55"/>
      <c r="FE150" s="55"/>
      <c r="FF150" s="55"/>
      <c r="FG150" s="55"/>
      <c r="FH150" s="55"/>
      <c r="FI150" s="55"/>
      <c r="FJ150" s="55"/>
      <c r="FK150" s="55"/>
      <c r="FL150" s="55"/>
      <c r="FM150" s="55"/>
      <c r="FN150" s="55"/>
      <c r="FO150" s="55"/>
      <c r="FP150" s="55"/>
      <c r="FQ150" s="55"/>
      <c r="FR150" s="55"/>
      <c r="FS150" s="55"/>
      <c r="FT150" s="55"/>
      <c r="FU150" s="55"/>
      <c r="FV150" s="55"/>
      <c r="FW150" s="55"/>
      <c r="FX150" s="55"/>
      <c r="FY150" s="55"/>
      <c r="FZ150" s="55"/>
      <c r="GA150" s="55"/>
      <c r="GB150" s="55"/>
      <c r="GC150" s="55"/>
      <c r="GD150" s="55"/>
      <c r="GE150" s="55"/>
      <c r="GF150" s="55"/>
      <c r="GG150" s="55"/>
      <c r="GH150" s="55"/>
      <c r="GI150" s="55"/>
      <c r="GJ150" s="55"/>
      <c r="GK150" s="55"/>
      <c r="GL150" s="55"/>
      <c r="GM150" s="55"/>
      <c r="GN150" s="55"/>
      <c r="GO150" s="55"/>
      <c r="GP150" s="55"/>
      <c r="GQ150" s="55"/>
      <c r="GR150" s="55"/>
      <c r="GS150" s="55"/>
      <c r="GT150" s="55"/>
      <c r="GU150" s="55"/>
      <c r="GV150" s="55"/>
      <c r="GW150" s="55"/>
      <c r="GX150" s="55"/>
      <c r="GY150" s="55"/>
      <c r="GZ150" s="55"/>
      <c r="HA150" s="55"/>
      <c r="HB150" s="55"/>
      <c r="HC150" s="55"/>
      <c r="HD150" s="55"/>
      <c r="HE150" s="55"/>
      <c r="HF150" s="55"/>
      <c r="HG150" s="55"/>
      <c r="HH150" s="55"/>
      <c r="HI150" s="55"/>
      <c r="HJ150" s="55"/>
      <c r="HK150" s="55"/>
      <c r="HL150" s="55"/>
      <c r="HM150" s="55"/>
      <c r="HN150" s="55"/>
      <c r="HO150" s="55"/>
      <c r="HP150" s="55"/>
      <c r="HQ150" s="55"/>
      <c r="HR150" s="55"/>
      <c r="HS150" s="55"/>
      <c r="HT150" s="55"/>
      <c r="HU150" s="55"/>
      <c r="HV150" s="55"/>
      <c r="HW150" s="55"/>
      <c r="HX150" s="55"/>
      <c r="HY150" s="55"/>
      <c r="HZ150" s="55"/>
      <c r="IA150" s="55"/>
      <c r="IB150" s="55"/>
    </row>
    <row r="151" spans="1:236" ht="15" customHeight="1" x14ac:dyDescent="0.2">
      <c r="A151" s="70" t="s">
        <v>29</v>
      </c>
      <c r="B151" s="44" t="s">
        <v>942</v>
      </c>
      <c r="C151" s="45" t="s">
        <v>194</v>
      </c>
      <c r="D151" s="741"/>
      <c r="E151" s="55"/>
      <c r="F151" s="55"/>
      <c r="G151" s="55"/>
      <c r="H151" s="55"/>
      <c r="I151" s="55"/>
      <c r="J151" s="55"/>
      <c r="K151" s="55"/>
      <c r="L151" s="55"/>
      <c r="M151" s="55"/>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c r="AL151" s="55"/>
      <c r="AM151" s="55"/>
      <c r="AN151" s="55"/>
      <c r="AO151" s="55"/>
      <c r="AP151" s="55"/>
      <c r="AQ151" s="55"/>
      <c r="AR151" s="55"/>
      <c r="AS151" s="55"/>
      <c r="AT151" s="55"/>
      <c r="AU151" s="55"/>
      <c r="AV151" s="55"/>
      <c r="AW151" s="55"/>
      <c r="AX151" s="55"/>
      <c r="AY151" s="55"/>
      <c r="AZ151" s="55"/>
      <c r="BA151" s="55"/>
      <c r="BB151" s="55"/>
      <c r="BC151" s="55"/>
      <c r="BD151" s="55"/>
      <c r="BE151" s="55"/>
      <c r="BF151" s="55"/>
      <c r="BG151" s="55"/>
      <c r="BH151" s="55"/>
      <c r="BI151" s="55"/>
      <c r="BJ151" s="55"/>
      <c r="BK151" s="55"/>
      <c r="BL151" s="55"/>
      <c r="BM151" s="55"/>
      <c r="BN151" s="55"/>
      <c r="BO151" s="55"/>
      <c r="BP151" s="55"/>
      <c r="BQ151" s="55"/>
      <c r="BR151" s="55"/>
      <c r="BS151" s="55"/>
      <c r="BT151" s="55"/>
      <c r="BU151" s="55"/>
      <c r="BV151" s="55"/>
      <c r="BW151" s="55"/>
      <c r="BX151" s="55"/>
      <c r="BY151" s="55"/>
      <c r="BZ151" s="55"/>
      <c r="CA151" s="55"/>
      <c r="CB151" s="55"/>
      <c r="CC151" s="55"/>
      <c r="CD151" s="55"/>
      <c r="CE151" s="55"/>
      <c r="CF151" s="55"/>
      <c r="CG151" s="55"/>
      <c r="CH151" s="55"/>
      <c r="CI151" s="55"/>
      <c r="CJ151" s="55"/>
      <c r="CK151" s="55"/>
      <c r="CL151" s="55"/>
      <c r="CM151" s="55"/>
      <c r="CN151" s="55"/>
      <c r="CO151" s="55"/>
      <c r="CP151" s="55"/>
      <c r="CQ151" s="55"/>
      <c r="CR151" s="55"/>
      <c r="CS151" s="55"/>
      <c r="CT151" s="55"/>
      <c r="CU151" s="55"/>
      <c r="CV151" s="55"/>
      <c r="CW151" s="55"/>
      <c r="CX151" s="55"/>
      <c r="CY151" s="55"/>
      <c r="CZ151" s="55"/>
      <c r="DA151" s="55"/>
      <c r="DB151" s="55"/>
      <c r="DC151" s="55"/>
      <c r="DD151" s="55"/>
      <c r="DE151" s="55"/>
      <c r="DF151" s="55"/>
      <c r="DG151" s="55"/>
      <c r="DH151" s="55"/>
      <c r="DI151" s="55"/>
      <c r="DJ151" s="55"/>
      <c r="DK151" s="55"/>
      <c r="DL151" s="55"/>
      <c r="DM151" s="55"/>
      <c r="DN151" s="55"/>
      <c r="DO151" s="55"/>
      <c r="DP151" s="55"/>
      <c r="DQ151" s="55"/>
      <c r="DR151" s="55"/>
      <c r="DS151" s="55"/>
      <c r="DT151" s="55"/>
      <c r="DU151" s="55"/>
      <c r="DV151" s="55"/>
      <c r="DW151" s="55"/>
      <c r="DX151" s="55"/>
      <c r="DY151" s="55"/>
      <c r="DZ151" s="55"/>
      <c r="EA151" s="55"/>
      <c r="EB151" s="55"/>
      <c r="EC151" s="55"/>
      <c r="ED151" s="55"/>
      <c r="EE151" s="55"/>
      <c r="EF151" s="55"/>
      <c r="EG151" s="55"/>
      <c r="EH151" s="55"/>
      <c r="EI151" s="55"/>
      <c r="EJ151" s="55"/>
      <c r="EK151" s="55"/>
      <c r="EL151" s="55"/>
      <c r="EM151" s="55"/>
      <c r="EN151" s="55"/>
      <c r="EO151" s="55"/>
      <c r="EP151" s="55"/>
      <c r="EQ151" s="55"/>
      <c r="ER151" s="55"/>
      <c r="ES151" s="55"/>
      <c r="ET151" s="55"/>
      <c r="EU151" s="55"/>
      <c r="EV151" s="55"/>
      <c r="EW151" s="55"/>
      <c r="EX151" s="55"/>
      <c r="EY151" s="55"/>
      <c r="EZ151" s="55"/>
      <c r="FA151" s="55"/>
      <c r="FB151" s="55"/>
      <c r="FC151" s="55"/>
      <c r="FD151" s="55"/>
      <c r="FE151" s="55"/>
      <c r="FF151" s="55"/>
      <c r="FG151" s="55"/>
      <c r="FH151" s="55"/>
      <c r="FI151" s="55"/>
      <c r="FJ151" s="55"/>
      <c r="FK151" s="55"/>
      <c r="FL151" s="55"/>
      <c r="FM151" s="55"/>
      <c r="FN151" s="55"/>
      <c r="FO151" s="55"/>
      <c r="FP151" s="55"/>
      <c r="FQ151" s="55"/>
      <c r="FR151" s="55"/>
      <c r="FS151" s="55"/>
      <c r="FT151" s="55"/>
      <c r="FU151" s="55"/>
      <c r="FV151" s="55"/>
      <c r="FW151" s="55"/>
      <c r="FX151" s="55"/>
      <c r="FY151" s="55"/>
      <c r="FZ151" s="55"/>
      <c r="GA151" s="55"/>
      <c r="GB151" s="55"/>
      <c r="GC151" s="55"/>
      <c r="GD151" s="55"/>
      <c r="GE151" s="55"/>
      <c r="GF151" s="55"/>
      <c r="GG151" s="55"/>
      <c r="GH151" s="55"/>
      <c r="GI151" s="55"/>
      <c r="GJ151" s="55"/>
      <c r="GK151" s="55"/>
      <c r="GL151" s="55"/>
      <c r="GM151" s="55"/>
      <c r="GN151" s="55"/>
      <c r="GO151" s="55"/>
      <c r="GP151" s="55"/>
      <c r="GQ151" s="55"/>
      <c r="GR151" s="55"/>
      <c r="GS151" s="55"/>
      <c r="GT151" s="55"/>
      <c r="GU151" s="55"/>
      <c r="GV151" s="55"/>
      <c r="GW151" s="55"/>
      <c r="GX151" s="55"/>
      <c r="GY151" s="55"/>
      <c r="GZ151" s="55"/>
      <c r="HA151" s="55"/>
      <c r="HB151" s="55"/>
      <c r="HC151" s="55"/>
      <c r="HD151" s="55"/>
      <c r="HE151" s="55"/>
      <c r="HF151" s="55"/>
      <c r="HG151" s="55"/>
      <c r="HH151" s="55"/>
      <c r="HI151" s="55"/>
      <c r="HJ151" s="55"/>
      <c r="HK151" s="55"/>
      <c r="HL151" s="55"/>
      <c r="HM151" s="55"/>
      <c r="HN151" s="55"/>
      <c r="HO151" s="55"/>
      <c r="HP151" s="55"/>
      <c r="HQ151" s="55"/>
      <c r="HR151" s="55"/>
      <c r="HS151" s="55"/>
      <c r="HT151" s="55"/>
      <c r="HU151" s="55"/>
      <c r="HV151" s="55"/>
      <c r="HW151" s="55"/>
      <c r="HX151" s="55"/>
      <c r="HY151" s="55"/>
      <c r="HZ151" s="55"/>
      <c r="IA151" s="55"/>
      <c r="IB151" s="55"/>
    </row>
    <row r="152" spans="1:236" ht="15" customHeight="1" x14ac:dyDescent="0.2">
      <c r="A152" s="70" t="s">
        <v>83</v>
      </c>
      <c r="B152" s="44" t="s">
        <v>1140</v>
      </c>
      <c r="C152" s="45" t="s">
        <v>195</v>
      </c>
      <c r="D152" s="741"/>
      <c r="E152" s="55"/>
      <c r="F152" s="55"/>
      <c r="G152" s="55"/>
      <c r="H152" s="55"/>
      <c r="I152" s="55"/>
      <c r="J152" s="55"/>
      <c r="K152" s="55"/>
      <c r="L152" s="55"/>
      <c r="M152" s="55"/>
      <c r="N152" s="55"/>
      <c r="O152" s="55"/>
      <c r="P152" s="55"/>
      <c r="Q152" s="55"/>
      <c r="R152" s="55"/>
      <c r="S152" s="55"/>
      <c r="T152" s="55"/>
      <c r="U152" s="55"/>
      <c r="V152" s="55"/>
      <c r="W152" s="55"/>
      <c r="X152" s="55"/>
      <c r="Y152" s="55"/>
      <c r="Z152" s="55"/>
      <c r="AA152" s="55"/>
      <c r="AB152" s="55"/>
      <c r="AC152" s="55"/>
      <c r="AD152" s="55"/>
      <c r="AE152" s="55"/>
      <c r="AF152" s="55"/>
      <c r="AG152" s="55"/>
      <c r="AH152" s="55"/>
      <c r="AI152" s="55"/>
      <c r="AJ152" s="55"/>
      <c r="AK152" s="55"/>
      <c r="AL152" s="55"/>
      <c r="AM152" s="55"/>
      <c r="AN152" s="55"/>
      <c r="AO152" s="55"/>
      <c r="AP152" s="55"/>
      <c r="AQ152" s="55"/>
      <c r="AR152" s="55"/>
      <c r="AS152" s="55"/>
      <c r="AT152" s="55"/>
      <c r="AU152" s="55"/>
      <c r="AV152" s="55"/>
      <c r="AW152" s="55"/>
      <c r="AX152" s="55"/>
      <c r="AY152" s="55"/>
      <c r="AZ152" s="55"/>
      <c r="BA152" s="55"/>
      <c r="BB152" s="55"/>
      <c r="BC152" s="55"/>
      <c r="BD152" s="55"/>
      <c r="BE152" s="55"/>
      <c r="BF152" s="55"/>
      <c r="BG152" s="55"/>
      <c r="BH152" s="55"/>
      <c r="BI152" s="55"/>
      <c r="BJ152" s="55"/>
      <c r="BK152" s="55"/>
      <c r="BL152" s="55"/>
      <c r="BM152" s="55"/>
      <c r="BN152" s="55"/>
      <c r="BO152" s="55"/>
      <c r="BP152" s="55"/>
      <c r="BQ152" s="55"/>
      <c r="BR152" s="55"/>
      <c r="BS152" s="55"/>
      <c r="BT152" s="55"/>
      <c r="BU152" s="55"/>
      <c r="BV152" s="55"/>
      <c r="BW152" s="55"/>
      <c r="BX152" s="55"/>
      <c r="BY152" s="55"/>
      <c r="BZ152" s="55"/>
      <c r="CA152" s="55"/>
      <c r="CB152" s="55"/>
      <c r="CC152" s="55"/>
      <c r="CD152" s="55"/>
      <c r="CE152" s="55"/>
      <c r="CF152" s="55"/>
      <c r="CG152" s="55"/>
      <c r="CH152" s="55"/>
      <c r="CI152" s="55"/>
      <c r="CJ152" s="55"/>
      <c r="CK152" s="55"/>
      <c r="CL152" s="55"/>
      <c r="CM152" s="55"/>
      <c r="CN152" s="55"/>
      <c r="CO152" s="55"/>
      <c r="CP152" s="55"/>
      <c r="CQ152" s="55"/>
      <c r="CR152" s="55"/>
      <c r="CS152" s="55"/>
      <c r="CT152" s="55"/>
      <c r="CU152" s="55"/>
      <c r="CV152" s="55"/>
      <c r="CW152" s="55"/>
      <c r="CX152" s="55"/>
      <c r="CY152" s="55"/>
      <c r="CZ152" s="55"/>
      <c r="DA152" s="55"/>
      <c r="DB152" s="55"/>
      <c r="DC152" s="55"/>
      <c r="DD152" s="55"/>
      <c r="DE152" s="55"/>
      <c r="DF152" s="55"/>
      <c r="DG152" s="55"/>
      <c r="DH152" s="55"/>
      <c r="DI152" s="55"/>
      <c r="DJ152" s="55"/>
      <c r="DK152" s="55"/>
      <c r="DL152" s="55"/>
      <c r="DM152" s="55"/>
      <c r="DN152" s="55"/>
      <c r="DO152" s="55"/>
      <c r="DP152" s="55"/>
      <c r="DQ152" s="55"/>
      <c r="DR152" s="55"/>
      <c r="DS152" s="55"/>
      <c r="DT152" s="55"/>
      <c r="DU152" s="55"/>
      <c r="DV152" s="55"/>
      <c r="DW152" s="55"/>
      <c r="DX152" s="55"/>
      <c r="DY152" s="55"/>
      <c r="DZ152" s="55"/>
      <c r="EA152" s="55"/>
      <c r="EB152" s="55"/>
      <c r="EC152" s="55"/>
      <c r="ED152" s="55"/>
      <c r="EE152" s="55"/>
      <c r="EF152" s="55"/>
      <c r="EG152" s="55"/>
      <c r="EH152" s="55"/>
      <c r="EI152" s="55"/>
      <c r="EJ152" s="55"/>
      <c r="EK152" s="55"/>
      <c r="EL152" s="55"/>
      <c r="EM152" s="55"/>
      <c r="EN152" s="55"/>
      <c r="EO152" s="55"/>
      <c r="EP152" s="55"/>
      <c r="EQ152" s="55"/>
      <c r="ER152" s="55"/>
      <c r="ES152" s="55"/>
      <c r="ET152" s="55"/>
      <c r="EU152" s="55"/>
      <c r="EV152" s="55"/>
      <c r="EW152" s="55"/>
      <c r="EX152" s="55"/>
      <c r="EY152" s="55"/>
      <c r="EZ152" s="55"/>
      <c r="FA152" s="55"/>
      <c r="FB152" s="55"/>
      <c r="FC152" s="55"/>
      <c r="FD152" s="55"/>
      <c r="FE152" s="55"/>
      <c r="FF152" s="55"/>
      <c r="FG152" s="55"/>
      <c r="FH152" s="55"/>
      <c r="FI152" s="55"/>
      <c r="FJ152" s="55"/>
      <c r="FK152" s="55"/>
      <c r="FL152" s="55"/>
      <c r="FM152" s="55"/>
      <c r="FN152" s="55"/>
      <c r="FO152" s="55"/>
      <c r="FP152" s="55"/>
      <c r="FQ152" s="55"/>
      <c r="FR152" s="55"/>
      <c r="FS152" s="55"/>
      <c r="FT152" s="55"/>
      <c r="FU152" s="55"/>
      <c r="FV152" s="55"/>
      <c r="FW152" s="55"/>
      <c r="FX152" s="55"/>
      <c r="FY152" s="55"/>
      <c r="FZ152" s="55"/>
      <c r="GA152" s="55"/>
      <c r="GB152" s="55"/>
      <c r="GC152" s="55"/>
      <c r="GD152" s="55"/>
      <c r="GE152" s="55"/>
      <c r="GF152" s="55"/>
      <c r="GG152" s="55"/>
      <c r="GH152" s="55"/>
      <c r="GI152" s="55"/>
      <c r="GJ152" s="55"/>
      <c r="GK152" s="55"/>
      <c r="GL152" s="55"/>
      <c r="GM152" s="55"/>
      <c r="GN152" s="55"/>
      <c r="GO152" s="55"/>
      <c r="GP152" s="55"/>
      <c r="GQ152" s="55"/>
      <c r="GR152" s="55"/>
      <c r="GS152" s="55"/>
      <c r="GT152" s="55"/>
      <c r="GU152" s="55"/>
      <c r="GV152" s="55"/>
      <c r="GW152" s="55"/>
      <c r="GX152" s="55"/>
      <c r="GY152" s="55"/>
      <c r="GZ152" s="55"/>
      <c r="HA152" s="55"/>
      <c r="HB152" s="55"/>
      <c r="HC152" s="55"/>
      <c r="HD152" s="55"/>
      <c r="HE152" s="55"/>
      <c r="HF152" s="55"/>
      <c r="HG152" s="55"/>
      <c r="HH152" s="55"/>
      <c r="HI152" s="55"/>
      <c r="HJ152" s="55"/>
      <c r="HK152" s="55"/>
      <c r="HL152" s="55"/>
      <c r="HM152" s="55"/>
      <c r="HN152" s="55"/>
      <c r="HO152" s="55"/>
      <c r="HP152" s="55"/>
      <c r="HQ152" s="55"/>
      <c r="HR152" s="55"/>
      <c r="HS152" s="55"/>
      <c r="HT152" s="55"/>
      <c r="HU152" s="55"/>
      <c r="HV152" s="55"/>
      <c r="HW152" s="55"/>
      <c r="HX152" s="55"/>
      <c r="HY152" s="55"/>
      <c r="HZ152" s="55"/>
      <c r="IA152" s="55"/>
      <c r="IB152" s="55"/>
    </row>
    <row r="153" spans="1:236" ht="15" customHeight="1" x14ac:dyDescent="0.2">
      <c r="A153" s="70" t="s">
        <v>84</v>
      </c>
      <c r="B153" s="44" t="s">
        <v>1141</v>
      </c>
      <c r="C153" s="45" t="s">
        <v>194</v>
      </c>
      <c r="D153" s="741"/>
      <c r="E153" s="55"/>
      <c r="F153" s="55"/>
      <c r="G153" s="55"/>
      <c r="H153" s="55"/>
      <c r="I153" s="55"/>
      <c r="J153" s="55"/>
      <c r="K153" s="55"/>
      <c r="L153" s="55"/>
      <c r="M153" s="55"/>
      <c r="N153" s="55"/>
      <c r="O153" s="55"/>
      <c r="P153" s="55"/>
      <c r="Q153" s="55"/>
      <c r="R153" s="55"/>
      <c r="S153" s="55"/>
      <c r="T153" s="55"/>
      <c r="U153" s="55"/>
      <c r="V153" s="55"/>
      <c r="W153" s="55"/>
      <c r="X153" s="55"/>
      <c r="Y153" s="55"/>
      <c r="Z153" s="55"/>
      <c r="AA153" s="55"/>
      <c r="AB153" s="55"/>
      <c r="AC153" s="55"/>
      <c r="AD153" s="55"/>
      <c r="AE153" s="55"/>
      <c r="AF153" s="55"/>
      <c r="AG153" s="55"/>
      <c r="AH153" s="55"/>
      <c r="AI153" s="55"/>
      <c r="AJ153" s="55"/>
      <c r="AK153" s="55"/>
      <c r="AL153" s="55"/>
      <c r="AM153" s="55"/>
      <c r="AN153" s="55"/>
      <c r="AO153" s="55"/>
      <c r="AP153" s="55"/>
      <c r="AQ153" s="55"/>
      <c r="AR153" s="55"/>
      <c r="AS153" s="55"/>
      <c r="AT153" s="55"/>
      <c r="AU153" s="55"/>
      <c r="AV153" s="55"/>
      <c r="AW153" s="55"/>
      <c r="AX153" s="55"/>
      <c r="AY153" s="55"/>
      <c r="AZ153" s="55"/>
      <c r="BA153" s="55"/>
      <c r="BB153" s="55"/>
      <c r="BC153" s="55"/>
      <c r="BD153" s="55"/>
      <c r="BE153" s="55"/>
      <c r="BF153" s="55"/>
      <c r="BG153" s="55"/>
      <c r="BH153" s="55"/>
      <c r="BI153" s="55"/>
      <c r="BJ153" s="55"/>
      <c r="BK153" s="55"/>
      <c r="BL153" s="55"/>
      <c r="BM153" s="55"/>
      <c r="BN153" s="55"/>
      <c r="BO153" s="55"/>
      <c r="BP153" s="55"/>
      <c r="BQ153" s="55"/>
      <c r="BR153" s="55"/>
      <c r="BS153" s="55"/>
      <c r="BT153" s="55"/>
      <c r="BU153" s="55"/>
      <c r="BV153" s="55"/>
      <c r="BW153" s="55"/>
      <c r="BX153" s="55"/>
      <c r="BY153" s="55"/>
      <c r="BZ153" s="55"/>
      <c r="CA153" s="55"/>
      <c r="CB153" s="55"/>
      <c r="CC153" s="55"/>
      <c r="CD153" s="55"/>
      <c r="CE153" s="55"/>
      <c r="CF153" s="55"/>
      <c r="CG153" s="55"/>
      <c r="CH153" s="55"/>
      <c r="CI153" s="55"/>
      <c r="CJ153" s="55"/>
      <c r="CK153" s="55"/>
      <c r="CL153" s="55"/>
      <c r="CM153" s="55"/>
      <c r="CN153" s="55"/>
      <c r="CO153" s="55"/>
      <c r="CP153" s="55"/>
      <c r="CQ153" s="55"/>
      <c r="CR153" s="55"/>
      <c r="CS153" s="55"/>
      <c r="CT153" s="55"/>
      <c r="CU153" s="55"/>
      <c r="CV153" s="55"/>
      <c r="CW153" s="55"/>
      <c r="CX153" s="55"/>
      <c r="CY153" s="55"/>
      <c r="CZ153" s="55"/>
      <c r="DA153" s="55"/>
      <c r="DB153" s="55"/>
      <c r="DC153" s="55"/>
      <c r="DD153" s="55"/>
      <c r="DE153" s="55"/>
      <c r="DF153" s="55"/>
      <c r="DG153" s="55"/>
      <c r="DH153" s="55"/>
      <c r="DI153" s="55"/>
      <c r="DJ153" s="55"/>
      <c r="DK153" s="55"/>
      <c r="DL153" s="55"/>
      <c r="DM153" s="55"/>
      <c r="DN153" s="55"/>
      <c r="DO153" s="55"/>
      <c r="DP153" s="55"/>
      <c r="DQ153" s="55"/>
      <c r="DR153" s="55"/>
      <c r="DS153" s="55"/>
      <c r="DT153" s="55"/>
      <c r="DU153" s="55"/>
      <c r="DV153" s="55"/>
      <c r="DW153" s="55"/>
      <c r="DX153" s="55"/>
      <c r="DY153" s="55"/>
      <c r="DZ153" s="55"/>
      <c r="EA153" s="55"/>
      <c r="EB153" s="55"/>
      <c r="EC153" s="55"/>
      <c r="ED153" s="55"/>
      <c r="EE153" s="55"/>
      <c r="EF153" s="55"/>
      <c r="EG153" s="55"/>
      <c r="EH153" s="55"/>
      <c r="EI153" s="55"/>
      <c r="EJ153" s="55"/>
      <c r="EK153" s="55"/>
      <c r="EL153" s="55"/>
      <c r="EM153" s="55"/>
      <c r="EN153" s="55"/>
      <c r="EO153" s="55"/>
      <c r="EP153" s="55"/>
      <c r="EQ153" s="55"/>
      <c r="ER153" s="55"/>
      <c r="ES153" s="55"/>
      <c r="ET153" s="55"/>
      <c r="EU153" s="55"/>
      <c r="EV153" s="55"/>
      <c r="EW153" s="55"/>
      <c r="EX153" s="55"/>
      <c r="EY153" s="55"/>
      <c r="EZ153" s="55"/>
      <c r="FA153" s="55"/>
      <c r="FB153" s="55"/>
      <c r="FC153" s="55"/>
      <c r="FD153" s="55"/>
      <c r="FE153" s="55"/>
      <c r="FF153" s="55"/>
      <c r="FG153" s="55"/>
      <c r="FH153" s="55"/>
      <c r="FI153" s="55"/>
      <c r="FJ153" s="55"/>
      <c r="FK153" s="55"/>
      <c r="FL153" s="55"/>
      <c r="FM153" s="55"/>
      <c r="FN153" s="55"/>
      <c r="FO153" s="55"/>
      <c r="FP153" s="55"/>
      <c r="FQ153" s="55"/>
      <c r="FR153" s="55"/>
      <c r="FS153" s="55"/>
      <c r="FT153" s="55"/>
      <c r="FU153" s="55"/>
      <c r="FV153" s="55"/>
      <c r="FW153" s="55"/>
      <c r="FX153" s="55"/>
      <c r="FY153" s="55"/>
      <c r="FZ153" s="55"/>
      <c r="GA153" s="55"/>
      <c r="GB153" s="55"/>
      <c r="GC153" s="55"/>
      <c r="GD153" s="55"/>
      <c r="GE153" s="55"/>
      <c r="GF153" s="55"/>
      <c r="GG153" s="55"/>
      <c r="GH153" s="55"/>
      <c r="GI153" s="55"/>
      <c r="GJ153" s="55"/>
      <c r="GK153" s="55"/>
      <c r="GL153" s="55"/>
      <c r="GM153" s="55"/>
      <c r="GN153" s="55"/>
      <c r="GO153" s="55"/>
      <c r="GP153" s="55"/>
      <c r="GQ153" s="55"/>
      <c r="GR153" s="55"/>
      <c r="GS153" s="55"/>
      <c r="GT153" s="55"/>
      <c r="GU153" s="55"/>
      <c r="GV153" s="55"/>
      <c r="GW153" s="55"/>
      <c r="GX153" s="55"/>
      <c r="GY153" s="55"/>
      <c r="GZ153" s="55"/>
      <c r="HA153" s="55"/>
      <c r="HB153" s="55"/>
      <c r="HC153" s="55"/>
      <c r="HD153" s="55"/>
      <c r="HE153" s="55"/>
      <c r="HF153" s="55"/>
      <c r="HG153" s="55"/>
      <c r="HH153" s="55"/>
      <c r="HI153" s="55"/>
      <c r="HJ153" s="55"/>
      <c r="HK153" s="55"/>
      <c r="HL153" s="55"/>
      <c r="HM153" s="55"/>
      <c r="HN153" s="55"/>
      <c r="HO153" s="55"/>
      <c r="HP153" s="55"/>
      <c r="HQ153" s="55"/>
      <c r="HR153" s="55"/>
      <c r="HS153" s="55"/>
      <c r="HT153" s="55"/>
      <c r="HU153" s="55"/>
      <c r="HV153" s="55"/>
      <c r="HW153" s="55"/>
      <c r="HX153" s="55"/>
      <c r="HY153" s="55"/>
      <c r="HZ153" s="55"/>
      <c r="IA153" s="55"/>
      <c r="IB153" s="55"/>
    </row>
    <row r="154" spans="1:236" ht="15" customHeight="1" x14ac:dyDescent="0.2">
      <c r="A154" s="70" t="s">
        <v>1193</v>
      </c>
      <c r="B154" s="44" t="s">
        <v>958</v>
      </c>
      <c r="C154" s="45" t="s">
        <v>195</v>
      </c>
      <c r="D154" s="741"/>
      <c r="E154" s="55"/>
      <c r="F154" s="55"/>
      <c r="G154" s="55"/>
      <c r="H154" s="55"/>
      <c r="I154" s="55"/>
      <c r="J154" s="55"/>
      <c r="K154" s="55"/>
      <c r="L154" s="55"/>
      <c r="M154" s="55"/>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c r="AL154" s="55"/>
      <c r="AM154" s="55"/>
      <c r="AN154" s="55"/>
      <c r="AO154" s="55"/>
      <c r="AP154" s="55"/>
      <c r="AQ154" s="55"/>
      <c r="AR154" s="55"/>
      <c r="AS154" s="55"/>
      <c r="AT154" s="55"/>
      <c r="AU154" s="55"/>
      <c r="AV154" s="55"/>
      <c r="AW154" s="55"/>
      <c r="AX154" s="55"/>
      <c r="AY154" s="55"/>
      <c r="AZ154" s="55"/>
      <c r="BA154" s="55"/>
      <c r="BB154" s="55"/>
      <c r="BC154" s="55"/>
      <c r="BD154" s="55"/>
      <c r="BE154" s="55"/>
      <c r="BF154" s="55"/>
      <c r="BG154" s="55"/>
      <c r="BH154" s="55"/>
      <c r="BI154" s="55"/>
      <c r="BJ154" s="55"/>
      <c r="BK154" s="55"/>
      <c r="BL154" s="55"/>
      <c r="BM154" s="55"/>
      <c r="BN154" s="55"/>
      <c r="BO154" s="55"/>
      <c r="BP154" s="55"/>
      <c r="BQ154" s="55"/>
      <c r="BR154" s="55"/>
      <c r="BS154" s="55"/>
      <c r="BT154" s="55"/>
      <c r="BU154" s="55"/>
      <c r="BV154" s="55"/>
      <c r="BW154" s="55"/>
      <c r="BX154" s="55"/>
      <c r="BY154" s="55"/>
      <c r="BZ154" s="55"/>
      <c r="CA154" s="55"/>
      <c r="CB154" s="55"/>
      <c r="CC154" s="55"/>
      <c r="CD154" s="55"/>
      <c r="CE154" s="55"/>
      <c r="CF154" s="55"/>
      <c r="CG154" s="55"/>
      <c r="CH154" s="55"/>
      <c r="CI154" s="55"/>
      <c r="CJ154" s="55"/>
      <c r="CK154" s="55"/>
      <c r="CL154" s="55"/>
      <c r="CM154" s="55"/>
      <c r="CN154" s="55"/>
      <c r="CO154" s="55"/>
      <c r="CP154" s="55"/>
      <c r="CQ154" s="55"/>
      <c r="CR154" s="55"/>
      <c r="CS154" s="55"/>
      <c r="CT154" s="55"/>
      <c r="CU154" s="55"/>
      <c r="CV154" s="55"/>
      <c r="CW154" s="55"/>
      <c r="CX154" s="55"/>
      <c r="CY154" s="55"/>
      <c r="CZ154" s="55"/>
      <c r="DA154" s="55"/>
      <c r="DB154" s="55"/>
      <c r="DC154" s="55"/>
      <c r="DD154" s="55"/>
      <c r="DE154" s="55"/>
      <c r="DF154" s="55"/>
      <c r="DG154" s="55"/>
      <c r="DH154" s="55"/>
      <c r="DI154" s="55"/>
      <c r="DJ154" s="55"/>
      <c r="DK154" s="55"/>
      <c r="DL154" s="55"/>
      <c r="DM154" s="55"/>
      <c r="DN154" s="55"/>
      <c r="DO154" s="55"/>
      <c r="DP154" s="55"/>
      <c r="DQ154" s="55"/>
      <c r="DR154" s="55"/>
      <c r="DS154" s="55"/>
      <c r="DT154" s="55"/>
      <c r="DU154" s="55"/>
      <c r="DV154" s="55"/>
      <c r="DW154" s="55"/>
      <c r="DX154" s="55"/>
      <c r="DY154" s="55"/>
      <c r="DZ154" s="55"/>
      <c r="EA154" s="55"/>
      <c r="EB154" s="55"/>
      <c r="EC154" s="55"/>
      <c r="ED154" s="55"/>
      <c r="EE154" s="55"/>
      <c r="EF154" s="55"/>
      <c r="EG154" s="55"/>
      <c r="EH154" s="55"/>
      <c r="EI154" s="55"/>
      <c r="EJ154" s="55"/>
      <c r="EK154" s="55"/>
      <c r="EL154" s="55"/>
      <c r="EM154" s="55"/>
      <c r="EN154" s="55"/>
      <c r="EO154" s="55"/>
      <c r="EP154" s="55"/>
      <c r="EQ154" s="55"/>
      <c r="ER154" s="55"/>
      <c r="ES154" s="55"/>
      <c r="ET154" s="55"/>
      <c r="EU154" s="55"/>
      <c r="EV154" s="55"/>
      <c r="EW154" s="55"/>
      <c r="EX154" s="55"/>
      <c r="EY154" s="55"/>
      <c r="EZ154" s="55"/>
      <c r="FA154" s="55"/>
      <c r="FB154" s="55"/>
      <c r="FC154" s="55"/>
      <c r="FD154" s="55"/>
      <c r="FE154" s="55"/>
      <c r="FF154" s="55"/>
      <c r="FG154" s="55"/>
      <c r="FH154" s="55"/>
      <c r="FI154" s="55"/>
      <c r="FJ154" s="55"/>
      <c r="FK154" s="55"/>
      <c r="FL154" s="55"/>
      <c r="FM154" s="55"/>
      <c r="FN154" s="55"/>
      <c r="FO154" s="55"/>
      <c r="FP154" s="55"/>
      <c r="FQ154" s="55"/>
      <c r="FR154" s="55"/>
      <c r="FS154" s="55"/>
      <c r="FT154" s="55"/>
      <c r="FU154" s="55"/>
      <c r="FV154" s="55"/>
      <c r="FW154" s="55"/>
      <c r="FX154" s="55"/>
      <c r="FY154" s="55"/>
      <c r="FZ154" s="55"/>
      <c r="GA154" s="55"/>
      <c r="GB154" s="55"/>
      <c r="GC154" s="55"/>
      <c r="GD154" s="55"/>
      <c r="GE154" s="55"/>
      <c r="GF154" s="55"/>
      <c r="GG154" s="55"/>
      <c r="GH154" s="55"/>
      <c r="GI154" s="55"/>
      <c r="GJ154" s="55"/>
      <c r="GK154" s="55"/>
      <c r="GL154" s="55"/>
      <c r="GM154" s="55"/>
      <c r="GN154" s="55"/>
      <c r="GO154" s="55"/>
      <c r="GP154" s="55"/>
      <c r="GQ154" s="55"/>
      <c r="GR154" s="55"/>
      <c r="GS154" s="55"/>
      <c r="GT154" s="55"/>
      <c r="GU154" s="55"/>
      <c r="GV154" s="55"/>
      <c r="GW154" s="55"/>
      <c r="GX154" s="55"/>
      <c r="GY154" s="55"/>
      <c r="GZ154" s="55"/>
      <c r="HA154" s="55"/>
      <c r="HB154" s="55"/>
      <c r="HC154" s="55"/>
      <c r="HD154" s="55"/>
      <c r="HE154" s="55"/>
      <c r="HF154" s="55"/>
      <c r="HG154" s="55"/>
      <c r="HH154" s="55"/>
      <c r="HI154" s="55"/>
      <c r="HJ154" s="55"/>
      <c r="HK154" s="55"/>
      <c r="HL154" s="55"/>
      <c r="HM154" s="55"/>
      <c r="HN154" s="55"/>
      <c r="HO154" s="55"/>
      <c r="HP154" s="55"/>
      <c r="HQ154" s="55"/>
      <c r="HR154" s="55"/>
      <c r="HS154" s="55"/>
      <c r="HT154" s="55"/>
      <c r="HU154" s="55"/>
      <c r="HV154" s="55"/>
      <c r="HW154" s="55"/>
      <c r="HX154" s="55"/>
      <c r="HY154" s="55"/>
      <c r="HZ154" s="55"/>
      <c r="IA154" s="55"/>
      <c r="IB154" s="55"/>
    </row>
    <row r="155" spans="1:236" ht="25.5" x14ac:dyDescent="0.2">
      <c r="A155" s="70" t="s">
        <v>148</v>
      </c>
      <c r="B155" s="46" t="s">
        <v>959</v>
      </c>
      <c r="C155" s="45" t="s">
        <v>195</v>
      </c>
      <c r="D155" s="741"/>
      <c r="E155" s="55"/>
      <c r="F155" s="55"/>
      <c r="G155" s="55"/>
      <c r="H155" s="55"/>
      <c r="I155" s="55"/>
      <c r="J155" s="55"/>
      <c r="K155" s="55"/>
      <c r="L155" s="55"/>
      <c r="M155" s="55"/>
      <c r="N155" s="55"/>
      <c r="O155" s="55"/>
      <c r="P155" s="55"/>
      <c r="Q155" s="55"/>
      <c r="R155" s="55"/>
      <c r="S155" s="55"/>
      <c r="T155" s="55"/>
      <c r="U155" s="55"/>
      <c r="V155" s="55"/>
      <c r="W155" s="55"/>
      <c r="X155" s="55"/>
      <c r="Y155" s="55"/>
      <c r="Z155" s="55"/>
      <c r="AA155" s="55"/>
      <c r="AB155" s="55"/>
      <c r="AC155" s="55"/>
      <c r="AD155" s="55"/>
      <c r="AE155" s="55"/>
      <c r="AF155" s="55"/>
      <c r="AG155" s="55"/>
      <c r="AH155" s="55"/>
      <c r="AI155" s="55"/>
      <c r="AJ155" s="55"/>
      <c r="AK155" s="55"/>
      <c r="AL155" s="55"/>
      <c r="AM155" s="55"/>
      <c r="AN155" s="55"/>
      <c r="AO155" s="55"/>
      <c r="AP155" s="55"/>
      <c r="AQ155" s="55"/>
      <c r="AR155" s="55"/>
      <c r="AS155" s="55"/>
      <c r="AT155" s="55"/>
      <c r="AU155" s="55"/>
      <c r="AV155" s="55"/>
      <c r="AW155" s="55"/>
      <c r="AX155" s="55"/>
      <c r="AY155" s="55"/>
      <c r="AZ155" s="55"/>
      <c r="BA155" s="55"/>
      <c r="BB155" s="55"/>
      <c r="BC155" s="55"/>
      <c r="BD155" s="55"/>
      <c r="BE155" s="55"/>
      <c r="BF155" s="55"/>
      <c r="BG155" s="55"/>
      <c r="BH155" s="55"/>
      <c r="BI155" s="55"/>
      <c r="BJ155" s="55"/>
      <c r="BK155" s="55"/>
      <c r="BL155" s="55"/>
      <c r="BM155" s="55"/>
      <c r="BN155" s="55"/>
      <c r="BO155" s="55"/>
      <c r="BP155" s="55"/>
      <c r="BQ155" s="55"/>
      <c r="BR155" s="55"/>
      <c r="BS155" s="55"/>
      <c r="BT155" s="55"/>
      <c r="BU155" s="55"/>
      <c r="BV155" s="55"/>
      <c r="BW155" s="55"/>
      <c r="BX155" s="55"/>
      <c r="BY155" s="55"/>
      <c r="BZ155" s="55"/>
      <c r="CA155" s="55"/>
      <c r="CB155" s="55"/>
      <c r="CC155" s="55"/>
      <c r="CD155" s="55"/>
      <c r="CE155" s="55"/>
      <c r="CF155" s="55"/>
      <c r="CG155" s="55"/>
      <c r="CH155" s="55"/>
      <c r="CI155" s="55"/>
      <c r="CJ155" s="55"/>
      <c r="CK155" s="55"/>
      <c r="CL155" s="55"/>
      <c r="CM155" s="55"/>
      <c r="CN155" s="55"/>
      <c r="CO155" s="55"/>
      <c r="CP155" s="55"/>
      <c r="CQ155" s="55"/>
      <c r="CR155" s="55"/>
      <c r="CS155" s="55"/>
      <c r="CT155" s="55"/>
      <c r="CU155" s="55"/>
      <c r="CV155" s="55"/>
      <c r="CW155" s="55"/>
      <c r="CX155" s="55"/>
      <c r="CY155" s="55"/>
      <c r="CZ155" s="55"/>
      <c r="DA155" s="55"/>
      <c r="DB155" s="55"/>
      <c r="DC155" s="55"/>
      <c r="DD155" s="55"/>
      <c r="DE155" s="55"/>
      <c r="DF155" s="55"/>
      <c r="DG155" s="55"/>
      <c r="DH155" s="55"/>
      <c r="DI155" s="55"/>
      <c r="DJ155" s="55"/>
      <c r="DK155" s="55"/>
      <c r="DL155" s="55"/>
      <c r="DM155" s="55"/>
      <c r="DN155" s="55"/>
      <c r="DO155" s="55"/>
      <c r="DP155" s="55"/>
      <c r="DQ155" s="55"/>
      <c r="DR155" s="55"/>
      <c r="DS155" s="55"/>
      <c r="DT155" s="55"/>
      <c r="DU155" s="55"/>
      <c r="DV155" s="55"/>
      <c r="DW155" s="55"/>
      <c r="DX155" s="55"/>
      <c r="DY155" s="55"/>
      <c r="DZ155" s="55"/>
      <c r="EA155" s="55"/>
      <c r="EB155" s="55"/>
      <c r="EC155" s="55"/>
      <c r="ED155" s="55"/>
      <c r="EE155" s="55"/>
      <c r="EF155" s="55"/>
      <c r="EG155" s="55"/>
      <c r="EH155" s="55"/>
      <c r="EI155" s="55"/>
      <c r="EJ155" s="55"/>
      <c r="EK155" s="55"/>
      <c r="EL155" s="55"/>
      <c r="EM155" s="55"/>
      <c r="EN155" s="55"/>
      <c r="EO155" s="55"/>
      <c r="EP155" s="55"/>
      <c r="EQ155" s="55"/>
      <c r="ER155" s="55"/>
      <c r="ES155" s="55"/>
      <c r="ET155" s="55"/>
      <c r="EU155" s="55"/>
      <c r="EV155" s="55"/>
      <c r="EW155" s="55"/>
      <c r="EX155" s="55"/>
      <c r="EY155" s="55"/>
      <c r="EZ155" s="55"/>
      <c r="FA155" s="55"/>
      <c r="FB155" s="55"/>
      <c r="FC155" s="55"/>
      <c r="FD155" s="55"/>
      <c r="FE155" s="55"/>
      <c r="FF155" s="55"/>
      <c r="FG155" s="55"/>
      <c r="FH155" s="55"/>
      <c r="FI155" s="55"/>
      <c r="FJ155" s="55"/>
      <c r="FK155" s="55"/>
      <c r="FL155" s="55"/>
      <c r="FM155" s="55"/>
      <c r="FN155" s="55"/>
      <c r="FO155" s="55"/>
      <c r="FP155" s="55"/>
      <c r="FQ155" s="55"/>
      <c r="FR155" s="55"/>
      <c r="FS155" s="55"/>
      <c r="FT155" s="55"/>
      <c r="FU155" s="55"/>
      <c r="FV155" s="55"/>
      <c r="FW155" s="55"/>
      <c r="FX155" s="55"/>
      <c r="FY155" s="55"/>
      <c r="FZ155" s="55"/>
      <c r="GA155" s="55"/>
      <c r="GB155" s="55"/>
      <c r="GC155" s="55"/>
      <c r="GD155" s="55"/>
      <c r="GE155" s="55"/>
      <c r="GF155" s="55"/>
      <c r="GG155" s="55"/>
      <c r="GH155" s="55"/>
      <c r="GI155" s="55"/>
      <c r="GJ155" s="55"/>
      <c r="GK155" s="55"/>
      <c r="GL155" s="55"/>
      <c r="GM155" s="55"/>
      <c r="GN155" s="55"/>
      <c r="GO155" s="55"/>
      <c r="GP155" s="55"/>
      <c r="GQ155" s="55"/>
      <c r="GR155" s="55"/>
      <c r="GS155" s="55"/>
      <c r="GT155" s="55"/>
      <c r="GU155" s="55"/>
      <c r="GV155" s="55"/>
      <c r="GW155" s="55"/>
      <c r="GX155" s="55"/>
      <c r="GY155" s="55"/>
      <c r="GZ155" s="55"/>
      <c r="HA155" s="55"/>
      <c r="HB155" s="55"/>
      <c r="HC155" s="55"/>
      <c r="HD155" s="55"/>
      <c r="HE155" s="55"/>
      <c r="HF155" s="55"/>
      <c r="HG155" s="55"/>
      <c r="HH155" s="55"/>
      <c r="HI155" s="55"/>
      <c r="HJ155" s="55"/>
      <c r="HK155" s="55"/>
      <c r="HL155" s="55"/>
      <c r="HM155" s="55"/>
      <c r="HN155" s="55"/>
      <c r="HO155" s="55"/>
      <c r="HP155" s="55"/>
      <c r="HQ155" s="55"/>
      <c r="HR155" s="55"/>
      <c r="HS155" s="55"/>
      <c r="HT155" s="55"/>
      <c r="HU155" s="55"/>
      <c r="HV155" s="55"/>
      <c r="HW155" s="55"/>
      <c r="HX155" s="55"/>
      <c r="HY155" s="55"/>
      <c r="HZ155" s="55"/>
      <c r="IA155" s="55"/>
      <c r="IB155" s="55"/>
    </row>
    <row r="156" spans="1:236" s="410" customFormat="1" ht="25.5" x14ac:dyDescent="0.2">
      <c r="A156" s="70" t="s">
        <v>149</v>
      </c>
      <c r="B156" s="46" t="s">
        <v>1073</v>
      </c>
      <c r="C156" s="45" t="s">
        <v>195</v>
      </c>
      <c r="D156" s="741"/>
    </row>
    <row r="157" spans="1:236" x14ac:dyDescent="0.2">
      <c r="A157" s="70" t="s">
        <v>150</v>
      </c>
      <c r="B157" s="46" t="s">
        <v>199</v>
      </c>
      <c r="C157" s="45" t="s">
        <v>195</v>
      </c>
      <c r="D157" s="741"/>
      <c r="E157" s="55"/>
      <c r="F157" s="55"/>
      <c r="G157" s="55"/>
      <c r="H157" s="55"/>
      <c r="I157" s="55"/>
      <c r="J157" s="55"/>
      <c r="K157" s="55"/>
      <c r="L157" s="55"/>
      <c r="M157" s="55"/>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c r="AL157" s="55"/>
      <c r="AM157" s="55"/>
      <c r="AN157" s="55"/>
      <c r="AO157" s="55"/>
      <c r="AP157" s="55"/>
      <c r="AQ157" s="55"/>
      <c r="AR157" s="55"/>
      <c r="AS157" s="55"/>
      <c r="AT157" s="55"/>
      <c r="AU157" s="55"/>
      <c r="AV157" s="55"/>
      <c r="AW157" s="55"/>
      <c r="AX157" s="55"/>
      <c r="AY157" s="55"/>
      <c r="AZ157" s="55"/>
      <c r="BA157" s="55"/>
      <c r="BB157" s="55"/>
      <c r="BC157" s="55"/>
      <c r="BD157" s="55"/>
      <c r="BE157" s="55"/>
      <c r="BF157" s="55"/>
      <c r="BG157" s="55"/>
      <c r="BH157" s="55"/>
      <c r="BI157" s="55"/>
      <c r="BJ157" s="55"/>
      <c r="BK157" s="55"/>
      <c r="BL157" s="55"/>
      <c r="BM157" s="55"/>
      <c r="BN157" s="55"/>
      <c r="BO157" s="55"/>
      <c r="BP157" s="55"/>
      <c r="BQ157" s="55"/>
      <c r="BR157" s="55"/>
      <c r="BS157" s="55"/>
      <c r="BT157" s="55"/>
      <c r="BU157" s="55"/>
      <c r="BV157" s="55"/>
      <c r="BW157" s="55"/>
      <c r="BX157" s="55"/>
      <c r="BY157" s="55"/>
      <c r="BZ157" s="55"/>
      <c r="CA157" s="55"/>
      <c r="CB157" s="55"/>
      <c r="CC157" s="55"/>
      <c r="CD157" s="55"/>
      <c r="CE157" s="55"/>
      <c r="CF157" s="55"/>
      <c r="CG157" s="55"/>
      <c r="CH157" s="55"/>
      <c r="CI157" s="55"/>
      <c r="CJ157" s="55"/>
      <c r="CK157" s="55"/>
      <c r="CL157" s="55"/>
      <c r="CM157" s="55"/>
      <c r="CN157" s="55"/>
      <c r="CO157" s="55"/>
      <c r="CP157" s="55"/>
      <c r="CQ157" s="55"/>
      <c r="CR157" s="55"/>
      <c r="CS157" s="55"/>
      <c r="CT157" s="55"/>
      <c r="CU157" s="55"/>
      <c r="CV157" s="55"/>
      <c r="CW157" s="55"/>
      <c r="CX157" s="55"/>
      <c r="CY157" s="55"/>
      <c r="CZ157" s="55"/>
      <c r="DA157" s="55"/>
      <c r="DB157" s="55"/>
      <c r="DC157" s="55"/>
      <c r="DD157" s="55"/>
      <c r="DE157" s="55"/>
      <c r="DF157" s="55"/>
      <c r="DG157" s="55"/>
      <c r="DH157" s="55"/>
      <c r="DI157" s="55"/>
      <c r="DJ157" s="55"/>
      <c r="DK157" s="55"/>
      <c r="DL157" s="55"/>
      <c r="DM157" s="55"/>
      <c r="DN157" s="55"/>
      <c r="DO157" s="55"/>
      <c r="DP157" s="55"/>
      <c r="DQ157" s="55"/>
      <c r="DR157" s="55"/>
      <c r="DS157" s="55"/>
      <c r="DT157" s="55"/>
      <c r="DU157" s="55"/>
      <c r="DV157" s="55"/>
      <c r="DW157" s="55"/>
      <c r="DX157" s="55"/>
      <c r="DY157" s="55"/>
      <c r="DZ157" s="55"/>
      <c r="EA157" s="55"/>
      <c r="EB157" s="55"/>
      <c r="EC157" s="55"/>
      <c r="ED157" s="55"/>
      <c r="EE157" s="55"/>
      <c r="EF157" s="55"/>
      <c r="EG157" s="55"/>
      <c r="EH157" s="55"/>
      <c r="EI157" s="55"/>
      <c r="EJ157" s="55"/>
      <c r="EK157" s="55"/>
      <c r="EL157" s="55"/>
      <c r="EM157" s="55"/>
      <c r="EN157" s="55"/>
      <c r="EO157" s="55"/>
      <c r="EP157" s="55"/>
      <c r="EQ157" s="55"/>
      <c r="ER157" s="55"/>
      <c r="ES157" s="55"/>
      <c r="ET157" s="55"/>
      <c r="EU157" s="55"/>
      <c r="EV157" s="55"/>
      <c r="EW157" s="55"/>
      <c r="EX157" s="55"/>
      <c r="EY157" s="55"/>
      <c r="EZ157" s="55"/>
      <c r="FA157" s="55"/>
      <c r="FB157" s="55"/>
      <c r="FC157" s="55"/>
      <c r="FD157" s="55"/>
      <c r="FE157" s="55"/>
      <c r="FF157" s="55"/>
      <c r="FG157" s="55"/>
      <c r="FH157" s="55"/>
      <c r="FI157" s="55"/>
      <c r="FJ157" s="55"/>
      <c r="FK157" s="55"/>
      <c r="FL157" s="55"/>
      <c r="FM157" s="55"/>
      <c r="FN157" s="55"/>
      <c r="FO157" s="55"/>
      <c r="FP157" s="55"/>
      <c r="FQ157" s="55"/>
      <c r="FR157" s="55"/>
      <c r="FS157" s="55"/>
      <c r="FT157" s="55"/>
      <c r="FU157" s="55"/>
      <c r="FV157" s="55"/>
      <c r="FW157" s="55"/>
      <c r="FX157" s="55"/>
      <c r="FY157" s="55"/>
      <c r="FZ157" s="55"/>
      <c r="GA157" s="55"/>
      <c r="GB157" s="55"/>
      <c r="GC157" s="55"/>
      <c r="GD157" s="55"/>
      <c r="GE157" s="55"/>
      <c r="GF157" s="55"/>
      <c r="GG157" s="55"/>
      <c r="GH157" s="55"/>
      <c r="GI157" s="55"/>
      <c r="GJ157" s="55"/>
      <c r="GK157" s="55"/>
      <c r="GL157" s="55"/>
      <c r="GM157" s="55"/>
      <c r="GN157" s="55"/>
      <c r="GO157" s="55"/>
      <c r="GP157" s="55"/>
      <c r="GQ157" s="55"/>
      <c r="GR157" s="55"/>
      <c r="GS157" s="55"/>
      <c r="GT157" s="55"/>
      <c r="GU157" s="55"/>
      <c r="GV157" s="55"/>
      <c r="GW157" s="55"/>
      <c r="GX157" s="55"/>
      <c r="GY157" s="55"/>
      <c r="GZ157" s="55"/>
      <c r="HA157" s="55"/>
      <c r="HB157" s="55"/>
      <c r="HC157" s="55"/>
      <c r="HD157" s="55"/>
      <c r="HE157" s="55"/>
      <c r="HF157" s="55"/>
      <c r="HG157" s="55"/>
      <c r="HH157" s="55"/>
      <c r="HI157" s="55"/>
      <c r="HJ157" s="55"/>
      <c r="HK157" s="55"/>
      <c r="HL157" s="55"/>
      <c r="HM157" s="55"/>
      <c r="HN157" s="55"/>
      <c r="HO157" s="55"/>
      <c r="HP157" s="55"/>
      <c r="HQ157" s="55"/>
      <c r="HR157" s="55"/>
      <c r="HS157" s="55"/>
      <c r="HT157" s="55"/>
      <c r="HU157" s="55"/>
      <c r="HV157" s="55"/>
      <c r="HW157" s="55"/>
      <c r="HX157" s="55"/>
      <c r="HY157" s="55"/>
      <c r="HZ157" s="55"/>
      <c r="IA157" s="55"/>
      <c r="IB157" s="55"/>
    </row>
    <row r="158" spans="1:236" ht="15" customHeight="1" x14ac:dyDescent="0.2">
      <c r="A158" s="70" t="s">
        <v>962</v>
      </c>
      <c r="B158" s="46" t="s">
        <v>200</v>
      </c>
      <c r="C158" s="45" t="s">
        <v>194</v>
      </c>
      <c r="D158" s="741"/>
      <c r="E158" s="55"/>
      <c r="F158" s="55"/>
      <c r="G158" s="55"/>
      <c r="H158" s="55"/>
      <c r="I158" s="55"/>
      <c r="J158" s="55"/>
      <c r="K158" s="55"/>
      <c r="L158" s="55"/>
      <c r="M158" s="55"/>
      <c r="N158" s="55"/>
      <c r="O158" s="55"/>
      <c r="P158" s="55"/>
      <c r="Q158" s="55"/>
      <c r="R158" s="55"/>
      <c r="S158" s="55"/>
      <c r="T158" s="55"/>
      <c r="U158" s="55"/>
      <c r="V158" s="55"/>
      <c r="W158" s="55"/>
      <c r="X158" s="55"/>
      <c r="Y158" s="55"/>
      <c r="Z158" s="55"/>
      <c r="AA158" s="55"/>
      <c r="AB158" s="55"/>
      <c r="AC158" s="55"/>
      <c r="AD158" s="55"/>
      <c r="AE158" s="55"/>
      <c r="AF158" s="55"/>
      <c r="AG158" s="55"/>
      <c r="AH158" s="55"/>
      <c r="AI158" s="55"/>
      <c r="AJ158" s="55"/>
      <c r="AK158" s="55"/>
      <c r="AL158" s="55"/>
      <c r="AM158" s="55"/>
      <c r="AN158" s="55"/>
      <c r="AO158" s="55"/>
      <c r="AP158" s="55"/>
      <c r="AQ158" s="55"/>
      <c r="AR158" s="55"/>
      <c r="AS158" s="55"/>
      <c r="AT158" s="55"/>
      <c r="AU158" s="55"/>
      <c r="AV158" s="55"/>
      <c r="AW158" s="55"/>
      <c r="AX158" s="55"/>
      <c r="AY158" s="55"/>
      <c r="AZ158" s="55"/>
      <c r="BA158" s="55"/>
      <c r="BB158" s="55"/>
      <c r="BC158" s="55"/>
      <c r="BD158" s="55"/>
      <c r="BE158" s="55"/>
      <c r="BF158" s="55"/>
      <c r="BG158" s="55"/>
      <c r="BH158" s="55"/>
      <c r="BI158" s="55"/>
      <c r="BJ158" s="55"/>
      <c r="BK158" s="55"/>
      <c r="BL158" s="55"/>
      <c r="BM158" s="55"/>
      <c r="BN158" s="55"/>
      <c r="BO158" s="55"/>
      <c r="BP158" s="55"/>
      <c r="BQ158" s="55"/>
      <c r="BR158" s="55"/>
      <c r="BS158" s="55"/>
      <c r="BT158" s="55"/>
      <c r="BU158" s="55"/>
      <c r="BV158" s="55"/>
      <c r="BW158" s="55"/>
      <c r="BX158" s="55"/>
      <c r="BY158" s="55"/>
      <c r="BZ158" s="55"/>
      <c r="CA158" s="55"/>
      <c r="CB158" s="55"/>
      <c r="CC158" s="55"/>
      <c r="CD158" s="55"/>
      <c r="CE158" s="55"/>
      <c r="CF158" s="55"/>
      <c r="CG158" s="55"/>
      <c r="CH158" s="55"/>
      <c r="CI158" s="55"/>
      <c r="CJ158" s="55"/>
      <c r="CK158" s="55"/>
      <c r="CL158" s="55"/>
      <c r="CM158" s="55"/>
      <c r="CN158" s="55"/>
      <c r="CO158" s="55"/>
      <c r="CP158" s="55"/>
      <c r="CQ158" s="55"/>
      <c r="CR158" s="55"/>
      <c r="CS158" s="55"/>
      <c r="CT158" s="55"/>
      <c r="CU158" s="55"/>
      <c r="CV158" s="55"/>
      <c r="CW158" s="55"/>
      <c r="CX158" s="55"/>
      <c r="CY158" s="55"/>
      <c r="CZ158" s="55"/>
      <c r="DA158" s="55"/>
      <c r="DB158" s="55"/>
      <c r="DC158" s="55"/>
      <c r="DD158" s="55"/>
      <c r="DE158" s="55"/>
      <c r="DF158" s="55"/>
      <c r="DG158" s="55"/>
      <c r="DH158" s="55"/>
      <c r="DI158" s="55"/>
      <c r="DJ158" s="55"/>
      <c r="DK158" s="55"/>
      <c r="DL158" s="55"/>
      <c r="DM158" s="55"/>
      <c r="DN158" s="55"/>
      <c r="DO158" s="55"/>
      <c r="DP158" s="55"/>
      <c r="DQ158" s="55"/>
      <c r="DR158" s="55"/>
      <c r="DS158" s="55"/>
      <c r="DT158" s="55"/>
      <c r="DU158" s="55"/>
      <c r="DV158" s="55"/>
      <c r="DW158" s="55"/>
      <c r="DX158" s="55"/>
      <c r="DY158" s="55"/>
      <c r="DZ158" s="55"/>
      <c r="EA158" s="55"/>
      <c r="EB158" s="55"/>
      <c r="EC158" s="55"/>
      <c r="ED158" s="55"/>
      <c r="EE158" s="55"/>
      <c r="EF158" s="55"/>
      <c r="EG158" s="55"/>
      <c r="EH158" s="55"/>
      <c r="EI158" s="55"/>
      <c r="EJ158" s="55"/>
      <c r="EK158" s="55"/>
      <c r="EL158" s="55"/>
      <c r="EM158" s="55"/>
      <c r="EN158" s="55"/>
      <c r="EO158" s="55"/>
      <c r="EP158" s="55"/>
      <c r="EQ158" s="55"/>
      <c r="ER158" s="55"/>
      <c r="ES158" s="55"/>
      <c r="ET158" s="55"/>
      <c r="EU158" s="55"/>
      <c r="EV158" s="55"/>
      <c r="EW158" s="55"/>
      <c r="EX158" s="55"/>
      <c r="EY158" s="55"/>
      <c r="EZ158" s="55"/>
      <c r="FA158" s="55"/>
      <c r="FB158" s="55"/>
      <c r="FC158" s="55"/>
      <c r="FD158" s="55"/>
      <c r="FE158" s="55"/>
      <c r="FF158" s="55"/>
      <c r="FG158" s="55"/>
      <c r="FH158" s="55"/>
      <c r="FI158" s="55"/>
      <c r="FJ158" s="55"/>
      <c r="FK158" s="55"/>
      <c r="FL158" s="55"/>
      <c r="FM158" s="55"/>
      <c r="FN158" s="55"/>
      <c r="FO158" s="55"/>
      <c r="FP158" s="55"/>
      <c r="FQ158" s="55"/>
      <c r="FR158" s="55"/>
      <c r="FS158" s="55"/>
      <c r="FT158" s="55"/>
      <c r="FU158" s="55"/>
      <c r="FV158" s="55"/>
      <c r="FW158" s="55"/>
      <c r="FX158" s="55"/>
      <c r="FY158" s="55"/>
      <c r="FZ158" s="55"/>
      <c r="GA158" s="55"/>
      <c r="GB158" s="55"/>
      <c r="GC158" s="55"/>
      <c r="GD158" s="55"/>
      <c r="GE158" s="55"/>
      <c r="GF158" s="55"/>
      <c r="GG158" s="55"/>
      <c r="GH158" s="55"/>
      <c r="GI158" s="55"/>
      <c r="GJ158" s="55"/>
      <c r="GK158" s="55"/>
      <c r="GL158" s="55"/>
      <c r="GM158" s="55"/>
      <c r="GN158" s="55"/>
      <c r="GO158" s="55"/>
      <c r="GP158" s="55"/>
      <c r="GQ158" s="55"/>
      <c r="GR158" s="55"/>
      <c r="GS158" s="55"/>
      <c r="GT158" s="55"/>
      <c r="GU158" s="55"/>
      <c r="GV158" s="55"/>
      <c r="GW158" s="55"/>
      <c r="GX158" s="55"/>
      <c r="GY158" s="55"/>
      <c r="GZ158" s="55"/>
      <c r="HA158" s="55"/>
      <c r="HB158" s="55"/>
      <c r="HC158" s="55"/>
      <c r="HD158" s="55"/>
      <c r="HE158" s="55"/>
      <c r="HF158" s="55"/>
      <c r="HG158" s="55"/>
      <c r="HH158" s="55"/>
      <c r="HI158" s="55"/>
      <c r="HJ158" s="55"/>
      <c r="HK158" s="55"/>
      <c r="HL158" s="55"/>
      <c r="HM158" s="55"/>
      <c r="HN158" s="55"/>
      <c r="HO158" s="55"/>
      <c r="HP158" s="55"/>
      <c r="HQ158" s="55"/>
      <c r="HR158" s="55"/>
      <c r="HS158" s="55"/>
      <c r="HT158" s="55"/>
      <c r="HU158" s="55"/>
      <c r="HV158" s="55"/>
      <c r="HW158" s="55"/>
      <c r="HX158" s="55"/>
      <c r="HY158" s="55"/>
      <c r="HZ158" s="55"/>
      <c r="IA158" s="55"/>
      <c r="IB158" s="55"/>
    </row>
    <row r="159" spans="1:236" ht="25.5" x14ac:dyDescent="0.2">
      <c r="A159" s="70" t="s">
        <v>382</v>
      </c>
      <c r="B159" s="46" t="s">
        <v>960</v>
      </c>
      <c r="C159" s="45" t="s">
        <v>195</v>
      </c>
      <c r="D159" s="741"/>
      <c r="E159" s="55"/>
      <c r="F159" s="55"/>
      <c r="G159" s="55"/>
      <c r="H159" s="55"/>
      <c r="I159" s="55"/>
      <c r="J159" s="55"/>
      <c r="K159" s="55"/>
      <c r="L159" s="55"/>
      <c r="M159" s="55"/>
      <c r="N159" s="55"/>
      <c r="O159" s="55"/>
      <c r="P159" s="55"/>
      <c r="Q159" s="55"/>
      <c r="R159" s="55"/>
      <c r="S159" s="55"/>
      <c r="T159" s="55"/>
      <c r="U159" s="55"/>
      <c r="V159" s="55"/>
      <c r="W159" s="55"/>
      <c r="X159" s="55"/>
      <c r="Y159" s="55"/>
      <c r="Z159" s="55"/>
      <c r="AA159" s="55"/>
      <c r="AB159" s="55"/>
      <c r="AC159" s="55"/>
      <c r="AD159" s="55"/>
      <c r="AE159" s="55"/>
      <c r="AF159" s="55"/>
      <c r="AG159" s="55"/>
      <c r="AH159" s="55"/>
      <c r="AI159" s="55"/>
      <c r="AJ159" s="55"/>
      <c r="AK159" s="55"/>
      <c r="AL159" s="55"/>
      <c r="AM159" s="55"/>
      <c r="AN159" s="55"/>
      <c r="AO159" s="55"/>
      <c r="AP159" s="55"/>
      <c r="AQ159" s="55"/>
      <c r="AR159" s="55"/>
      <c r="AS159" s="55"/>
      <c r="AT159" s="55"/>
      <c r="AU159" s="55"/>
      <c r="AV159" s="55"/>
      <c r="AW159" s="55"/>
      <c r="AX159" s="55"/>
      <c r="AY159" s="55"/>
      <c r="AZ159" s="55"/>
      <c r="BA159" s="55"/>
      <c r="BB159" s="55"/>
      <c r="BC159" s="55"/>
      <c r="BD159" s="55"/>
      <c r="BE159" s="55"/>
      <c r="BF159" s="55"/>
      <c r="BG159" s="55"/>
      <c r="BH159" s="55"/>
      <c r="BI159" s="55"/>
      <c r="BJ159" s="55"/>
      <c r="BK159" s="55"/>
      <c r="BL159" s="55"/>
      <c r="BM159" s="55"/>
      <c r="BN159" s="55"/>
      <c r="BO159" s="55"/>
      <c r="BP159" s="55"/>
      <c r="BQ159" s="55"/>
      <c r="BR159" s="55"/>
      <c r="BS159" s="55"/>
      <c r="BT159" s="55"/>
      <c r="BU159" s="55"/>
      <c r="BV159" s="55"/>
      <c r="BW159" s="55"/>
      <c r="BX159" s="55"/>
      <c r="BY159" s="55"/>
      <c r="BZ159" s="55"/>
      <c r="CA159" s="55"/>
      <c r="CB159" s="55"/>
      <c r="CC159" s="55"/>
      <c r="CD159" s="55"/>
      <c r="CE159" s="55"/>
      <c r="CF159" s="55"/>
      <c r="CG159" s="55"/>
      <c r="CH159" s="55"/>
      <c r="CI159" s="55"/>
      <c r="CJ159" s="55"/>
      <c r="CK159" s="55"/>
      <c r="CL159" s="55"/>
      <c r="CM159" s="55"/>
      <c r="CN159" s="55"/>
      <c r="CO159" s="55"/>
      <c r="CP159" s="55"/>
      <c r="CQ159" s="55"/>
      <c r="CR159" s="55"/>
      <c r="CS159" s="55"/>
      <c r="CT159" s="55"/>
      <c r="CU159" s="55"/>
      <c r="CV159" s="55"/>
      <c r="CW159" s="55"/>
      <c r="CX159" s="55"/>
      <c r="CY159" s="55"/>
      <c r="CZ159" s="55"/>
      <c r="DA159" s="55"/>
      <c r="DB159" s="55"/>
      <c r="DC159" s="55"/>
      <c r="DD159" s="55"/>
      <c r="DE159" s="55"/>
      <c r="DF159" s="55"/>
      <c r="DG159" s="55"/>
      <c r="DH159" s="55"/>
      <c r="DI159" s="55"/>
      <c r="DJ159" s="55"/>
      <c r="DK159" s="55"/>
      <c r="DL159" s="55"/>
      <c r="DM159" s="55"/>
      <c r="DN159" s="55"/>
      <c r="DO159" s="55"/>
      <c r="DP159" s="55"/>
      <c r="DQ159" s="55"/>
      <c r="DR159" s="55"/>
      <c r="DS159" s="55"/>
      <c r="DT159" s="55"/>
      <c r="DU159" s="55"/>
      <c r="DV159" s="55"/>
      <c r="DW159" s="55"/>
      <c r="DX159" s="55"/>
      <c r="DY159" s="55"/>
      <c r="DZ159" s="55"/>
      <c r="EA159" s="55"/>
      <c r="EB159" s="55"/>
      <c r="EC159" s="55"/>
      <c r="ED159" s="55"/>
      <c r="EE159" s="55"/>
      <c r="EF159" s="55"/>
      <c r="EG159" s="55"/>
      <c r="EH159" s="55"/>
      <c r="EI159" s="55"/>
      <c r="EJ159" s="55"/>
      <c r="EK159" s="55"/>
      <c r="EL159" s="55"/>
      <c r="EM159" s="55"/>
      <c r="EN159" s="55"/>
      <c r="EO159" s="55"/>
      <c r="EP159" s="55"/>
      <c r="EQ159" s="55"/>
      <c r="ER159" s="55"/>
      <c r="ES159" s="55"/>
      <c r="ET159" s="55"/>
      <c r="EU159" s="55"/>
      <c r="EV159" s="55"/>
      <c r="EW159" s="55"/>
      <c r="EX159" s="55"/>
      <c r="EY159" s="55"/>
      <c r="EZ159" s="55"/>
      <c r="FA159" s="55"/>
      <c r="FB159" s="55"/>
      <c r="FC159" s="55"/>
      <c r="FD159" s="55"/>
      <c r="FE159" s="55"/>
      <c r="FF159" s="55"/>
      <c r="FG159" s="55"/>
      <c r="FH159" s="55"/>
      <c r="FI159" s="55"/>
      <c r="FJ159" s="55"/>
      <c r="FK159" s="55"/>
      <c r="FL159" s="55"/>
      <c r="FM159" s="55"/>
      <c r="FN159" s="55"/>
      <c r="FO159" s="55"/>
      <c r="FP159" s="55"/>
      <c r="FQ159" s="55"/>
      <c r="FR159" s="55"/>
      <c r="FS159" s="55"/>
      <c r="FT159" s="55"/>
      <c r="FU159" s="55"/>
      <c r="FV159" s="55"/>
      <c r="FW159" s="55"/>
      <c r="FX159" s="55"/>
      <c r="FY159" s="55"/>
      <c r="FZ159" s="55"/>
      <c r="GA159" s="55"/>
      <c r="GB159" s="55"/>
      <c r="GC159" s="55"/>
      <c r="GD159" s="55"/>
      <c r="GE159" s="55"/>
      <c r="GF159" s="55"/>
      <c r="GG159" s="55"/>
      <c r="GH159" s="55"/>
      <c r="GI159" s="55"/>
      <c r="GJ159" s="55"/>
      <c r="GK159" s="55"/>
      <c r="GL159" s="55"/>
      <c r="GM159" s="55"/>
      <c r="GN159" s="55"/>
      <c r="GO159" s="55"/>
      <c r="GP159" s="55"/>
      <c r="GQ159" s="55"/>
      <c r="GR159" s="55"/>
      <c r="GS159" s="55"/>
      <c r="GT159" s="55"/>
      <c r="GU159" s="55"/>
      <c r="GV159" s="55"/>
      <c r="GW159" s="55"/>
      <c r="GX159" s="55"/>
      <c r="GY159" s="55"/>
      <c r="GZ159" s="55"/>
      <c r="HA159" s="55"/>
      <c r="HB159" s="55"/>
      <c r="HC159" s="55"/>
      <c r="HD159" s="55"/>
      <c r="HE159" s="55"/>
      <c r="HF159" s="55"/>
      <c r="HG159" s="55"/>
      <c r="HH159" s="55"/>
      <c r="HI159" s="55"/>
      <c r="HJ159" s="55"/>
      <c r="HK159" s="55"/>
      <c r="HL159" s="55"/>
      <c r="HM159" s="55"/>
      <c r="HN159" s="55"/>
      <c r="HO159" s="55"/>
      <c r="HP159" s="55"/>
      <c r="HQ159" s="55"/>
      <c r="HR159" s="55"/>
      <c r="HS159" s="55"/>
      <c r="HT159" s="55"/>
      <c r="HU159" s="55"/>
      <c r="HV159" s="55"/>
      <c r="HW159" s="55"/>
      <c r="HX159" s="55"/>
      <c r="HY159" s="55"/>
      <c r="HZ159" s="55"/>
      <c r="IA159" s="55"/>
      <c r="IB159" s="55"/>
    </row>
    <row r="160" spans="1:236" ht="15" customHeight="1" x14ac:dyDescent="0.2">
      <c r="A160" s="70" t="s">
        <v>383</v>
      </c>
      <c r="B160" s="46" t="s">
        <v>466</v>
      </c>
      <c r="C160" s="45" t="s">
        <v>197</v>
      </c>
      <c r="D160" s="741"/>
      <c r="E160" s="55"/>
      <c r="F160" s="55"/>
      <c r="G160" s="55"/>
      <c r="H160" s="55"/>
      <c r="I160" s="55"/>
      <c r="J160" s="55"/>
      <c r="K160" s="55"/>
      <c r="L160" s="55"/>
      <c r="M160" s="55"/>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c r="AL160" s="55"/>
      <c r="AM160" s="55"/>
      <c r="AN160" s="55"/>
      <c r="AO160" s="55"/>
      <c r="AP160" s="55"/>
      <c r="AQ160" s="55"/>
      <c r="AR160" s="55"/>
      <c r="AS160" s="55"/>
      <c r="AT160" s="55"/>
      <c r="AU160" s="55"/>
      <c r="AV160" s="55"/>
      <c r="AW160" s="55"/>
      <c r="AX160" s="55"/>
      <c r="AY160" s="55"/>
      <c r="AZ160" s="55"/>
      <c r="BA160" s="55"/>
      <c r="BB160" s="55"/>
      <c r="BC160" s="55"/>
      <c r="BD160" s="55"/>
      <c r="BE160" s="55"/>
      <c r="BF160" s="55"/>
      <c r="BG160" s="55"/>
      <c r="BH160" s="55"/>
      <c r="BI160" s="55"/>
      <c r="BJ160" s="55"/>
      <c r="BK160" s="55"/>
      <c r="BL160" s="55"/>
      <c r="BM160" s="55"/>
      <c r="BN160" s="55"/>
      <c r="BO160" s="55"/>
      <c r="BP160" s="55"/>
      <c r="BQ160" s="55"/>
      <c r="BR160" s="55"/>
      <c r="BS160" s="55"/>
      <c r="BT160" s="55"/>
      <c r="BU160" s="55"/>
      <c r="BV160" s="55"/>
      <c r="BW160" s="55"/>
      <c r="BX160" s="55"/>
      <c r="BY160" s="55"/>
      <c r="BZ160" s="55"/>
      <c r="CA160" s="55"/>
      <c r="CB160" s="55"/>
      <c r="CC160" s="55"/>
      <c r="CD160" s="55"/>
      <c r="CE160" s="55"/>
      <c r="CF160" s="55"/>
      <c r="CG160" s="55"/>
      <c r="CH160" s="55"/>
      <c r="CI160" s="55"/>
      <c r="CJ160" s="55"/>
      <c r="CK160" s="55"/>
      <c r="CL160" s="55"/>
      <c r="CM160" s="55"/>
      <c r="CN160" s="55"/>
      <c r="CO160" s="55"/>
      <c r="CP160" s="55"/>
      <c r="CQ160" s="55"/>
      <c r="CR160" s="55"/>
      <c r="CS160" s="55"/>
      <c r="CT160" s="55"/>
      <c r="CU160" s="55"/>
      <c r="CV160" s="55"/>
      <c r="CW160" s="55"/>
      <c r="CX160" s="55"/>
      <c r="CY160" s="55"/>
      <c r="CZ160" s="55"/>
      <c r="DA160" s="55"/>
      <c r="DB160" s="55"/>
      <c r="DC160" s="55"/>
      <c r="DD160" s="55"/>
      <c r="DE160" s="55"/>
      <c r="DF160" s="55"/>
      <c r="DG160" s="55"/>
      <c r="DH160" s="55"/>
      <c r="DI160" s="55"/>
      <c r="DJ160" s="55"/>
      <c r="DK160" s="55"/>
      <c r="DL160" s="55"/>
      <c r="DM160" s="55"/>
      <c r="DN160" s="55"/>
      <c r="DO160" s="55"/>
      <c r="DP160" s="55"/>
      <c r="DQ160" s="55"/>
      <c r="DR160" s="55"/>
      <c r="DS160" s="55"/>
      <c r="DT160" s="55"/>
      <c r="DU160" s="55"/>
      <c r="DV160" s="55"/>
      <c r="DW160" s="55"/>
      <c r="DX160" s="55"/>
      <c r="DY160" s="55"/>
      <c r="DZ160" s="55"/>
      <c r="EA160" s="55"/>
      <c r="EB160" s="55"/>
      <c r="EC160" s="55"/>
      <c r="ED160" s="55"/>
      <c r="EE160" s="55"/>
      <c r="EF160" s="55"/>
      <c r="EG160" s="55"/>
      <c r="EH160" s="55"/>
      <c r="EI160" s="55"/>
      <c r="EJ160" s="55"/>
      <c r="EK160" s="55"/>
      <c r="EL160" s="55"/>
      <c r="EM160" s="55"/>
      <c r="EN160" s="55"/>
      <c r="EO160" s="55"/>
      <c r="EP160" s="55"/>
      <c r="EQ160" s="55"/>
      <c r="ER160" s="55"/>
      <c r="ES160" s="55"/>
      <c r="ET160" s="55"/>
      <c r="EU160" s="55"/>
      <c r="EV160" s="55"/>
      <c r="EW160" s="55"/>
      <c r="EX160" s="55"/>
      <c r="EY160" s="55"/>
      <c r="EZ160" s="55"/>
      <c r="FA160" s="55"/>
      <c r="FB160" s="55"/>
      <c r="FC160" s="55"/>
      <c r="FD160" s="55"/>
      <c r="FE160" s="55"/>
      <c r="FF160" s="55"/>
      <c r="FG160" s="55"/>
      <c r="FH160" s="55"/>
      <c r="FI160" s="55"/>
      <c r="FJ160" s="55"/>
      <c r="FK160" s="55"/>
      <c r="FL160" s="55"/>
      <c r="FM160" s="55"/>
      <c r="FN160" s="55"/>
      <c r="FO160" s="55"/>
      <c r="FP160" s="55"/>
      <c r="FQ160" s="55"/>
      <c r="FR160" s="55"/>
      <c r="FS160" s="55"/>
      <c r="FT160" s="55"/>
      <c r="FU160" s="55"/>
      <c r="FV160" s="55"/>
      <c r="FW160" s="55"/>
      <c r="FX160" s="55"/>
      <c r="FY160" s="55"/>
      <c r="FZ160" s="55"/>
      <c r="GA160" s="55"/>
      <c r="GB160" s="55"/>
      <c r="GC160" s="55"/>
      <c r="GD160" s="55"/>
      <c r="GE160" s="55"/>
      <c r="GF160" s="55"/>
      <c r="GG160" s="55"/>
      <c r="GH160" s="55"/>
      <c r="GI160" s="55"/>
      <c r="GJ160" s="55"/>
      <c r="GK160" s="55"/>
      <c r="GL160" s="55"/>
      <c r="GM160" s="55"/>
      <c r="GN160" s="55"/>
      <c r="GO160" s="55"/>
      <c r="GP160" s="55"/>
      <c r="GQ160" s="55"/>
      <c r="GR160" s="55"/>
      <c r="GS160" s="55"/>
      <c r="GT160" s="55"/>
      <c r="GU160" s="55"/>
      <c r="GV160" s="55"/>
      <c r="GW160" s="55"/>
      <c r="GX160" s="55"/>
      <c r="GY160" s="55"/>
      <c r="GZ160" s="55"/>
      <c r="HA160" s="55"/>
      <c r="HB160" s="55"/>
      <c r="HC160" s="55"/>
      <c r="HD160" s="55"/>
      <c r="HE160" s="55"/>
      <c r="HF160" s="55"/>
      <c r="HG160" s="55"/>
      <c r="HH160" s="55"/>
      <c r="HI160" s="55"/>
      <c r="HJ160" s="55"/>
      <c r="HK160" s="55"/>
      <c r="HL160" s="55"/>
      <c r="HM160" s="55"/>
      <c r="HN160" s="55"/>
      <c r="HO160" s="55"/>
      <c r="HP160" s="55"/>
      <c r="HQ160" s="55"/>
      <c r="HR160" s="55"/>
      <c r="HS160" s="55"/>
      <c r="HT160" s="55"/>
      <c r="HU160" s="55"/>
      <c r="HV160" s="55"/>
      <c r="HW160" s="55"/>
      <c r="HX160" s="55"/>
      <c r="HY160" s="55"/>
      <c r="HZ160" s="55"/>
      <c r="IA160" s="55"/>
      <c r="IB160" s="55"/>
    </row>
    <row r="161" spans="1:236" ht="15" customHeight="1" x14ac:dyDescent="0.2">
      <c r="A161" s="70" t="s">
        <v>384</v>
      </c>
      <c r="B161" s="46" t="s">
        <v>226</v>
      </c>
      <c r="C161" s="45" t="s">
        <v>196</v>
      </c>
      <c r="D161" s="741"/>
      <c r="E161" s="55"/>
      <c r="F161" s="55"/>
      <c r="G161" s="55"/>
      <c r="H161" s="55"/>
      <c r="I161" s="55"/>
      <c r="J161" s="55"/>
      <c r="K161" s="55"/>
      <c r="L161" s="55"/>
      <c r="M161" s="55"/>
      <c r="N161" s="55"/>
      <c r="O161" s="55"/>
      <c r="P161" s="55"/>
      <c r="Q161" s="55"/>
      <c r="R161" s="55"/>
      <c r="S161" s="55"/>
      <c r="T161" s="55"/>
      <c r="U161" s="55"/>
      <c r="V161" s="55"/>
      <c r="W161" s="55"/>
      <c r="X161" s="55"/>
      <c r="Y161" s="55"/>
      <c r="Z161" s="55"/>
      <c r="AA161" s="55"/>
      <c r="AB161" s="55"/>
      <c r="AC161" s="55"/>
      <c r="AD161" s="55"/>
      <c r="AE161" s="55"/>
      <c r="AF161" s="55"/>
      <c r="AG161" s="55"/>
      <c r="AH161" s="55"/>
      <c r="AI161" s="55"/>
      <c r="AJ161" s="55"/>
      <c r="AK161" s="55"/>
      <c r="AL161" s="55"/>
      <c r="AM161" s="55"/>
      <c r="AN161" s="55"/>
      <c r="AO161" s="55"/>
      <c r="AP161" s="55"/>
      <c r="AQ161" s="55"/>
      <c r="AR161" s="55"/>
      <c r="AS161" s="55"/>
      <c r="AT161" s="55"/>
      <c r="AU161" s="55"/>
      <c r="AV161" s="55"/>
      <c r="AW161" s="55"/>
      <c r="AX161" s="55"/>
      <c r="AY161" s="55"/>
      <c r="AZ161" s="55"/>
      <c r="BA161" s="55"/>
      <c r="BB161" s="55"/>
      <c r="BC161" s="55"/>
      <c r="BD161" s="55"/>
      <c r="BE161" s="55"/>
      <c r="BF161" s="55"/>
      <c r="BG161" s="55"/>
      <c r="BH161" s="55"/>
      <c r="BI161" s="55"/>
      <c r="BJ161" s="55"/>
      <c r="BK161" s="55"/>
      <c r="BL161" s="55"/>
      <c r="BM161" s="55"/>
      <c r="BN161" s="55"/>
      <c r="BO161" s="55"/>
      <c r="BP161" s="55"/>
      <c r="BQ161" s="55"/>
      <c r="BR161" s="55"/>
      <c r="BS161" s="55"/>
      <c r="BT161" s="55"/>
      <c r="BU161" s="55"/>
      <c r="BV161" s="55"/>
      <c r="BW161" s="55"/>
      <c r="BX161" s="55"/>
      <c r="BY161" s="55"/>
      <c r="BZ161" s="55"/>
      <c r="CA161" s="55"/>
      <c r="CB161" s="55"/>
      <c r="CC161" s="55"/>
      <c r="CD161" s="55"/>
      <c r="CE161" s="55"/>
      <c r="CF161" s="55"/>
      <c r="CG161" s="55"/>
      <c r="CH161" s="55"/>
      <c r="CI161" s="55"/>
      <c r="CJ161" s="55"/>
      <c r="CK161" s="55"/>
      <c r="CL161" s="55"/>
      <c r="CM161" s="55"/>
      <c r="CN161" s="55"/>
      <c r="CO161" s="55"/>
      <c r="CP161" s="55"/>
      <c r="CQ161" s="55"/>
      <c r="CR161" s="55"/>
      <c r="CS161" s="55"/>
      <c r="CT161" s="55"/>
      <c r="CU161" s="55"/>
      <c r="CV161" s="55"/>
      <c r="CW161" s="55"/>
      <c r="CX161" s="55"/>
      <c r="CY161" s="55"/>
      <c r="CZ161" s="55"/>
      <c r="DA161" s="55"/>
      <c r="DB161" s="55"/>
      <c r="DC161" s="55"/>
      <c r="DD161" s="55"/>
      <c r="DE161" s="55"/>
      <c r="DF161" s="55"/>
      <c r="DG161" s="55"/>
      <c r="DH161" s="55"/>
      <c r="DI161" s="55"/>
      <c r="DJ161" s="55"/>
      <c r="DK161" s="55"/>
      <c r="DL161" s="55"/>
      <c r="DM161" s="55"/>
      <c r="DN161" s="55"/>
      <c r="DO161" s="55"/>
      <c r="DP161" s="55"/>
      <c r="DQ161" s="55"/>
      <c r="DR161" s="55"/>
      <c r="DS161" s="55"/>
      <c r="DT161" s="55"/>
      <c r="DU161" s="55"/>
      <c r="DV161" s="55"/>
      <c r="DW161" s="55"/>
      <c r="DX161" s="55"/>
      <c r="DY161" s="55"/>
      <c r="DZ161" s="55"/>
      <c r="EA161" s="55"/>
      <c r="EB161" s="55"/>
      <c r="EC161" s="55"/>
      <c r="ED161" s="55"/>
      <c r="EE161" s="55"/>
      <c r="EF161" s="55"/>
      <c r="EG161" s="55"/>
      <c r="EH161" s="55"/>
      <c r="EI161" s="55"/>
      <c r="EJ161" s="55"/>
      <c r="EK161" s="55"/>
      <c r="EL161" s="55"/>
      <c r="EM161" s="55"/>
      <c r="EN161" s="55"/>
      <c r="EO161" s="55"/>
      <c r="EP161" s="55"/>
      <c r="EQ161" s="55"/>
      <c r="ER161" s="55"/>
      <c r="ES161" s="55"/>
      <c r="ET161" s="55"/>
      <c r="EU161" s="55"/>
      <c r="EV161" s="55"/>
      <c r="EW161" s="55"/>
      <c r="EX161" s="55"/>
      <c r="EY161" s="55"/>
      <c r="EZ161" s="55"/>
      <c r="FA161" s="55"/>
      <c r="FB161" s="55"/>
      <c r="FC161" s="55"/>
      <c r="FD161" s="55"/>
      <c r="FE161" s="55"/>
      <c r="FF161" s="55"/>
      <c r="FG161" s="55"/>
      <c r="FH161" s="55"/>
      <c r="FI161" s="55"/>
      <c r="FJ161" s="55"/>
      <c r="FK161" s="55"/>
      <c r="FL161" s="55"/>
      <c r="FM161" s="55"/>
      <c r="FN161" s="55"/>
      <c r="FO161" s="55"/>
      <c r="FP161" s="55"/>
      <c r="FQ161" s="55"/>
      <c r="FR161" s="55"/>
      <c r="FS161" s="55"/>
      <c r="FT161" s="55"/>
      <c r="FU161" s="55"/>
      <c r="FV161" s="55"/>
      <c r="FW161" s="55"/>
      <c r="FX161" s="55"/>
      <c r="FY161" s="55"/>
      <c r="FZ161" s="55"/>
      <c r="GA161" s="55"/>
      <c r="GB161" s="55"/>
      <c r="GC161" s="55"/>
      <c r="GD161" s="55"/>
      <c r="GE161" s="55"/>
      <c r="GF161" s="55"/>
      <c r="GG161" s="55"/>
      <c r="GH161" s="55"/>
      <c r="GI161" s="55"/>
      <c r="GJ161" s="55"/>
      <c r="GK161" s="55"/>
      <c r="GL161" s="55"/>
      <c r="GM161" s="55"/>
      <c r="GN161" s="55"/>
      <c r="GO161" s="55"/>
      <c r="GP161" s="55"/>
      <c r="GQ161" s="55"/>
      <c r="GR161" s="55"/>
      <c r="GS161" s="55"/>
      <c r="GT161" s="55"/>
      <c r="GU161" s="55"/>
      <c r="GV161" s="55"/>
      <c r="GW161" s="55"/>
      <c r="GX161" s="55"/>
      <c r="GY161" s="55"/>
      <c r="GZ161" s="55"/>
      <c r="HA161" s="55"/>
      <c r="HB161" s="55"/>
      <c r="HC161" s="55"/>
      <c r="HD161" s="55"/>
      <c r="HE161" s="55"/>
      <c r="HF161" s="55"/>
      <c r="HG161" s="55"/>
      <c r="HH161" s="55"/>
      <c r="HI161" s="55"/>
      <c r="HJ161" s="55"/>
      <c r="HK161" s="55"/>
      <c r="HL161" s="55"/>
      <c r="HM161" s="55"/>
      <c r="HN161" s="55"/>
      <c r="HO161" s="55"/>
      <c r="HP161" s="55"/>
      <c r="HQ161" s="55"/>
      <c r="HR161" s="55"/>
      <c r="HS161" s="55"/>
      <c r="HT161" s="55"/>
      <c r="HU161" s="55"/>
      <c r="HV161" s="55"/>
      <c r="HW161" s="55"/>
      <c r="HX161" s="55"/>
      <c r="HY161" s="55"/>
      <c r="HZ161" s="55"/>
      <c r="IA161" s="55"/>
      <c r="IB161" s="55"/>
    </row>
    <row r="162" spans="1:236" ht="15" customHeight="1" x14ac:dyDescent="0.2">
      <c r="A162" s="70" t="s">
        <v>385</v>
      </c>
      <c r="B162" s="46" t="s">
        <v>961</v>
      </c>
      <c r="C162" s="45" t="s">
        <v>195</v>
      </c>
      <c r="D162" s="741"/>
      <c r="E162" s="55"/>
      <c r="F162" s="55"/>
      <c r="G162" s="55"/>
      <c r="H162" s="55"/>
      <c r="I162" s="55"/>
      <c r="J162" s="55"/>
      <c r="K162" s="55"/>
      <c r="L162" s="55"/>
      <c r="M162" s="55"/>
      <c r="N162" s="55"/>
      <c r="O162" s="55"/>
      <c r="P162" s="55"/>
      <c r="Q162" s="55"/>
      <c r="R162" s="55"/>
      <c r="S162" s="55"/>
      <c r="T162" s="55"/>
      <c r="U162" s="55"/>
      <c r="V162" s="55"/>
      <c r="W162" s="55"/>
      <c r="X162" s="55"/>
      <c r="Y162" s="55"/>
      <c r="Z162" s="55"/>
      <c r="AA162" s="55"/>
      <c r="AB162" s="55"/>
      <c r="AC162" s="55"/>
      <c r="AD162" s="55"/>
      <c r="AE162" s="55"/>
      <c r="AF162" s="55"/>
      <c r="AG162" s="55"/>
      <c r="AH162" s="55"/>
      <c r="AI162" s="55"/>
      <c r="AJ162" s="55"/>
      <c r="AK162" s="55"/>
      <c r="AL162" s="55"/>
      <c r="AM162" s="55"/>
      <c r="AN162" s="55"/>
      <c r="AO162" s="55"/>
      <c r="AP162" s="55"/>
      <c r="AQ162" s="55"/>
      <c r="AR162" s="55"/>
      <c r="AS162" s="55"/>
      <c r="AT162" s="55"/>
      <c r="AU162" s="55"/>
      <c r="AV162" s="55"/>
      <c r="AW162" s="55"/>
      <c r="AX162" s="55"/>
      <c r="AY162" s="55"/>
      <c r="AZ162" s="55"/>
      <c r="BA162" s="55"/>
      <c r="BB162" s="55"/>
      <c r="BC162" s="55"/>
      <c r="BD162" s="55"/>
      <c r="BE162" s="55"/>
      <c r="BF162" s="55"/>
      <c r="BG162" s="55"/>
      <c r="BH162" s="55"/>
      <c r="BI162" s="55"/>
      <c r="BJ162" s="55"/>
      <c r="BK162" s="55"/>
      <c r="BL162" s="55"/>
      <c r="BM162" s="55"/>
      <c r="BN162" s="55"/>
      <c r="BO162" s="55"/>
      <c r="BP162" s="55"/>
      <c r="BQ162" s="55"/>
      <c r="BR162" s="55"/>
      <c r="BS162" s="55"/>
      <c r="BT162" s="55"/>
      <c r="BU162" s="55"/>
      <c r="BV162" s="55"/>
      <c r="BW162" s="55"/>
      <c r="BX162" s="55"/>
      <c r="BY162" s="55"/>
      <c r="BZ162" s="55"/>
      <c r="CA162" s="55"/>
      <c r="CB162" s="55"/>
      <c r="CC162" s="55"/>
      <c r="CD162" s="55"/>
      <c r="CE162" s="55"/>
      <c r="CF162" s="55"/>
      <c r="CG162" s="55"/>
      <c r="CH162" s="55"/>
      <c r="CI162" s="55"/>
      <c r="CJ162" s="55"/>
      <c r="CK162" s="55"/>
      <c r="CL162" s="55"/>
      <c r="CM162" s="55"/>
      <c r="CN162" s="55"/>
      <c r="CO162" s="55"/>
      <c r="CP162" s="55"/>
      <c r="CQ162" s="55"/>
      <c r="CR162" s="55"/>
      <c r="CS162" s="55"/>
      <c r="CT162" s="55"/>
      <c r="CU162" s="55"/>
      <c r="CV162" s="55"/>
      <c r="CW162" s="55"/>
      <c r="CX162" s="55"/>
      <c r="CY162" s="55"/>
      <c r="CZ162" s="55"/>
      <c r="DA162" s="55"/>
      <c r="DB162" s="55"/>
      <c r="DC162" s="55"/>
      <c r="DD162" s="55"/>
      <c r="DE162" s="55"/>
      <c r="DF162" s="55"/>
      <c r="DG162" s="55"/>
      <c r="DH162" s="55"/>
      <c r="DI162" s="55"/>
      <c r="DJ162" s="55"/>
      <c r="DK162" s="55"/>
      <c r="DL162" s="55"/>
      <c r="DM162" s="55"/>
      <c r="DN162" s="55"/>
      <c r="DO162" s="55"/>
      <c r="DP162" s="55"/>
      <c r="DQ162" s="55"/>
      <c r="DR162" s="55"/>
      <c r="DS162" s="55"/>
      <c r="DT162" s="55"/>
      <c r="DU162" s="55"/>
      <c r="DV162" s="55"/>
      <c r="DW162" s="55"/>
      <c r="DX162" s="55"/>
      <c r="DY162" s="55"/>
      <c r="DZ162" s="55"/>
      <c r="EA162" s="55"/>
      <c r="EB162" s="55"/>
      <c r="EC162" s="55"/>
      <c r="ED162" s="55"/>
      <c r="EE162" s="55"/>
      <c r="EF162" s="55"/>
      <c r="EG162" s="55"/>
      <c r="EH162" s="55"/>
      <c r="EI162" s="55"/>
      <c r="EJ162" s="55"/>
      <c r="EK162" s="55"/>
      <c r="EL162" s="55"/>
      <c r="EM162" s="55"/>
      <c r="EN162" s="55"/>
      <c r="EO162" s="55"/>
      <c r="EP162" s="55"/>
      <c r="EQ162" s="55"/>
      <c r="ER162" s="55"/>
      <c r="ES162" s="55"/>
      <c r="ET162" s="55"/>
      <c r="EU162" s="55"/>
      <c r="EV162" s="55"/>
      <c r="EW162" s="55"/>
      <c r="EX162" s="55"/>
      <c r="EY162" s="55"/>
      <c r="EZ162" s="55"/>
      <c r="FA162" s="55"/>
      <c r="FB162" s="55"/>
      <c r="FC162" s="55"/>
      <c r="FD162" s="55"/>
      <c r="FE162" s="55"/>
      <c r="FF162" s="55"/>
      <c r="FG162" s="55"/>
      <c r="FH162" s="55"/>
      <c r="FI162" s="55"/>
      <c r="FJ162" s="55"/>
      <c r="FK162" s="55"/>
      <c r="FL162" s="55"/>
      <c r="FM162" s="55"/>
      <c r="FN162" s="55"/>
      <c r="FO162" s="55"/>
      <c r="FP162" s="55"/>
      <c r="FQ162" s="55"/>
      <c r="FR162" s="55"/>
      <c r="FS162" s="55"/>
      <c r="FT162" s="55"/>
      <c r="FU162" s="55"/>
      <c r="FV162" s="55"/>
      <c r="FW162" s="55"/>
      <c r="FX162" s="55"/>
      <c r="FY162" s="55"/>
      <c r="FZ162" s="55"/>
      <c r="GA162" s="55"/>
      <c r="GB162" s="55"/>
      <c r="GC162" s="55"/>
      <c r="GD162" s="55"/>
      <c r="GE162" s="55"/>
      <c r="GF162" s="55"/>
      <c r="GG162" s="55"/>
      <c r="GH162" s="55"/>
      <c r="GI162" s="55"/>
      <c r="GJ162" s="55"/>
      <c r="GK162" s="55"/>
      <c r="GL162" s="55"/>
      <c r="GM162" s="55"/>
      <c r="GN162" s="55"/>
      <c r="GO162" s="55"/>
      <c r="GP162" s="55"/>
      <c r="GQ162" s="55"/>
      <c r="GR162" s="55"/>
      <c r="GS162" s="55"/>
      <c r="GT162" s="55"/>
      <c r="GU162" s="55"/>
      <c r="GV162" s="55"/>
      <c r="GW162" s="55"/>
      <c r="GX162" s="55"/>
      <c r="GY162" s="55"/>
      <c r="GZ162" s="55"/>
      <c r="HA162" s="55"/>
      <c r="HB162" s="55"/>
      <c r="HC162" s="55"/>
      <c r="HD162" s="55"/>
      <c r="HE162" s="55"/>
      <c r="HF162" s="55"/>
      <c r="HG162" s="55"/>
      <c r="HH162" s="55"/>
      <c r="HI162" s="55"/>
      <c r="HJ162" s="55"/>
      <c r="HK162" s="55"/>
      <c r="HL162" s="55"/>
      <c r="HM162" s="55"/>
      <c r="HN162" s="55"/>
      <c r="HO162" s="55"/>
      <c r="HP162" s="55"/>
      <c r="HQ162" s="55"/>
      <c r="HR162" s="55"/>
      <c r="HS162" s="55"/>
      <c r="HT162" s="55"/>
      <c r="HU162" s="55"/>
      <c r="HV162" s="55"/>
      <c r="HW162" s="55"/>
      <c r="HX162" s="55"/>
      <c r="HY162" s="55"/>
      <c r="HZ162" s="55"/>
      <c r="IA162" s="55"/>
      <c r="IB162" s="55"/>
    </row>
    <row r="163" spans="1:236" ht="15" customHeight="1" x14ac:dyDescent="0.2">
      <c r="A163" s="70" t="s">
        <v>386</v>
      </c>
      <c r="B163" s="46" t="s">
        <v>474</v>
      </c>
      <c r="C163" s="45" t="s">
        <v>195</v>
      </c>
      <c r="D163" s="741"/>
      <c r="E163" s="55"/>
      <c r="F163" s="55"/>
      <c r="G163" s="55"/>
      <c r="H163" s="55"/>
      <c r="I163" s="55"/>
      <c r="J163" s="55"/>
      <c r="K163" s="55"/>
      <c r="L163" s="55"/>
      <c r="M163" s="55"/>
      <c r="N163" s="55"/>
      <c r="O163" s="55"/>
      <c r="P163" s="55"/>
      <c r="Q163" s="55"/>
      <c r="R163" s="55"/>
      <c r="S163" s="55"/>
      <c r="T163" s="55"/>
      <c r="U163" s="55"/>
      <c r="V163" s="55"/>
      <c r="W163" s="55"/>
      <c r="X163" s="55"/>
      <c r="Y163" s="55"/>
      <c r="Z163" s="55"/>
      <c r="AA163" s="55"/>
      <c r="AB163" s="55"/>
      <c r="AC163" s="55"/>
      <c r="AD163" s="55"/>
      <c r="AE163" s="55"/>
      <c r="AF163" s="55"/>
      <c r="AG163" s="55"/>
      <c r="AH163" s="55"/>
      <c r="AI163" s="55"/>
      <c r="AJ163" s="55"/>
      <c r="AK163" s="55"/>
      <c r="AL163" s="55"/>
      <c r="AM163" s="55"/>
      <c r="AN163" s="55"/>
      <c r="AO163" s="55"/>
      <c r="AP163" s="55"/>
      <c r="AQ163" s="55"/>
      <c r="AR163" s="55"/>
      <c r="AS163" s="55"/>
      <c r="AT163" s="55"/>
      <c r="AU163" s="55"/>
      <c r="AV163" s="55"/>
      <c r="AW163" s="55"/>
      <c r="AX163" s="55"/>
      <c r="AY163" s="55"/>
      <c r="AZ163" s="55"/>
      <c r="BA163" s="55"/>
      <c r="BB163" s="55"/>
      <c r="BC163" s="55"/>
      <c r="BD163" s="55"/>
      <c r="BE163" s="55"/>
      <c r="BF163" s="55"/>
      <c r="BG163" s="55"/>
      <c r="BH163" s="55"/>
      <c r="BI163" s="55"/>
      <c r="BJ163" s="55"/>
      <c r="BK163" s="55"/>
      <c r="BL163" s="55"/>
      <c r="BM163" s="55"/>
      <c r="BN163" s="55"/>
      <c r="BO163" s="55"/>
      <c r="BP163" s="55"/>
      <c r="BQ163" s="55"/>
      <c r="BR163" s="55"/>
      <c r="BS163" s="55"/>
      <c r="BT163" s="55"/>
      <c r="BU163" s="55"/>
      <c r="BV163" s="55"/>
      <c r="BW163" s="55"/>
      <c r="BX163" s="55"/>
      <c r="BY163" s="55"/>
      <c r="BZ163" s="55"/>
      <c r="CA163" s="55"/>
      <c r="CB163" s="55"/>
      <c r="CC163" s="55"/>
      <c r="CD163" s="55"/>
      <c r="CE163" s="55"/>
      <c r="CF163" s="55"/>
      <c r="CG163" s="55"/>
      <c r="CH163" s="55"/>
      <c r="CI163" s="55"/>
      <c r="CJ163" s="55"/>
      <c r="CK163" s="55"/>
      <c r="CL163" s="55"/>
      <c r="CM163" s="55"/>
      <c r="CN163" s="55"/>
      <c r="CO163" s="55"/>
      <c r="CP163" s="55"/>
      <c r="CQ163" s="55"/>
      <c r="CR163" s="55"/>
      <c r="CS163" s="55"/>
      <c r="CT163" s="55"/>
      <c r="CU163" s="55"/>
      <c r="CV163" s="55"/>
      <c r="CW163" s="55"/>
      <c r="CX163" s="55"/>
      <c r="CY163" s="55"/>
      <c r="CZ163" s="55"/>
      <c r="DA163" s="55"/>
      <c r="DB163" s="55"/>
      <c r="DC163" s="55"/>
      <c r="DD163" s="55"/>
      <c r="DE163" s="55"/>
      <c r="DF163" s="55"/>
      <c r="DG163" s="55"/>
      <c r="DH163" s="55"/>
      <c r="DI163" s="55"/>
      <c r="DJ163" s="55"/>
      <c r="DK163" s="55"/>
      <c r="DL163" s="55"/>
      <c r="DM163" s="55"/>
      <c r="DN163" s="55"/>
      <c r="DO163" s="55"/>
      <c r="DP163" s="55"/>
      <c r="DQ163" s="55"/>
      <c r="DR163" s="55"/>
      <c r="DS163" s="55"/>
      <c r="DT163" s="55"/>
      <c r="DU163" s="55"/>
      <c r="DV163" s="55"/>
      <c r="DW163" s="55"/>
      <c r="DX163" s="55"/>
      <c r="DY163" s="55"/>
      <c r="DZ163" s="55"/>
      <c r="EA163" s="55"/>
      <c r="EB163" s="55"/>
      <c r="EC163" s="55"/>
      <c r="ED163" s="55"/>
      <c r="EE163" s="55"/>
      <c r="EF163" s="55"/>
      <c r="EG163" s="55"/>
      <c r="EH163" s="55"/>
      <c r="EI163" s="55"/>
      <c r="EJ163" s="55"/>
      <c r="EK163" s="55"/>
      <c r="EL163" s="55"/>
      <c r="EM163" s="55"/>
      <c r="EN163" s="55"/>
      <c r="EO163" s="55"/>
      <c r="EP163" s="55"/>
      <c r="EQ163" s="55"/>
      <c r="ER163" s="55"/>
      <c r="ES163" s="55"/>
      <c r="ET163" s="55"/>
      <c r="EU163" s="55"/>
      <c r="EV163" s="55"/>
      <c r="EW163" s="55"/>
      <c r="EX163" s="55"/>
      <c r="EY163" s="55"/>
      <c r="EZ163" s="55"/>
      <c r="FA163" s="55"/>
      <c r="FB163" s="55"/>
      <c r="FC163" s="55"/>
      <c r="FD163" s="55"/>
      <c r="FE163" s="55"/>
      <c r="FF163" s="55"/>
      <c r="FG163" s="55"/>
      <c r="FH163" s="55"/>
      <c r="FI163" s="55"/>
      <c r="FJ163" s="55"/>
      <c r="FK163" s="55"/>
      <c r="FL163" s="55"/>
      <c r="FM163" s="55"/>
      <c r="FN163" s="55"/>
      <c r="FO163" s="55"/>
      <c r="FP163" s="55"/>
      <c r="FQ163" s="55"/>
      <c r="FR163" s="55"/>
      <c r="FS163" s="55"/>
      <c r="FT163" s="55"/>
      <c r="FU163" s="55"/>
      <c r="FV163" s="55"/>
      <c r="FW163" s="55"/>
      <c r="FX163" s="55"/>
      <c r="FY163" s="55"/>
      <c r="FZ163" s="55"/>
      <c r="GA163" s="55"/>
      <c r="GB163" s="55"/>
      <c r="GC163" s="55"/>
      <c r="GD163" s="55"/>
      <c r="GE163" s="55"/>
      <c r="GF163" s="55"/>
      <c r="GG163" s="55"/>
      <c r="GH163" s="55"/>
      <c r="GI163" s="55"/>
      <c r="GJ163" s="55"/>
      <c r="GK163" s="55"/>
      <c r="GL163" s="55"/>
      <c r="GM163" s="55"/>
      <c r="GN163" s="55"/>
      <c r="GO163" s="55"/>
      <c r="GP163" s="55"/>
      <c r="GQ163" s="55"/>
      <c r="GR163" s="55"/>
      <c r="GS163" s="55"/>
      <c r="GT163" s="55"/>
      <c r="GU163" s="55"/>
      <c r="GV163" s="55"/>
      <c r="GW163" s="55"/>
      <c r="GX163" s="55"/>
      <c r="GY163" s="55"/>
      <c r="GZ163" s="55"/>
      <c r="HA163" s="55"/>
      <c r="HB163" s="55"/>
      <c r="HC163" s="55"/>
      <c r="HD163" s="55"/>
      <c r="HE163" s="55"/>
      <c r="HF163" s="55"/>
      <c r="HG163" s="55"/>
      <c r="HH163" s="55"/>
      <c r="HI163" s="55"/>
      <c r="HJ163" s="55"/>
      <c r="HK163" s="55"/>
      <c r="HL163" s="55"/>
      <c r="HM163" s="55"/>
      <c r="HN163" s="55"/>
      <c r="HO163" s="55"/>
      <c r="HP163" s="55"/>
      <c r="HQ163" s="55"/>
      <c r="HR163" s="55"/>
      <c r="HS163" s="55"/>
      <c r="HT163" s="55"/>
      <c r="HU163" s="55"/>
      <c r="HV163" s="55"/>
      <c r="HW163" s="55"/>
      <c r="HX163" s="55"/>
      <c r="HY163" s="55"/>
      <c r="HZ163" s="55"/>
      <c r="IA163" s="55"/>
      <c r="IB163" s="55"/>
    </row>
    <row r="164" spans="1:236" ht="15" customHeight="1" x14ac:dyDescent="0.2">
      <c r="A164" s="70" t="s">
        <v>387</v>
      </c>
      <c r="B164" s="46" t="s">
        <v>966</v>
      </c>
      <c r="C164" s="45" t="s">
        <v>195</v>
      </c>
      <c r="D164" s="741"/>
      <c r="E164" s="55"/>
      <c r="F164" s="55"/>
      <c r="G164" s="55"/>
      <c r="H164" s="55"/>
      <c r="I164" s="55"/>
      <c r="J164" s="55"/>
      <c r="K164" s="55"/>
      <c r="L164" s="55"/>
      <c r="M164" s="55"/>
      <c r="N164" s="55"/>
      <c r="O164" s="55"/>
      <c r="P164" s="55"/>
      <c r="Q164" s="55"/>
      <c r="R164" s="55"/>
      <c r="S164" s="55"/>
      <c r="T164" s="55"/>
      <c r="U164" s="55"/>
      <c r="V164" s="55"/>
      <c r="W164" s="55"/>
      <c r="X164" s="55"/>
      <c r="Y164" s="55"/>
      <c r="Z164" s="55"/>
      <c r="AA164" s="55"/>
      <c r="AB164" s="55"/>
      <c r="AC164" s="55"/>
      <c r="AD164" s="55"/>
      <c r="AE164" s="55"/>
      <c r="AF164" s="55"/>
      <c r="AG164" s="55"/>
      <c r="AH164" s="55"/>
      <c r="AI164" s="55"/>
      <c r="AJ164" s="55"/>
      <c r="AK164" s="55"/>
      <c r="AL164" s="55"/>
      <c r="AM164" s="55"/>
      <c r="AN164" s="55"/>
      <c r="AO164" s="55"/>
      <c r="AP164" s="55"/>
      <c r="AQ164" s="55"/>
      <c r="AR164" s="55"/>
      <c r="AS164" s="55"/>
      <c r="AT164" s="55"/>
      <c r="AU164" s="55"/>
      <c r="AV164" s="55"/>
      <c r="AW164" s="55"/>
      <c r="AX164" s="55"/>
      <c r="AY164" s="55"/>
      <c r="AZ164" s="55"/>
      <c r="BA164" s="55"/>
      <c r="BB164" s="55"/>
      <c r="BC164" s="55"/>
      <c r="BD164" s="55"/>
      <c r="BE164" s="55"/>
      <c r="BF164" s="55"/>
      <c r="BG164" s="55"/>
      <c r="BH164" s="55"/>
      <c r="BI164" s="55"/>
      <c r="BJ164" s="55"/>
      <c r="BK164" s="55"/>
      <c r="BL164" s="55"/>
      <c r="BM164" s="55"/>
      <c r="BN164" s="55"/>
      <c r="BO164" s="55"/>
      <c r="BP164" s="55"/>
      <c r="BQ164" s="55"/>
      <c r="BR164" s="55"/>
      <c r="BS164" s="55"/>
      <c r="BT164" s="55"/>
      <c r="BU164" s="55"/>
      <c r="BV164" s="55"/>
      <c r="BW164" s="55"/>
      <c r="BX164" s="55"/>
      <c r="BY164" s="55"/>
      <c r="BZ164" s="55"/>
      <c r="CA164" s="55"/>
      <c r="CB164" s="55"/>
      <c r="CC164" s="55"/>
      <c r="CD164" s="55"/>
      <c r="CE164" s="55"/>
      <c r="CF164" s="55"/>
      <c r="CG164" s="55"/>
      <c r="CH164" s="55"/>
      <c r="CI164" s="55"/>
      <c r="CJ164" s="55"/>
      <c r="CK164" s="55"/>
      <c r="CL164" s="55"/>
      <c r="CM164" s="55"/>
      <c r="CN164" s="55"/>
      <c r="CO164" s="55"/>
      <c r="CP164" s="55"/>
      <c r="CQ164" s="55"/>
      <c r="CR164" s="55"/>
      <c r="CS164" s="55"/>
      <c r="CT164" s="55"/>
      <c r="CU164" s="55"/>
      <c r="CV164" s="55"/>
      <c r="CW164" s="55"/>
      <c r="CX164" s="55"/>
      <c r="CY164" s="55"/>
      <c r="CZ164" s="55"/>
      <c r="DA164" s="55"/>
      <c r="DB164" s="55"/>
      <c r="DC164" s="55"/>
      <c r="DD164" s="55"/>
      <c r="DE164" s="55"/>
      <c r="DF164" s="55"/>
      <c r="DG164" s="55"/>
      <c r="DH164" s="55"/>
      <c r="DI164" s="55"/>
      <c r="DJ164" s="55"/>
      <c r="DK164" s="55"/>
      <c r="DL164" s="55"/>
      <c r="DM164" s="55"/>
      <c r="DN164" s="55"/>
      <c r="DO164" s="55"/>
      <c r="DP164" s="55"/>
      <c r="DQ164" s="55"/>
      <c r="DR164" s="55"/>
      <c r="DS164" s="55"/>
      <c r="DT164" s="55"/>
      <c r="DU164" s="55"/>
      <c r="DV164" s="55"/>
      <c r="DW164" s="55"/>
      <c r="DX164" s="55"/>
      <c r="DY164" s="55"/>
      <c r="DZ164" s="55"/>
      <c r="EA164" s="55"/>
      <c r="EB164" s="55"/>
      <c r="EC164" s="55"/>
      <c r="ED164" s="55"/>
      <c r="EE164" s="55"/>
      <c r="EF164" s="55"/>
      <c r="EG164" s="55"/>
      <c r="EH164" s="55"/>
      <c r="EI164" s="55"/>
      <c r="EJ164" s="55"/>
      <c r="EK164" s="55"/>
      <c r="EL164" s="55"/>
      <c r="EM164" s="55"/>
      <c r="EN164" s="55"/>
      <c r="EO164" s="55"/>
      <c r="EP164" s="55"/>
      <c r="EQ164" s="55"/>
      <c r="ER164" s="55"/>
      <c r="ES164" s="55"/>
      <c r="ET164" s="55"/>
      <c r="EU164" s="55"/>
      <c r="EV164" s="55"/>
      <c r="EW164" s="55"/>
      <c r="EX164" s="55"/>
      <c r="EY164" s="55"/>
      <c r="EZ164" s="55"/>
      <c r="FA164" s="55"/>
      <c r="FB164" s="55"/>
      <c r="FC164" s="55"/>
      <c r="FD164" s="55"/>
      <c r="FE164" s="55"/>
      <c r="FF164" s="55"/>
      <c r="FG164" s="55"/>
      <c r="FH164" s="55"/>
      <c r="FI164" s="55"/>
      <c r="FJ164" s="55"/>
      <c r="FK164" s="55"/>
      <c r="FL164" s="55"/>
      <c r="FM164" s="55"/>
      <c r="FN164" s="55"/>
      <c r="FO164" s="55"/>
      <c r="FP164" s="55"/>
      <c r="FQ164" s="55"/>
      <c r="FR164" s="55"/>
      <c r="FS164" s="55"/>
      <c r="FT164" s="55"/>
      <c r="FU164" s="55"/>
      <c r="FV164" s="55"/>
      <c r="FW164" s="55"/>
      <c r="FX164" s="55"/>
      <c r="FY164" s="55"/>
      <c r="FZ164" s="55"/>
      <c r="GA164" s="55"/>
      <c r="GB164" s="55"/>
      <c r="GC164" s="55"/>
      <c r="GD164" s="55"/>
      <c r="GE164" s="55"/>
      <c r="GF164" s="55"/>
      <c r="GG164" s="55"/>
      <c r="GH164" s="55"/>
      <c r="GI164" s="55"/>
      <c r="GJ164" s="55"/>
      <c r="GK164" s="55"/>
      <c r="GL164" s="55"/>
      <c r="GM164" s="55"/>
      <c r="GN164" s="55"/>
      <c r="GO164" s="55"/>
      <c r="GP164" s="55"/>
      <c r="GQ164" s="55"/>
      <c r="GR164" s="55"/>
      <c r="GS164" s="55"/>
      <c r="GT164" s="55"/>
      <c r="GU164" s="55"/>
      <c r="GV164" s="55"/>
      <c r="GW164" s="55"/>
      <c r="GX164" s="55"/>
      <c r="GY164" s="55"/>
      <c r="GZ164" s="55"/>
      <c r="HA164" s="55"/>
      <c r="HB164" s="55"/>
      <c r="HC164" s="55"/>
      <c r="HD164" s="55"/>
      <c r="HE164" s="55"/>
      <c r="HF164" s="55"/>
      <c r="HG164" s="55"/>
      <c r="HH164" s="55"/>
      <c r="HI164" s="55"/>
      <c r="HJ164" s="55"/>
      <c r="HK164" s="55"/>
      <c r="HL164" s="55"/>
      <c r="HM164" s="55"/>
      <c r="HN164" s="55"/>
      <c r="HO164" s="55"/>
      <c r="HP164" s="55"/>
      <c r="HQ164" s="55"/>
      <c r="HR164" s="55"/>
      <c r="HS164" s="55"/>
      <c r="HT164" s="55"/>
      <c r="HU164" s="55"/>
      <c r="HV164" s="55"/>
      <c r="HW164" s="55"/>
      <c r="HX164" s="55"/>
      <c r="HY164" s="55"/>
      <c r="HZ164" s="55"/>
      <c r="IA164" s="55"/>
      <c r="IB164" s="55"/>
    </row>
    <row r="165" spans="1:236" ht="15" customHeight="1" x14ac:dyDescent="0.2">
      <c r="A165" s="70" t="s">
        <v>388</v>
      </c>
      <c r="B165" s="46" t="s">
        <v>1072</v>
      </c>
      <c r="C165" s="45" t="s">
        <v>195</v>
      </c>
      <c r="D165" s="741"/>
      <c r="E165" s="55"/>
      <c r="F165" s="55"/>
      <c r="G165" s="55"/>
      <c r="H165" s="55"/>
      <c r="I165" s="55"/>
      <c r="J165" s="55"/>
      <c r="K165" s="55"/>
      <c r="L165" s="55"/>
      <c r="M165" s="55"/>
      <c r="N165" s="55"/>
      <c r="O165" s="55"/>
      <c r="P165" s="55"/>
      <c r="Q165" s="55"/>
      <c r="R165" s="55"/>
      <c r="S165" s="55"/>
      <c r="T165" s="55"/>
      <c r="U165" s="55"/>
      <c r="V165" s="55"/>
      <c r="W165" s="55"/>
      <c r="X165" s="55"/>
      <c r="Y165" s="55"/>
      <c r="Z165" s="55"/>
      <c r="AA165" s="55"/>
      <c r="AB165" s="55"/>
      <c r="AC165" s="55"/>
      <c r="AD165" s="55"/>
      <c r="AE165" s="55"/>
      <c r="AF165" s="55"/>
      <c r="AG165" s="55"/>
      <c r="AH165" s="55"/>
      <c r="AI165" s="55"/>
      <c r="AJ165" s="55"/>
      <c r="AK165" s="55"/>
      <c r="AL165" s="55"/>
      <c r="AM165" s="55"/>
      <c r="AN165" s="55"/>
      <c r="AO165" s="55"/>
      <c r="AP165" s="55"/>
      <c r="AQ165" s="55"/>
      <c r="AR165" s="55"/>
      <c r="AS165" s="55"/>
      <c r="AT165" s="55"/>
      <c r="AU165" s="55"/>
      <c r="AV165" s="55"/>
      <c r="AW165" s="55"/>
      <c r="AX165" s="55"/>
      <c r="AY165" s="55"/>
      <c r="AZ165" s="55"/>
      <c r="BA165" s="55"/>
      <c r="BB165" s="55"/>
      <c r="BC165" s="55"/>
      <c r="BD165" s="55"/>
      <c r="BE165" s="55"/>
      <c r="BF165" s="55"/>
      <c r="BG165" s="55"/>
      <c r="BH165" s="55"/>
      <c r="BI165" s="55"/>
      <c r="BJ165" s="55"/>
      <c r="BK165" s="55"/>
      <c r="BL165" s="55"/>
      <c r="BM165" s="55"/>
      <c r="BN165" s="55"/>
      <c r="BO165" s="55"/>
      <c r="BP165" s="55"/>
      <c r="BQ165" s="55"/>
      <c r="BR165" s="55"/>
      <c r="BS165" s="55"/>
      <c r="BT165" s="55"/>
      <c r="BU165" s="55"/>
      <c r="BV165" s="55"/>
      <c r="BW165" s="55"/>
      <c r="BX165" s="55"/>
      <c r="BY165" s="55"/>
      <c r="BZ165" s="55"/>
      <c r="CA165" s="55"/>
      <c r="CB165" s="55"/>
      <c r="CC165" s="55"/>
      <c r="CD165" s="55"/>
      <c r="CE165" s="55"/>
      <c r="CF165" s="55"/>
      <c r="CG165" s="55"/>
      <c r="CH165" s="55"/>
      <c r="CI165" s="55"/>
      <c r="CJ165" s="55"/>
      <c r="CK165" s="55"/>
      <c r="CL165" s="55"/>
      <c r="CM165" s="55"/>
      <c r="CN165" s="55"/>
      <c r="CO165" s="55"/>
      <c r="CP165" s="55"/>
      <c r="CQ165" s="55"/>
      <c r="CR165" s="55"/>
      <c r="CS165" s="55"/>
      <c r="CT165" s="55"/>
      <c r="CU165" s="55"/>
      <c r="CV165" s="55"/>
      <c r="CW165" s="55"/>
      <c r="CX165" s="55"/>
      <c r="CY165" s="55"/>
      <c r="CZ165" s="55"/>
      <c r="DA165" s="55"/>
      <c r="DB165" s="55"/>
      <c r="DC165" s="55"/>
      <c r="DD165" s="55"/>
      <c r="DE165" s="55"/>
      <c r="DF165" s="55"/>
      <c r="DG165" s="55"/>
      <c r="DH165" s="55"/>
      <c r="DI165" s="55"/>
      <c r="DJ165" s="55"/>
      <c r="DK165" s="55"/>
      <c r="DL165" s="55"/>
      <c r="DM165" s="55"/>
      <c r="DN165" s="55"/>
      <c r="DO165" s="55"/>
      <c r="DP165" s="55"/>
      <c r="DQ165" s="55"/>
      <c r="DR165" s="55"/>
      <c r="DS165" s="55"/>
      <c r="DT165" s="55"/>
      <c r="DU165" s="55"/>
      <c r="DV165" s="55"/>
      <c r="DW165" s="55"/>
      <c r="DX165" s="55"/>
      <c r="DY165" s="55"/>
      <c r="DZ165" s="55"/>
      <c r="EA165" s="55"/>
      <c r="EB165" s="55"/>
      <c r="EC165" s="55"/>
      <c r="ED165" s="55"/>
      <c r="EE165" s="55"/>
      <c r="EF165" s="55"/>
      <c r="EG165" s="55"/>
      <c r="EH165" s="55"/>
      <c r="EI165" s="55"/>
      <c r="EJ165" s="55"/>
      <c r="EK165" s="55"/>
      <c r="EL165" s="55"/>
      <c r="EM165" s="55"/>
      <c r="EN165" s="55"/>
      <c r="EO165" s="55"/>
      <c r="EP165" s="55"/>
      <c r="EQ165" s="55"/>
      <c r="ER165" s="55"/>
      <c r="ES165" s="55"/>
      <c r="ET165" s="55"/>
      <c r="EU165" s="55"/>
      <c r="EV165" s="55"/>
      <c r="EW165" s="55"/>
      <c r="EX165" s="55"/>
      <c r="EY165" s="55"/>
      <c r="EZ165" s="55"/>
      <c r="FA165" s="55"/>
      <c r="FB165" s="55"/>
      <c r="FC165" s="55"/>
      <c r="FD165" s="55"/>
      <c r="FE165" s="55"/>
      <c r="FF165" s="55"/>
      <c r="FG165" s="55"/>
      <c r="FH165" s="55"/>
      <c r="FI165" s="55"/>
      <c r="FJ165" s="55"/>
      <c r="FK165" s="55"/>
      <c r="FL165" s="55"/>
      <c r="FM165" s="55"/>
      <c r="FN165" s="55"/>
      <c r="FO165" s="55"/>
      <c r="FP165" s="55"/>
      <c r="FQ165" s="55"/>
      <c r="FR165" s="55"/>
      <c r="FS165" s="55"/>
      <c r="FT165" s="55"/>
      <c r="FU165" s="55"/>
      <c r="FV165" s="55"/>
      <c r="FW165" s="55"/>
      <c r="FX165" s="55"/>
      <c r="FY165" s="55"/>
      <c r="FZ165" s="55"/>
      <c r="GA165" s="55"/>
      <c r="GB165" s="55"/>
      <c r="GC165" s="55"/>
      <c r="GD165" s="55"/>
      <c r="GE165" s="55"/>
      <c r="GF165" s="55"/>
      <c r="GG165" s="55"/>
      <c r="GH165" s="55"/>
      <c r="GI165" s="55"/>
      <c r="GJ165" s="55"/>
      <c r="GK165" s="55"/>
      <c r="GL165" s="55"/>
      <c r="GM165" s="55"/>
      <c r="GN165" s="55"/>
      <c r="GO165" s="55"/>
      <c r="GP165" s="55"/>
      <c r="GQ165" s="55"/>
      <c r="GR165" s="55"/>
      <c r="GS165" s="55"/>
      <c r="GT165" s="55"/>
      <c r="GU165" s="55"/>
      <c r="GV165" s="55"/>
      <c r="GW165" s="55"/>
      <c r="GX165" s="55"/>
      <c r="GY165" s="55"/>
      <c r="GZ165" s="55"/>
      <c r="HA165" s="55"/>
      <c r="HB165" s="55"/>
      <c r="HC165" s="55"/>
      <c r="HD165" s="55"/>
      <c r="HE165" s="55"/>
      <c r="HF165" s="55"/>
      <c r="HG165" s="55"/>
      <c r="HH165" s="55"/>
      <c r="HI165" s="55"/>
      <c r="HJ165" s="55"/>
      <c r="HK165" s="55"/>
      <c r="HL165" s="55"/>
      <c r="HM165" s="55"/>
      <c r="HN165" s="55"/>
      <c r="HO165" s="55"/>
      <c r="HP165" s="55"/>
      <c r="HQ165" s="55"/>
      <c r="HR165" s="55"/>
      <c r="HS165" s="55"/>
      <c r="HT165" s="55"/>
      <c r="HU165" s="55"/>
      <c r="HV165" s="55"/>
      <c r="HW165" s="55"/>
      <c r="HX165" s="55"/>
      <c r="HY165" s="55"/>
      <c r="HZ165" s="55"/>
      <c r="IA165" s="55"/>
      <c r="IB165" s="55"/>
    </row>
    <row r="166" spans="1:236" ht="25.5" x14ac:dyDescent="0.2">
      <c r="A166" s="70" t="s">
        <v>389</v>
      </c>
      <c r="B166" s="44" t="s">
        <v>1078</v>
      </c>
      <c r="C166" s="45" t="s">
        <v>195</v>
      </c>
      <c r="D166" s="741"/>
      <c r="E166" s="55"/>
      <c r="F166" s="55"/>
      <c r="G166" s="55"/>
      <c r="H166" s="55"/>
      <c r="I166" s="55"/>
      <c r="J166" s="55"/>
      <c r="K166" s="55"/>
      <c r="L166" s="55"/>
      <c r="M166" s="55"/>
      <c r="N166" s="55"/>
      <c r="O166" s="55"/>
      <c r="P166" s="55"/>
      <c r="Q166" s="55"/>
      <c r="R166" s="55"/>
      <c r="S166" s="55"/>
      <c r="T166" s="55"/>
      <c r="U166" s="55"/>
      <c r="V166" s="55"/>
      <c r="W166" s="55"/>
      <c r="X166" s="55"/>
      <c r="Y166" s="55"/>
      <c r="Z166" s="55"/>
      <c r="AA166" s="55"/>
      <c r="AB166" s="55"/>
      <c r="AC166" s="55"/>
      <c r="AD166" s="55"/>
      <c r="AE166" s="55"/>
      <c r="AF166" s="55"/>
      <c r="AG166" s="55"/>
      <c r="AH166" s="55"/>
      <c r="AI166" s="55"/>
      <c r="AJ166" s="55"/>
      <c r="AK166" s="55"/>
      <c r="AL166" s="55"/>
      <c r="AM166" s="55"/>
      <c r="AN166" s="55"/>
      <c r="AO166" s="55"/>
      <c r="AP166" s="55"/>
      <c r="AQ166" s="55"/>
      <c r="AR166" s="55"/>
      <c r="AS166" s="55"/>
      <c r="AT166" s="55"/>
      <c r="AU166" s="55"/>
      <c r="AV166" s="55"/>
      <c r="AW166" s="55"/>
      <c r="AX166" s="55"/>
      <c r="AY166" s="55"/>
      <c r="AZ166" s="55"/>
      <c r="BA166" s="55"/>
      <c r="BB166" s="55"/>
      <c r="BC166" s="55"/>
      <c r="BD166" s="55"/>
      <c r="BE166" s="55"/>
      <c r="BF166" s="55"/>
      <c r="BG166" s="55"/>
      <c r="BH166" s="55"/>
      <c r="BI166" s="55"/>
      <c r="BJ166" s="55"/>
      <c r="BK166" s="55"/>
      <c r="BL166" s="55"/>
      <c r="BM166" s="55"/>
      <c r="BN166" s="55"/>
      <c r="BO166" s="55"/>
      <c r="BP166" s="55"/>
      <c r="BQ166" s="55"/>
      <c r="BR166" s="55"/>
      <c r="BS166" s="55"/>
      <c r="BT166" s="55"/>
      <c r="BU166" s="55"/>
      <c r="BV166" s="55"/>
      <c r="BW166" s="55"/>
      <c r="BX166" s="55"/>
      <c r="BY166" s="55"/>
      <c r="BZ166" s="55"/>
      <c r="CA166" s="55"/>
      <c r="CB166" s="55"/>
      <c r="CC166" s="55"/>
      <c r="CD166" s="55"/>
      <c r="CE166" s="55"/>
      <c r="CF166" s="55"/>
      <c r="CG166" s="55"/>
      <c r="CH166" s="55"/>
      <c r="CI166" s="55"/>
      <c r="CJ166" s="55"/>
      <c r="CK166" s="55"/>
      <c r="CL166" s="55"/>
      <c r="CM166" s="55"/>
      <c r="CN166" s="55"/>
      <c r="CO166" s="55"/>
      <c r="CP166" s="55"/>
      <c r="CQ166" s="55"/>
      <c r="CR166" s="55"/>
      <c r="CS166" s="55"/>
      <c r="CT166" s="55"/>
      <c r="CU166" s="55"/>
      <c r="CV166" s="55"/>
      <c r="CW166" s="55"/>
      <c r="CX166" s="55"/>
      <c r="CY166" s="55"/>
      <c r="CZ166" s="55"/>
      <c r="DA166" s="55"/>
      <c r="DB166" s="55"/>
      <c r="DC166" s="55"/>
      <c r="DD166" s="55"/>
      <c r="DE166" s="55"/>
      <c r="DF166" s="55"/>
      <c r="DG166" s="55"/>
      <c r="DH166" s="55"/>
      <c r="DI166" s="55"/>
      <c r="DJ166" s="55"/>
      <c r="DK166" s="55"/>
      <c r="DL166" s="55"/>
      <c r="DM166" s="55"/>
      <c r="DN166" s="55"/>
      <c r="DO166" s="55"/>
      <c r="DP166" s="55"/>
      <c r="DQ166" s="55"/>
      <c r="DR166" s="55"/>
      <c r="DS166" s="55"/>
      <c r="DT166" s="55"/>
      <c r="DU166" s="55"/>
      <c r="DV166" s="55"/>
      <c r="DW166" s="55"/>
      <c r="DX166" s="55"/>
      <c r="DY166" s="55"/>
      <c r="DZ166" s="55"/>
      <c r="EA166" s="55"/>
      <c r="EB166" s="55"/>
      <c r="EC166" s="55"/>
      <c r="ED166" s="55"/>
      <c r="EE166" s="55"/>
      <c r="EF166" s="55"/>
      <c r="EG166" s="55"/>
      <c r="EH166" s="55"/>
      <c r="EI166" s="55"/>
      <c r="EJ166" s="55"/>
      <c r="EK166" s="55"/>
      <c r="EL166" s="55"/>
      <c r="EM166" s="55"/>
      <c r="EN166" s="55"/>
      <c r="EO166" s="55"/>
      <c r="EP166" s="55"/>
      <c r="EQ166" s="55"/>
      <c r="ER166" s="55"/>
      <c r="ES166" s="55"/>
      <c r="ET166" s="55"/>
      <c r="EU166" s="55"/>
      <c r="EV166" s="55"/>
      <c r="EW166" s="55"/>
      <c r="EX166" s="55"/>
      <c r="EY166" s="55"/>
      <c r="EZ166" s="55"/>
      <c r="FA166" s="55"/>
      <c r="FB166" s="55"/>
      <c r="FC166" s="55"/>
      <c r="FD166" s="55"/>
      <c r="FE166" s="55"/>
      <c r="FF166" s="55"/>
      <c r="FG166" s="55"/>
      <c r="FH166" s="55"/>
      <c r="FI166" s="55"/>
      <c r="FJ166" s="55"/>
      <c r="FK166" s="55"/>
      <c r="FL166" s="55"/>
      <c r="FM166" s="55"/>
      <c r="FN166" s="55"/>
      <c r="FO166" s="55"/>
      <c r="FP166" s="55"/>
      <c r="FQ166" s="55"/>
      <c r="FR166" s="55"/>
      <c r="FS166" s="55"/>
      <c r="FT166" s="55"/>
      <c r="FU166" s="55"/>
      <c r="FV166" s="55"/>
      <c r="FW166" s="55"/>
      <c r="FX166" s="55"/>
      <c r="FY166" s="55"/>
      <c r="FZ166" s="55"/>
      <c r="GA166" s="55"/>
      <c r="GB166" s="55"/>
      <c r="GC166" s="55"/>
      <c r="GD166" s="55"/>
      <c r="GE166" s="55"/>
      <c r="GF166" s="55"/>
      <c r="GG166" s="55"/>
      <c r="GH166" s="55"/>
      <c r="GI166" s="55"/>
      <c r="GJ166" s="55"/>
      <c r="GK166" s="55"/>
      <c r="GL166" s="55"/>
      <c r="GM166" s="55"/>
      <c r="GN166" s="55"/>
      <c r="GO166" s="55"/>
      <c r="GP166" s="55"/>
      <c r="GQ166" s="55"/>
      <c r="GR166" s="55"/>
      <c r="GS166" s="55"/>
      <c r="GT166" s="55"/>
      <c r="GU166" s="55"/>
      <c r="GV166" s="55"/>
      <c r="GW166" s="55"/>
      <c r="GX166" s="55"/>
      <c r="GY166" s="55"/>
      <c r="GZ166" s="55"/>
      <c r="HA166" s="55"/>
      <c r="HB166" s="55"/>
      <c r="HC166" s="55"/>
      <c r="HD166" s="55"/>
      <c r="HE166" s="55"/>
      <c r="HF166" s="55"/>
      <c r="HG166" s="55"/>
      <c r="HH166" s="55"/>
      <c r="HI166" s="55"/>
      <c r="HJ166" s="55"/>
      <c r="HK166" s="55"/>
      <c r="HL166" s="55"/>
      <c r="HM166" s="55"/>
      <c r="HN166" s="55"/>
      <c r="HO166" s="55"/>
      <c r="HP166" s="55"/>
      <c r="HQ166" s="55"/>
      <c r="HR166" s="55"/>
      <c r="HS166" s="55"/>
      <c r="HT166" s="55"/>
      <c r="HU166" s="55"/>
      <c r="HV166" s="55"/>
      <c r="HW166" s="55"/>
      <c r="HX166" s="55"/>
      <c r="HY166" s="55"/>
      <c r="HZ166" s="55"/>
      <c r="IA166" s="55"/>
      <c r="IB166" s="55"/>
    </row>
    <row r="167" spans="1:236" x14ac:dyDescent="0.2">
      <c r="A167" s="70" t="s">
        <v>390</v>
      </c>
      <c r="B167" s="44" t="s">
        <v>1079</v>
      </c>
      <c r="C167" s="45" t="s">
        <v>194</v>
      </c>
      <c r="D167" s="741"/>
      <c r="E167" s="55"/>
      <c r="F167" s="55"/>
      <c r="G167" s="55"/>
      <c r="H167" s="55"/>
      <c r="I167" s="55"/>
      <c r="J167" s="55"/>
      <c r="K167" s="55"/>
      <c r="L167" s="55"/>
      <c r="M167" s="55"/>
      <c r="N167" s="55"/>
      <c r="O167" s="55"/>
      <c r="P167" s="55"/>
      <c r="Q167" s="55"/>
      <c r="R167" s="55"/>
      <c r="S167" s="55"/>
      <c r="T167" s="55"/>
      <c r="U167" s="55"/>
      <c r="V167" s="55"/>
      <c r="W167" s="55"/>
      <c r="X167" s="55"/>
      <c r="Y167" s="55"/>
      <c r="Z167" s="55"/>
      <c r="AA167" s="55"/>
      <c r="AB167" s="55"/>
      <c r="AC167" s="55"/>
      <c r="AD167" s="55"/>
      <c r="AE167" s="55"/>
      <c r="AF167" s="55"/>
      <c r="AG167" s="55"/>
      <c r="AH167" s="55"/>
      <c r="AI167" s="55"/>
      <c r="AJ167" s="55"/>
      <c r="AK167" s="55"/>
      <c r="AL167" s="55"/>
      <c r="AM167" s="55"/>
      <c r="AN167" s="55"/>
      <c r="AO167" s="55"/>
      <c r="AP167" s="55"/>
      <c r="AQ167" s="55"/>
      <c r="AR167" s="55"/>
      <c r="AS167" s="55"/>
      <c r="AT167" s="55"/>
      <c r="AU167" s="55"/>
      <c r="AV167" s="55"/>
      <c r="AW167" s="55"/>
      <c r="AX167" s="55"/>
      <c r="AY167" s="55"/>
      <c r="AZ167" s="55"/>
      <c r="BA167" s="55"/>
      <c r="BB167" s="55"/>
      <c r="BC167" s="55"/>
      <c r="BD167" s="55"/>
      <c r="BE167" s="55"/>
      <c r="BF167" s="55"/>
      <c r="BG167" s="55"/>
      <c r="BH167" s="55"/>
      <c r="BI167" s="55"/>
      <c r="BJ167" s="55"/>
      <c r="BK167" s="55"/>
      <c r="BL167" s="55"/>
      <c r="BM167" s="55"/>
      <c r="BN167" s="55"/>
      <c r="BO167" s="55"/>
      <c r="BP167" s="55"/>
      <c r="BQ167" s="55"/>
      <c r="BR167" s="55"/>
      <c r="BS167" s="55"/>
      <c r="BT167" s="55"/>
      <c r="BU167" s="55"/>
      <c r="BV167" s="55"/>
      <c r="BW167" s="55"/>
      <c r="BX167" s="55"/>
      <c r="BY167" s="55"/>
      <c r="BZ167" s="55"/>
      <c r="CA167" s="55"/>
      <c r="CB167" s="55"/>
      <c r="CC167" s="55"/>
      <c r="CD167" s="55"/>
      <c r="CE167" s="55"/>
      <c r="CF167" s="55"/>
      <c r="CG167" s="55"/>
      <c r="CH167" s="55"/>
      <c r="CI167" s="55"/>
      <c r="CJ167" s="55"/>
      <c r="CK167" s="55"/>
      <c r="CL167" s="55"/>
      <c r="CM167" s="55"/>
      <c r="CN167" s="55"/>
      <c r="CO167" s="55"/>
      <c r="CP167" s="55"/>
      <c r="CQ167" s="55"/>
      <c r="CR167" s="55"/>
      <c r="CS167" s="55"/>
      <c r="CT167" s="55"/>
      <c r="CU167" s="55"/>
      <c r="CV167" s="55"/>
      <c r="CW167" s="55"/>
      <c r="CX167" s="55"/>
      <c r="CY167" s="55"/>
      <c r="CZ167" s="55"/>
      <c r="DA167" s="55"/>
      <c r="DB167" s="55"/>
      <c r="DC167" s="55"/>
      <c r="DD167" s="55"/>
      <c r="DE167" s="55"/>
      <c r="DF167" s="55"/>
      <c r="DG167" s="55"/>
      <c r="DH167" s="55"/>
      <c r="DI167" s="55"/>
      <c r="DJ167" s="55"/>
      <c r="DK167" s="55"/>
      <c r="DL167" s="55"/>
      <c r="DM167" s="55"/>
      <c r="DN167" s="55"/>
      <c r="DO167" s="55"/>
      <c r="DP167" s="55"/>
      <c r="DQ167" s="55"/>
      <c r="DR167" s="55"/>
      <c r="DS167" s="55"/>
      <c r="DT167" s="55"/>
      <c r="DU167" s="55"/>
      <c r="DV167" s="55"/>
      <c r="DW167" s="55"/>
      <c r="DX167" s="55"/>
      <c r="DY167" s="55"/>
      <c r="DZ167" s="55"/>
      <c r="EA167" s="55"/>
      <c r="EB167" s="55"/>
      <c r="EC167" s="55"/>
      <c r="ED167" s="55"/>
      <c r="EE167" s="55"/>
      <c r="EF167" s="55"/>
      <c r="EG167" s="55"/>
      <c r="EH167" s="55"/>
      <c r="EI167" s="55"/>
      <c r="EJ167" s="55"/>
      <c r="EK167" s="55"/>
      <c r="EL167" s="55"/>
      <c r="EM167" s="55"/>
      <c r="EN167" s="55"/>
      <c r="EO167" s="55"/>
      <c r="EP167" s="55"/>
      <c r="EQ167" s="55"/>
      <c r="ER167" s="55"/>
      <c r="ES167" s="55"/>
      <c r="ET167" s="55"/>
      <c r="EU167" s="55"/>
      <c r="EV167" s="55"/>
      <c r="EW167" s="55"/>
      <c r="EX167" s="55"/>
      <c r="EY167" s="55"/>
      <c r="EZ167" s="55"/>
      <c r="FA167" s="55"/>
      <c r="FB167" s="55"/>
      <c r="FC167" s="55"/>
      <c r="FD167" s="55"/>
      <c r="FE167" s="55"/>
      <c r="FF167" s="55"/>
      <c r="FG167" s="55"/>
      <c r="FH167" s="55"/>
      <c r="FI167" s="55"/>
      <c r="FJ167" s="55"/>
      <c r="FK167" s="55"/>
      <c r="FL167" s="55"/>
      <c r="FM167" s="55"/>
      <c r="FN167" s="55"/>
      <c r="FO167" s="55"/>
      <c r="FP167" s="55"/>
      <c r="FQ167" s="55"/>
      <c r="FR167" s="55"/>
      <c r="FS167" s="55"/>
      <c r="FT167" s="55"/>
      <c r="FU167" s="55"/>
      <c r="FV167" s="55"/>
      <c r="FW167" s="55"/>
      <c r="FX167" s="55"/>
      <c r="FY167" s="55"/>
      <c r="FZ167" s="55"/>
      <c r="GA167" s="55"/>
      <c r="GB167" s="55"/>
      <c r="GC167" s="55"/>
      <c r="GD167" s="55"/>
      <c r="GE167" s="55"/>
      <c r="GF167" s="55"/>
      <c r="GG167" s="55"/>
      <c r="GH167" s="55"/>
      <c r="GI167" s="55"/>
      <c r="GJ167" s="55"/>
      <c r="GK167" s="55"/>
      <c r="GL167" s="55"/>
      <c r="GM167" s="55"/>
      <c r="GN167" s="55"/>
      <c r="GO167" s="55"/>
      <c r="GP167" s="55"/>
      <c r="GQ167" s="55"/>
      <c r="GR167" s="55"/>
      <c r="GS167" s="55"/>
      <c r="GT167" s="55"/>
      <c r="GU167" s="55"/>
      <c r="GV167" s="55"/>
      <c r="GW167" s="55"/>
      <c r="GX167" s="55"/>
      <c r="GY167" s="55"/>
      <c r="GZ167" s="55"/>
      <c r="HA167" s="55"/>
      <c r="HB167" s="55"/>
      <c r="HC167" s="55"/>
      <c r="HD167" s="55"/>
      <c r="HE167" s="55"/>
      <c r="HF167" s="55"/>
      <c r="HG167" s="55"/>
      <c r="HH167" s="55"/>
      <c r="HI167" s="55"/>
      <c r="HJ167" s="55"/>
      <c r="HK167" s="55"/>
      <c r="HL167" s="55"/>
      <c r="HM167" s="55"/>
      <c r="HN167" s="55"/>
      <c r="HO167" s="55"/>
      <c r="HP167" s="55"/>
      <c r="HQ167" s="55"/>
      <c r="HR167" s="55"/>
      <c r="HS167" s="55"/>
      <c r="HT167" s="55"/>
      <c r="HU167" s="55"/>
      <c r="HV167" s="55"/>
      <c r="HW167" s="55"/>
      <c r="HX167" s="55"/>
      <c r="HY167" s="55"/>
      <c r="HZ167" s="55"/>
      <c r="IA167" s="55"/>
      <c r="IB167" s="55"/>
    </row>
    <row r="168" spans="1:236" ht="25.5" x14ac:dyDescent="0.2">
      <c r="A168" s="70" t="s">
        <v>391</v>
      </c>
      <c r="B168" s="44" t="s">
        <v>953</v>
      </c>
      <c r="C168" s="45" t="s">
        <v>952</v>
      </c>
      <c r="D168" s="741"/>
      <c r="E168" s="55"/>
      <c r="F168" s="55"/>
      <c r="G168" s="55"/>
      <c r="H168" s="55"/>
      <c r="I168" s="55"/>
      <c r="J168" s="55"/>
      <c r="K168" s="55"/>
      <c r="L168" s="55"/>
      <c r="M168" s="55"/>
      <c r="N168" s="55"/>
      <c r="O168" s="55"/>
      <c r="P168" s="55"/>
      <c r="Q168" s="55"/>
      <c r="R168" s="55"/>
      <c r="S168" s="55"/>
      <c r="T168" s="55"/>
      <c r="U168" s="55"/>
      <c r="V168" s="55"/>
      <c r="W168" s="55"/>
      <c r="X168" s="55"/>
      <c r="Y168" s="55"/>
      <c r="Z168" s="55"/>
      <c r="AA168" s="55"/>
      <c r="AB168" s="55"/>
      <c r="AC168" s="55"/>
      <c r="AD168" s="55"/>
      <c r="AE168" s="55"/>
      <c r="AF168" s="55"/>
      <c r="AG168" s="55"/>
      <c r="AH168" s="55"/>
      <c r="AI168" s="55"/>
      <c r="AJ168" s="55"/>
      <c r="AK168" s="55"/>
      <c r="AL168" s="55"/>
      <c r="AM168" s="55"/>
      <c r="AN168" s="55"/>
      <c r="AO168" s="55"/>
      <c r="AP168" s="55"/>
      <c r="AQ168" s="55"/>
      <c r="AR168" s="55"/>
      <c r="AS168" s="55"/>
      <c r="AT168" s="55"/>
      <c r="AU168" s="55"/>
      <c r="AV168" s="55"/>
      <c r="AW168" s="55"/>
      <c r="AX168" s="55"/>
      <c r="AY168" s="55"/>
      <c r="AZ168" s="55"/>
      <c r="BA168" s="55"/>
      <c r="BB168" s="55"/>
      <c r="BC168" s="55"/>
      <c r="BD168" s="55"/>
      <c r="BE168" s="55"/>
      <c r="BF168" s="55"/>
      <c r="BG168" s="55"/>
      <c r="BH168" s="55"/>
      <c r="BI168" s="55"/>
      <c r="BJ168" s="55"/>
      <c r="BK168" s="55"/>
      <c r="BL168" s="55"/>
      <c r="BM168" s="55"/>
      <c r="BN168" s="55"/>
      <c r="BO168" s="55"/>
      <c r="BP168" s="55"/>
      <c r="BQ168" s="55"/>
      <c r="BR168" s="55"/>
      <c r="BS168" s="55"/>
      <c r="BT168" s="55"/>
      <c r="BU168" s="55"/>
      <c r="BV168" s="55"/>
      <c r="BW168" s="55"/>
      <c r="BX168" s="55"/>
      <c r="BY168" s="55"/>
      <c r="BZ168" s="55"/>
      <c r="CA168" s="55"/>
      <c r="CB168" s="55"/>
      <c r="CC168" s="55"/>
      <c r="CD168" s="55"/>
      <c r="CE168" s="55"/>
      <c r="CF168" s="55"/>
      <c r="CG168" s="55"/>
      <c r="CH168" s="55"/>
      <c r="CI168" s="55"/>
      <c r="CJ168" s="55"/>
      <c r="CK168" s="55"/>
      <c r="CL168" s="55"/>
      <c r="CM168" s="55"/>
      <c r="CN168" s="55"/>
      <c r="CO168" s="55"/>
      <c r="CP168" s="55"/>
      <c r="CQ168" s="55"/>
      <c r="CR168" s="55"/>
      <c r="CS168" s="55"/>
      <c r="CT168" s="55"/>
      <c r="CU168" s="55"/>
      <c r="CV168" s="55"/>
      <c r="CW168" s="55"/>
      <c r="CX168" s="55"/>
      <c r="CY168" s="55"/>
      <c r="CZ168" s="55"/>
      <c r="DA168" s="55"/>
      <c r="DB168" s="55"/>
      <c r="DC168" s="55"/>
      <c r="DD168" s="55"/>
      <c r="DE168" s="55"/>
      <c r="DF168" s="55"/>
      <c r="DG168" s="55"/>
      <c r="DH168" s="55"/>
      <c r="DI168" s="55"/>
      <c r="DJ168" s="55"/>
      <c r="DK168" s="55"/>
      <c r="DL168" s="55"/>
      <c r="DM168" s="55"/>
      <c r="DN168" s="55"/>
      <c r="DO168" s="55"/>
      <c r="DP168" s="55"/>
      <c r="DQ168" s="55"/>
      <c r="DR168" s="55"/>
      <c r="DS168" s="55"/>
      <c r="DT168" s="55"/>
      <c r="DU168" s="55"/>
      <c r="DV168" s="55"/>
      <c r="DW168" s="55"/>
      <c r="DX168" s="55"/>
      <c r="DY168" s="55"/>
      <c r="DZ168" s="55"/>
      <c r="EA168" s="55"/>
      <c r="EB168" s="55"/>
      <c r="EC168" s="55"/>
      <c r="ED168" s="55"/>
      <c r="EE168" s="55"/>
      <c r="EF168" s="55"/>
      <c r="EG168" s="55"/>
      <c r="EH168" s="55"/>
      <c r="EI168" s="55"/>
      <c r="EJ168" s="55"/>
      <c r="EK168" s="55"/>
      <c r="EL168" s="55"/>
      <c r="EM168" s="55"/>
      <c r="EN168" s="55"/>
      <c r="EO168" s="55"/>
      <c r="EP168" s="55"/>
      <c r="EQ168" s="55"/>
      <c r="ER168" s="55"/>
      <c r="ES168" s="55"/>
      <c r="ET168" s="55"/>
      <c r="EU168" s="55"/>
      <c r="EV168" s="55"/>
      <c r="EW168" s="55"/>
      <c r="EX168" s="55"/>
      <c r="EY168" s="55"/>
      <c r="EZ168" s="55"/>
      <c r="FA168" s="55"/>
      <c r="FB168" s="55"/>
      <c r="FC168" s="55"/>
      <c r="FD168" s="55"/>
      <c r="FE168" s="55"/>
      <c r="FF168" s="55"/>
      <c r="FG168" s="55"/>
      <c r="FH168" s="55"/>
      <c r="FI168" s="55"/>
      <c r="FJ168" s="55"/>
      <c r="FK168" s="55"/>
      <c r="FL168" s="55"/>
      <c r="FM168" s="55"/>
      <c r="FN168" s="55"/>
      <c r="FO168" s="55"/>
      <c r="FP168" s="55"/>
      <c r="FQ168" s="55"/>
      <c r="FR168" s="55"/>
      <c r="FS168" s="55"/>
      <c r="FT168" s="55"/>
      <c r="FU168" s="55"/>
      <c r="FV168" s="55"/>
      <c r="FW168" s="55"/>
      <c r="FX168" s="55"/>
      <c r="FY168" s="55"/>
      <c r="FZ168" s="55"/>
      <c r="GA168" s="55"/>
      <c r="GB168" s="55"/>
      <c r="GC168" s="55"/>
      <c r="GD168" s="55"/>
      <c r="GE168" s="55"/>
      <c r="GF168" s="55"/>
      <c r="GG168" s="55"/>
      <c r="GH168" s="55"/>
      <c r="GI168" s="55"/>
      <c r="GJ168" s="55"/>
      <c r="GK168" s="55"/>
      <c r="GL168" s="55"/>
      <c r="GM168" s="55"/>
      <c r="GN168" s="55"/>
      <c r="GO168" s="55"/>
      <c r="GP168" s="55"/>
      <c r="GQ168" s="55"/>
      <c r="GR168" s="55"/>
      <c r="GS168" s="55"/>
      <c r="GT168" s="55"/>
      <c r="GU168" s="55"/>
      <c r="GV168" s="55"/>
      <c r="GW168" s="55"/>
      <c r="GX168" s="55"/>
      <c r="GY168" s="55"/>
      <c r="GZ168" s="55"/>
      <c r="HA168" s="55"/>
      <c r="HB168" s="55"/>
      <c r="HC168" s="55"/>
      <c r="HD168" s="55"/>
      <c r="HE168" s="55"/>
      <c r="HF168" s="55"/>
      <c r="HG168" s="55"/>
      <c r="HH168" s="55"/>
      <c r="HI168" s="55"/>
      <c r="HJ168" s="55"/>
      <c r="HK168" s="55"/>
      <c r="HL168" s="55"/>
      <c r="HM168" s="55"/>
      <c r="HN168" s="55"/>
      <c r="HO168" s="55"/>
      <c r="HP168" s="55"/>
      <c r="HQ168" s="55"/>
      <c r="HR168" s="55"/>
      <c r="HS168" s="55"/>
      <c r="HT168" s="55"/>
      <c r="HU168" s="55"/>
      <c r="HV168" s="55"/>
      <c r="HW168" s="55"/>
      <c r="HX168" s="55"/>
      <c r="HY168" s="55"/>
      <c r="HZ168" s="55"/>
      <c r="IA168" s="55"/>
      <c r="IB168" s="55"/>
    </row>
    <row r="169" spans="1:236" ht="15" customHeight="1" x14ac:dyDescent="0.2">
      <c r="A169" s="70" t="s">
        <v>392</v>
      </c>
      <c r="B169" s="44" t="s">
        <v>586</v>
      </c>
      <c r="C169" s="45" t="s">
        <v>195</v>
      </c>
      <c r="D169" s="741"/>
      <c r="E169" s="55"/>
      <c r="F169" s="55"/>
      <c r="G169" s="55"/>
      <c r="H169" s="55"/>
      <c r="I169" s="55"/>
      <c r="J169" s="55"/>
      <c r="K169" s="55"/>
      <c r="L169" s="55"/>
      <c r="M169" s="55"/>
      <c r="N169" s="55"/>
      <c r="O169" s="55"/>
      <c r="P169" s="55"/>
      <c r="Q169" s="55"/>
      <c r="R169" s="55"/>
      <c r="S169" s="55"/>
      <c r="T169" s="55"/>
      <c r="U169" s="55"/>
      <c r="V169" s="55"/>
      <c r="W169" s="55"/>
      <c r="X169" s="55"/>
      <c r="Y169" s="55"/>
      <c r="Z169" s="55"/>
      <c r="AA169" s="55"/>
      <c r="AB169" s="55"/>
      <c r="AC169" s="55"/>
      <c r="AD169" s="55"/>
      <c r="AE169" s="55"/>
      <c r="AF169" s="55"/>
      <c r="AG169" s="55"/>
      <c r="AH169" s="55"/>
      <c r="AI169" s="55"/>
      <c r="AJ169" s="55"/>
      <c r="AK169" s="55"/>
      <c r="AL169" s="55"/>
      <c r="AM169" s="55"/>
      <c r="AN169" s="55"/>
      <c r="AO169" s="55"/>
      <c r="AP169" s="55"/>
      <c r="AQ169" s="55"/>
      <c r="AR169" s="55"/>
      <c r="AS169" s="55"/>
      <c r="AT169" s="55"/>
      <c r="AU169" s="55"/>
      <c r="AV169" s="55"/>
      <c r="AW169" s="55"/>
      <c r="AX169" s="55"/>
      <c r="AY169" s="55"/>
      <c r="AZ169" s="55"/>
      <c r="BA169" s="55"/>
      <c r="BB169" s="55"/>
      <c r="BC169" s="55"/>
      <c r="BD169" s="55"/>
      <c r="BE169" s="55"/>
      <c r="BF169" s="55"/>
      <c r="BG169" s="55"/>
      <c r="BH169" s="55"/>
      <c r="BI169" s="55"/>
      <c r="BJ169" s="55"/>
      <c r="BK169" s="55"/>
      <c r="BL169" s="55"/>
      <c r="BM169" s="55"/>
      <c r="BN169" s="55"/>
      <c r="BO169" s="55"/>
      <c r="BP169" s="55"/>
      <c r="BQ169" s="55"/>
      <c r="BR169" s="55"/>
      <c r="BS169" s="55"/>
      <c r="BT169" s="55"/>
      <c r="BU169" s="55"/>
      <c r="BV169" s="55"/>
      <c r="BW169" s="55"/>
      <c r="BX169" s="55"/>
      <c r="BY169" s="55"/>
      <c r="BZ169" s="55"/>
      <c r="CA169" s="55"/>
      <c r="CB169" s="55"/>
      <c r="CC169" s="55"/>
      <c r="CD169" s="55"/>
      <c r="CE169" s="55"/>
      <c r="CF169" s="55"/>
      <c r="CG169" s="55"/>
      <c r="CH169" s="55"/>
      <c r="CI169" s="55"/>
      <c r="CJ169" s="55"/>
      <c r="CK169" s="55"/>
      <c r="CL169" s="55"/>
      <c r="CM169" s="55"/>
      <c r="CN169" s="55"/>
      <c r="CO169" s="55"/>
      <c r="CP169" s="55"/>
      <c r="CQ169" s="55"/>
      <c r="CR169" s="55"/>
      <c r="CS169" s="55"/>
      <c r="CT169" s="55"/>
      <c r="CU169" s="55"/>
      <c r="CV169" s="55"/>
      <c r="CW169" s="55"/>
      <c r="CX169" s="55"/>
      <c r="CY169" s="55"/>
      <c r="CZ169" s="55"/>
      <c r="DA169" s="55"/>
      <c r="DB169" s="55"/>
      <c r="DC169" s="55"/>
      <c r="DD169" s="55"/>
      <c r="DE169" s="55"/>
      <c r="DF169" s="55"/>
      <c r="DG169" s="55"/>
      <c r="DH169" s="55"/>
      <c r="DI169" s="55"/>
      <c r="DJ169" s="55"/>
      <c r="DK169" s="55"/>
      <c r="DL169" s="55"/>
      <c r="DM169" s="55"/>
      <c r="DN169" s="55"/>
      <c r="DO169" s="55"/>
      <c r="DP169" s="55"/>
      <c r="DQ169" s="55"/>
      <c r="DR169" s="55"/>
      <c r="DS169" s="55"/>
      <c r="DT169" s="55"/>
      <c r="DU169" s="55"/>
      <c r="DV169" s="55"/>
      <c r="DW169" s="55"/>
      <c r="DX169" s="55"/>
      <c r="DY169" s="55"/>
      <c r="DZ169" s="55"/>
      <c r="EA169" s="55"/>
      <c r="EB169" s="55"/>
      <c r="EC169" s="55"/>
      <c r="ED169" s="55"/>
      <c r="EE169" s="55"/>
      <c r="EF169" s="55"/>
      <c r="EG169" s="55"/>
      <c r="EH169" s="55"/>
      <c r="EI169" s="55"/>
      <c r="EJ169" s="55"/>
      <c r="EK169" s="55"/>
      <c r="EL169" s="55"/>
      <c r="EM169" s="55"/>
      <c r="EN169" s="55"/>
      <c r="EO169" s="55"/>
      <c r="EP169" s="55"/>
      <c r="EQ169" s="55"/>
      <c r="ER169" s="55"/>
      <c r="ES169" s="55"/>
      <c r="ET169" s="55"/>
      <c r="EU169" s="55"/>
      <c r="EV169" s="55"/>
      <c r="EW169" s="55"/>
      <c r="EX169" s="55"/>
      <c r="EY169" s="55"/>
      <c r="EZ169" s="55"/>
      <c r="FA169" s="55"/>
      <c r="FB169" s="55"/>
      <c r="FC169" s="55"/>
      <c r="FD169" s="55"/>
      <c r="FE169" s="55"/>
      <c r="FF169" s="55"/>
      <c r="FG169" s="55"/>
      <c r="FH169" s="55"/>
      <c r="FI169" s="55"/>
      <c r="FJ169" s="55"/>
      <c r="FK169" s="55"/>
      <c r="FL169" s="55"/>
      <c r="FM169" s="55"/>
      <c r="FN169" s="55"/>
      <c r="FO169" s="55"/>
      <c r="FP169" s="55"/>
      <c r="FQ169" s="55"/>
      <c r="FR169" s="55"/>
      <c r="FS169" s="55"/>
      <c r="FT169" s="55"/>
      <c r="FU169" s="55"/>
      <c r="FV169" s="55"/>
      <c r="FW169" s="55"/>
      <c r="FX169" s="55"/>
      <c r="FY169" s="55"/>
      <c r="FZ169" s="55"/>
      <c r="GA169" s="55"/>
      <c r="GB169" s="55"/>
      <c r="GC169" s="55"/>
      <c r="GD169" s="55"/>
      <c r="GE169" s="55"/>
      <c r="GF169" s="55"/>
      <c r="GG169" s="55"/>
      <c r="GH169" s="55"/>
      <c r="GI169" s="55"/>
      <c r="GJ169" s="55"/>
      <c r="GK169" s="55"/>
      <c r="GL169" s="55"/>
      <c r="GM169" s="55"/>
      <c r="GN169" s="55"/>
      <c r="GO169" s="55"/>
      <c r="GP169" s="55"/>
      <c r="GQ169" s="55"/>
      <c r="GR169" s="55"/>
      <c r="GS169" s="55"/>
      <c r="GT169" s="55"/>
      <c r="GU169" s="55"/>
      <c r="GV169" s="55"/>
      <c r="GW169" s="55"/>
      <c r="GX169" s="55"/>
      <c r="GY169" s="55"/>
      <c r="GZ169" s="55"/>
      <c r="HA169" s="55"/>
      <c r="HB169" s="55"/>
      <c r="HC169" s="55"/>
      <c r="HD169" s="55"/>
      <c r="HE169" s="55"/>
      <c r="HF169" s="55"/>
      <c r="HG169" s="55"/>
      <c r="HH169" s="55"/>
      <c r="HI169" s="55"/>
      <c r="HJ169" s="55"/>
      <c r="HK169" s="55"/>
      <c r="HL169" s="55"/>
      <c r="HM169" s="55"/>
      <c r="HN169" s="55"/>
      <c r="HO169" s="55"/>
      <c r="HP169" s="55"/>
      <c r="HQ169" s="55"/>
      <c r="HR169" s="55"/>
      <c r="HS169" s="55"/>
      <c r="HT169" s="55"/>
      <c r="HU169" s="55"/>
      <c r="HV169" s="55"/>
      <c r="HW169" s="55"/>
      <c r="HX169" s="55"/>
      <c r="HY169" s="55"/>
      <c r="HZ169" s="55"/>
      <c r="IA169" s="55"/>
      <c r="IB169" s="55"/>
    </row>
    <row r="170" spans="1:236" ht="15" customHeight="1" x14ac:dyDescent="0.2">
      <c r="A170" s="70" t="s">
        <v>393</v>
      </c>
      <c r="B170" s="44" t="s">
        <v>1126</v>
      </c>
      <c r="C170" s="45" t="s">
        <v>197</v>
      </c>
      <c r="D170" s="741"/>
      <c r="E170" s="55"/>
      <c r="F170" s="55"/>
      <c r="G170" s="55"/>
      <c r="H170" s="55"/>
      <c r="I170" s="55"/>
      <c r="J170" s="55"/>
      <c r="K170" s="55"/>
      <c r="L170" s="55"/>
      <c r="M170" s="55"/>
      <c r="N170" s="55"/>
      <c r="O170" s="55"/>
      <c r="P170" s="55"/>
      <c r="Q170" s="55"/>
      <c r="R170" s="55"/>
      <c r="S170" s="55"/>
      <c r="T170" s="55"/>
      <c r="U170" s="55"/>
      <c r="V170" s="55"/>
      <c r="W170" s="55"/>
      <c r="X170" s="55"/>
      <c r="Y170" s="55"/>
      <c r="Z170" s="55"/>
      <c r="AA170" s="55"/>
      <c r="AB170" s="55"/>
      <c r="AC170" s="55"/>
      <c r="AD170" s="55"/>
      <c r="AE170" s="55"/>
      <c r="AF170" s="55"/>
      <c r="AG170" s="55"/>
      <c r="AH170" s="55"/>
      <c r="AI170" s="55"/>
      <c r="AJ170" s="55"/>
      <c r="AK170" s="55"/>
      <c r="AL170" s="55"/>
      <c r="AM170" s="55"/>
      <c r="AN170" s="55"/>
      <c r="AO170" s="55"/>
      <c r="AP170" s="55"/>
      <c r="AQ170" s="55"/>
      <c r="AR170" s="55"/>
      <c r="AS170" s="55"/>
      <c r="AT170" s="55"/>
      <c r="AU170" s="55"/>
      <c r="AV170" s="55"/>
      <c r="AW170" s="55"/>
      <c r="AX170" s="55"/>
      <c r="AY170" s="55"/>
      <c r="AZ170" s="55"/>
      <c r="BA170" s="55"/>
      <c r="BB170" s="55"/>
      <c r="BC170" s="55"/>
      <c r="BD170" s="55"/>
      <c r="BE170" s="55"/>
      <c r="BF170" s="55"/>
      <c r="BG170" s="55"/>
      <c r="BH170" s="55"/>
      <c r="BI170" s="55"/>
      <c r="BJ170" s="55"/>
      <c r="BK170" s="55"/>
      <c r="BL170" s="55"/>
      <c r="BM170" s="55"/>
      <c r="BN170" s="55"/>
      <c r="BO170" s="55"/>
      <c r="BP170" s="55"/>
      <c r="BQ170" s="55"/>
      <c r="BR170" s="55"/>
      <c r="BS170" s="55"/>
      <c r="BT170" s="55"/>
      <c r="BU170" s="55"/>
      <c r="BV170" s="55"/>
      <c r="BW170" s="55"/>
      <c r="BX170" s="55"/>
      <c r="BY170" s="55"/>
      <c r="BZ170" s="55"/>
      <c r="CA170" s="55"/>
      <c r="CB170" s="55"/>
      <c r="CC170" s="55"/>
      <c r="CD170" s="55"/>
      <c r="CE170" s="55"/>
      <c r="CF170" s="55"/>
      <c r="CG170" s="55"/>
      <c r="CH170" s="55"/>
      <c r="CI170" s="55"/>
      <c r="CJ170" s="55"/>
      <c r="CK170" s="55"/>
      <c r="CL170" s="55"/>
      <c r="CM170" s="55"/>
      <c r="CN170" s="55"/>
      <c r="CO170" s="55"/>
      <c r="CP170" s="55"/>
      <c r="CQ170" s="55"/>
      <c r="CR170" s="55"/>
      <c r="CS170" s="55"/>
      <c r="CT170" s="55"/>
      <c r="CU170" s="55"/>
      <c r="CV170" s="55"/>
      <c r="CW170" s="55"/>
      <c r="CX170" s="55"/>
      <c r="CY170" s="55"/>
      <c r="CZ170" s="55"/>
      <c r="DA170" s="55"/>
      <c r="DB170" s="55"/>
      <c r="DC170" s="55"/>
      <c r="DD170" s="55"/>
      <c r="DE170" s="55"/>
      <c r="DF170" s="55"/>
      <c r="DG170" s="55"/>
      <c r="DH170" s="55"/>
      <c r="DI170" s="55"/>
      <c r="DJ170" s="55"/>
      <c r="DK170" s="55"/>
      <c r="DL170" s="55"/>
      <c r="DM170" s="55"/>
      <c r="DN170" s="55"/>
      <c r="DO170" s="55"/>
      <c r="DP170" s="55"/>
      <c r="DQ170" s="55"/>
      <c r="DR170" s="55"/>
      <c r="DS170" s="55"/>
      <c r="DT170" s="55"/>
      <c r="DU170" s="55"/>
      <c r="DV170" s="55"/>
      <c r="DW170" s="55"/>
      <c r="DX170" s="55"/>
      <c r="DY170" s="55"/>
      <c r="DZ170" s="55"/>
      <c r="EA170" s="55"/>
      <c r="EB170" s="55"/>
      <c r="EC170" s="55"/>
      <c r="ED170" s="55"/>
      <c r="EE170" s="55"/>
      <c r="EF170" s="55"/>
      <c r="EG170" s="55"/>
      <c r="EH170" s="55"/>
      <c r="EI170" s="55"/>
      <c r="EJ170" s="55"/>
      <c r="EK170" s="55"/>
      <c r="EL170" s="55"/>
      <c r="EM170" s="55"/>
      <c r="EN170" s="55"/>
      <c r="EO170" s="55"/>
      <c r="EP170" s="55"/>
      <c r="EQ170" s="55"/>
      <c r="ER170" s="55"/>
      <c r="ES170" s="55"/>
      <c r="ET170" s="55"/>
      <c r="EU170" s="55"/>
      <c r="EV170" s="55"/>
      <c r="EW170" s="55"/>
      <c r="EX170" s="55"/>
      <c r="EY170" s="55"/>
      <c r="EZ170" s="55"/>
      <c r="FA170" s="55"/>
      <c r="FB170" s="55"/>
      <c r="FC170" s="55"/>
      <c r="FD170" s="55"/>
      <c r="FE170" s="55"/>
      <c r="FF170" s="55"/>
      <c r="FG170" s="55"/>
      <c r="FH170" s="55"/>
      <c r="FI170" s="55"/>
      <c r="FJ170" s="55"/>
      <c r="FK170" s="55"/>
      <c r="FL170" s="55"/>
      <c r="FM170" s="55"/>
      <c r="FN170" s="55"/>
      <c r="FO170" s="55"/>
      <c r="FP170" s="55"/>
      <c r="FQ170" s="55"/>
      <c r="FR170" s="55"/>
      <c r="FS170" s="55"/>
      <c r="FT170" s="55"/>
      <c r="FU170" s="55"/>
      <c r="FV170" s="55"/>
      <c r="FW170" s="55"/>
      <c r="FX170" s="55"/>
      <c r="FY170" s="55"/>
      <c r="FZ170" s="55"/>
      <c r="GA170" s="55"/>
      <c r="GB170" s="55"/>
      <c r="GC170" s="55"/>
      <c r="GD170" s="55"/>
      <c r="GE170" s="55"/>
      <c r="GF170" s="55"/>
      <c r="GG170" s="55"/>
      <c r="GH170" s="55"/>
      <c r="GI170" s="55"/>
      <c r="GJ170" s="55"/>
      <c r="GK170" s="55"/>
      <c r="GL170" s="55"/>
      <c r="GM170" s="55"/>
      <c r="GN170" s="55"/>
      <c r="GO170" s="55"/>
      <c r="GP170" s="55"/>
      <c r="GQ170" s="55"/>
      <c r="GR170" s="55"/>
      <c r="GS170" s="55"/>
      <c r="GT170" s="55"/>
      <c r="GU170" s="55"/>
      <c r="GV170" s="55"/>
      <c r="GW170" s="55"/>
      <c r="GX170" s="55"/>
      <c r="GY170" s="55"/>
      <c r="GZ170" s="55"/>
      <c r="HA170" s="55"/>
      <c r="HB170" s="55"/>
      <c r="HC170" s="55"/>
      <c r="HD170" s="55"/>
      <c r="HE170" s="55"/>
      <c r="HF170" s="55"/>
      <c r="HG170" s="55"/>
      <c r="HH170" s="55"/>
      <c r="HI170" s="55"/>
      <c r="HJ170" s="55"/>
      <c r="HK170" s="55"/>
      <c r="HL170" s="55"/>
      <c r="HM170" s="55"/>
      <c r="HN170" s="55"/>
      <c r="HO170" s="55"/>
      <c r="HP170" s="55"/>
      <c r="HQ170" s="55"/>
      <c r="HR170" s="55"/>
      <c r="HS170" s="55"/>
      <c r="HT170" s="55"/>
      <c r="HU170" s="55"/>
      <c r="HV170" s="55"/>
      <c r="HW170" s="55"/>
      <c r="HX170" s="55"/>
      <c r="HY170" s="55"/>
      <c r="HZ170" s="55"/>
      <c r="IA170" s="55"/>
      <c r="IB170" s="55"/>
    </row>
    <row r="171" spans="1:236" ht="15" customHeight="1" x14ac:dyDescent="0.2">
      <c r="A171" s="70" t="s">
        <v>1074</v>
      </c>
      <c r="B171" s="44" t="s">
        <v>1068</v>
      </c>
      <c r="C171" s="45" t="s">
        <v>255</v>
      </c>
      <c r="D171" s="741"/>
      <c r="E171" s="55"/>
      <c r="F171" s="55"/>
      <c r="G171" s="55"/>
      <c r="H171" s="55"/>
      <c r="I171" s="55"/>
      <c r="J171" s="55"/>
      <c r="K171" s="55"/>
      <c r="L171" s="55"/>
      <c r="M171" s="55"/>
      <c r="N171" s="55"/>
      <c r="O171" s="55"/>
      <c r="P171" s="55"/>
      <c r="Q171" s="55"/>
      <c r="R171" s="55"/>
      <c r="S171" s="55"/>
      <c r="T171" s="55"/>
      <c r="U171" s="55"/>
      <c r="V171" s="55"/>
      <c r="W171" s="55"/>
      <c r="X171" s="55"/>
      <c r="Y171" s="55"/>
      <c r="Z171" s="55"/>
      <c r="AA171" s="55"/>
      <c r="AB171" s="55"/>
      <c r="AC171" s="55"/>
      <c r="AD171" s="55"/>
      <c r="AE171" s="55"/>
      <c r="AF171" s="55"/>
      <c r="AG171" s="55"/>
      <c r="AH171" s="55"/>
      <c r="AI171" s="55"/>
      <c r="AJ171" s="55"/>
      <c r="AK171" s="55"/>
      <c r="AL171" s="55"/>
      <c r="AM171" s="55"/>
      <c r="AN171" s="55"/>
      <c r="AO171" s="55"/>
      <c r="AP171" s="55"/>
      <c r="AQ171" s="55"/>
      <c r="AR171" s="55"/>
      <c r="AS171" s="55"/>
      <c r="AT171" s="55"/>
      <c r="AU171" s="55"/>
      <c r="AV171" s="55"/>
      <c r="AW171" s="55"/>
      <c r="AX171" s="55"/>
      <c r="AY171" s="55"/>
      <c r="AZ171" s="55"/>
      <c r="BA171" s="55"/>
      <c r="BB171" s="55"/>
      <c r="BC171" s="55"/>
      <c r="BD171" s="55"/>
      <c r="BE171" s="55"/>
      <c r="BF171" s="55"/>
      <c r="BG171" s="55"/>
      <c r="BH171" s="55"/>
      <c r="BI171" s="55"/>
      <c r="BJ171" s="55"/>
      <c r="BK171" s="55"/>
      <c r="BL171" s="55"/>
      <c r="BM171" s="55"/>
      <c r="BN171" s="55"/>
      <c r="BO171" s="55"/>
      <c r="BP171" s="55"/>
      <c r="BQ171" s="55"/>
      <c r="BR171" s="55"/>
      <c r="BS171" s="55"/>
      <c r="BT171" s="55"/>
      <c r="BU171" s="55"/>
      <c r="BV171" s="55"/>
      <c r="BW171" s="55"/>
      <c r="BX171" s="55"/>
      <c r="BY171" s="55"/>
      <c r="BZ171" s="55"/>
      <c r="CA171" s="55"/>
      <c r="CB171" s="55"/>
      <c r="CC171" s="55"/>
      <c r="CD171" s="55"/>
      <c r="CE171" s="55"/>
      <c r="CF171" s="55"/>
      <c r="CG171" s="55"/>
      <c r="CH171" s="55"/>
      <c r="CI171" s="55"/>
      <c r="CJ171" s="55"/>
      <c r="CK171" s="55"/>
      <c r="CL171" s="55"/>
      <c r="CM171" s="55"/>
      <c r="CN171" s="55"/>
      <c r="CO171" s="55"/>
      <c r="CP171" s="55"/>
      <c r="CQ171" s="55"/>
      <c r="CR171" s="55"/>
      <c r="CS171" s="55"/>
      <c r="CT171" s="55"/>
      <c r="CU171" s="55"/>
      <c r="CV171" s="55"/>
      <c r="CW171" s="55"/>
      <c r="CX171" s="55"/>
      <c r="CY171" s="55"/>
      <c r="CZ171" s="55"/>
      <c r="DA171" s="55"/>
      <c r="DB171" s="55"/>
      <c r="DC171" s="55"/>
      <c r="DD171" s="55"/>
      <c r="DE171" s="55"/>
      <c r="DF171" s="55"/>
      <c r="DG171" s="55"/>
      <c r="DH171" s="55"/>
      <c r="DI171" s="55"/>
      <c r="DJ171" s="55"/>
      <c r="DK171" s="55"/>
      <c r="DL171" s="55"/>
      <c r="DM171" s="55"/>
      <c r="DN171" s="55"/>
      <c r="DO171" s="55"/>
      <c r="DP171" s="55"/>
      <c r="DQ171" s="55"/>
      <c r="DR171" s="55"/>
      <c r="DS171" s="55"/>
      <c r="DT171" s="55"/>
      <c r="DU171" s="55"/>
      <c r="DV171" s="55"/>
      <c r="DW171" s="55"/>
      <c r="DX171" s="55"/>
      <c r="DY171" s="55"/>
      <c r="DZ171" s="55"/>
      <c r="EA171" s="55"/>
      <c r="EB171" s="55"/>
      <c r="EC171" s="55"/>
      <c r="ED171" s="55"/>
      <c r="EE171" s="55"/>
      <c r="EF171" s="55"/>
      <c r="EG171" s="55"/>
      <c r="EH171" s="55"/>
      <c r="EI171" s="55"/>
      <c r="EJ171" s="55"/>
      <c r="EK171" s="55"/>
      <c r="EL171" s="55"/>
      <c r="EM171" s="55"/>
      <c r="EN171" s="55"/>
      <c r="EO171" s="55"/>
      <c r="EP171" s="55"/>
      <c r="EQ171" s="55"/>
      <c r="ER171" s="55"/>
      <c r="ES171" s="55"/>
      <c r="ET171" s="55"/>
      <c r="EU171" s="55"/>
      <c r="EV171" s="55"/>
      <c r="EW171" s="55"/>
      <c r="EX171" s="55"/>
      <c r="EY171" s="55"/>
      <c r="EZ171" s="55"/>
      <c r="FA171" s="55"/>
      <c r="FB171" s="55"/>
      <c r="FC171" s="55"/>
      <c r="FD171" s="55"/>
      <c r="FE171" s="55"/>
      <c r="FF171" s="55"/>
      <c r="FG171" s="55"/>
      <c r="FH171" s="55"/>
      <c r="FI171" s="55"/>
      <c r="FJ171" s="55"/>
      <c r="FK171" s="55"/>
      <c r="FL171" s="55"/>
      <c r="FM171" s="55"/>
      <c r="FN171" s="55"/>
      <c r="FO171" s="55"/>
      <c r="FP171" s="55"/>
      <c r="FQ171" s="55"/>
      <c r="FR171" s="55"/>
      <c r="FS171" s="55"/>
      <c r="FT171" s="55"/>
      <c r="FU171" s="55"/>
      <c r="FV171" s="55"/>
      <c r="FW171" s="55"/>
      <c r="FX171" s="55"/>
      <c r="FY171" s="55"/>
      <c r="FZ171" s="55"/>
      <c r="GA171" s="55"/>
      <c r="GB171" s="55"/>
      <c r="GC171" s="55"/>
      <c r="GD171" s="55"/>
      <c r="GE171" s="55"/>
      <c r="GF171" s="55"/>
      <c r="GG171" s="55"/>
      <c r="GH171" s="55"/>
      <c r="GI171" s="55"/>
      <c r="GJ171" s="55"/>
      <c r="GK171" s="55"/>
      <c r="GL171" s="55"/>
      <c r="GM171" s="55"/>
      <c r="GN171" s="55"/>
      <c r="GO171" s="55"/>
      <c r="GP171" s="55"/>
      <c r="GQ171" s="55"/>
      <c r="GR171" s="55"/>
      <c r="GS171" s="55"/>
      <c r="GT171" s="55"/>
      <c r="GU171" s="55"/>
      <c r="GV171" s="55"/>
      <c r="GW171" s="55"/>
      <c r="GX171" s="55"/>
      <c r="GY171" s="55"/>
      <c r="GZ171" s="55"/>
      <c r="HA171" s="55"/>
      <c r="HB171" s="55"/>
      <c r="HC171" s="55"/>
      <c r="HD171" s="55"/>
      <c r="HE171" s="55"/>
      <c r="HF171" s="55"/>
      <c r="HG171" s="55"/>
      <c r="HH171" s="55"/>
      <c r="HI171" s="55"/>
      <c r="HJ171" s="55"/>
      <c r="HK171" s="55"/>
      <c r="HL171" s="55"/>
      <c r="HM171" s="55"/>
      <c r="HN171" s="55"/>
      <c r="HO171" s="55"/>
      <c r="HP171" s="55"/>
      <c r="HQ171" s="55"/>
      <c r="HR171" s="55"/>
      <c r="HS171" s="55"/>
      <c r="HT171" s="55"/>
      <c r="HU171" s="55"/>
      <c r="HV171" s="55"/>
      <c r="HW171" s="55"/>
      <c r="HX171" s="55"/>
      <c r="HY171" s="55"/>
      <c r="HZ171" s="55"/>
      <c r="IA171" s="55"/>
      <c r="IB171" s="55"/>
    </row>
    <row r="172" spans="1:236" ht="27.75" customHeight="1" x14ac:dyDescent="0.2">
      <c r="A172" s="70" t="s">
        <v>475</v>
      </c>
      <c r="B172" s="44" t="s">
        <v>1069</v>
      </c>
      <c r="C172" s="45" t="s">
        <v>161</v>
      </c>
      <c r="D172" s="741"/>
      <c r="E172" s="55"/>
      <c r="F172" s="55"/>
      <c r="G172" s="55"/>
      <c r="H172" s="55"/>
      <c r="I172" s="55"/>
      <c r="J172" s="55"/>
      <c r="K172" s="55"/>
      <c r="L172" s="55"/>
      <c r="M172" s="55"/>
      <c r="N172" s="55"/>
      <c r="O172" s="55"/>
      <c r="P172" s="55"/>
      <c r="Q172" s="55"/>
      <c r="R172" s="55"/>
      <c r="S172" s="55"/>
      <c r="T172" s="55"/>
      <c r="U172" s="55"/>
      <c r="V172" s="55"/>
      <c r="W172" s="55"/>
      <c r="X172" s="55"/>
      <c r="Y172" s="55"/>
      <c r="Z172" s="55"/>
      <c r="AA172" s="55"/>
      <c r="AB172" s="55"/>
      <c r="AC172" s="55"/>
      <c r="AD172" s="55"/>
      <c r="AE172" s="55"/>
      <c r="AF172" s="55"/>
      <c r="AG172" s="55"/>
      <c r="AH172" s="55"/>
      <c r="AI172" s="55"/>
      <c r="AJ172" s="55"/>
      <c r="AK172" s="55"/>
      <c r="AL172" s="55"/>
      <c r="AM172" s="55"/>
      <c r="AN172" s="55"/>
      <c r="AO172" s="55"/>
      <c r="AP172" s="55"/>
      <c r="AQ172" s="55"/>
      <c r="AR172" s="55"/>
      <c r="AS172" s="55"/>
      <c r="AT172" s="55"/>
      <c r="AU172" s="55"/>
      <c r="AV172" s="55"/>
      <c r="AW172" s="55"/>
      <c r="AX172" s="55"/>
      <c r="AY172" s="55"/>
      <c r="AZ172" s="55"/>
      <c r="BA172" s="55"/>
      <c r="BB172" s="55"/>
      <c r="BC172" s="55"/>
      <c r="BD172" s="55"/>
      <c r="BE172" s="55"/>
      <c r="BF172" s="55"/>
      <c r="BG172" s="55"/>
      <c r="BH172" s="55"/>
      <c r="BI172" s="55"/>
      <c r="BJ172" s="55"/>
      <c r="BK172" s="55"/>
      <c r="BL172" s="55"/>
      <c r="BM172" s="55"/>
      <c r="BN172" s="55"/>
      <c r="BO172" s="55"/>
      <c r="BP172" s="55"/>
      <c r="BQ172" s="55"/>
      <c r="BR172" s="55"/>
      <c r="BS172" s="55"/>
      <c r="BT172" s="55"/>
      <c r="BU172" s="55"/>
      <c r="BV172" s="55"/>
      <c r="BW172" s="55"/>
      <c r="BX172" s="55"/>
      <c r="BY172" s="55"/>
      <c r="BZ172" s="55"/>
      <c r="CA172" s="55"/>
      <c r="CB172" s="55"/>
      <c r="CC172" s="55"/>
      <c r="CD172" s="55"/>
      <c r="CE172" s="55"/>
      <c r="CF172" s="55"/>
      <c r="CG172" s="55"/>
      <c r="CH172" s="55"/>
      <c r="CI172" s="55"/>
      <c r="CJ172" s="55"/>
      <c r="CK172" s="55"/>
      <c r="CL172" s="55"/>
      <c r="CM172" s="55"/>
      <c r="CN172" s="55"/>
      <c r="CO172" s="55"/>
      <c r="CP172" s="55"/>
      <c r="CQ172" s="55"/>
      <c r="CR172" s="55"/>
      <c r="CS172" s="55"/>
      <c r="CT172" s="55"/>
      <c r="CU172" s="55"/>
      <c r="CV172" s="55"/>
      <c r="CW172" s="55"/>
      <c r="CX172" s="55"/>
      <c r="CY172" s="55"/>
      <c r="CZ172" s="55"/>
      <c r="DA172" s="55"/>
      <c r="DB172" s="55"/>
      <c r="DC172" s="55"/>
      <c r="DD172" s="55"/>
      <c r="DE172" s="55"/>
      <c r="DF172" s="55"/>
      <c r="DG172" s="55"/>
      <c r="DH172" s="55"/>
      <c r="DI172" s="55"/>
      <c r="DJ172" s="55"/>
      <c r="DK172" s="55"/>
      <c r="DL172" s="55"/>
      <c r="DM172" s="55"/>
      <c r="DN172" s="55"/>
      <c r="DO172" s="55"/>
      <c r="DP172" s="55"/>
      <c r="DQ172" s="55"/>
      <c r="DR172" s="55"/>
      <c r="DS172" s="55"/>
      <c r="DT172" s="55"/>
      <c r="DU172" s="55"/>
      <c r="DV172" s="55"/>
      <c r="DW172" s="55"/>
      <c r="DX172" s="55"/>
      <c r="DY172" s="55"/>
      <c r="DZ172" s="55"/>
      <c r="EA172" s="55"/>
      <c r="EB172" s="55"/>
      <c r="EC172" s="55"/>
      <c r="ED172" s="55"/>
      <c r="EE172" s="55"/>
      <c r="EF172" s="55"/>
      <c r="EG172" s="55"/>
      <c r="EH172" s="55"/>
      <c r="EI172" s="55"/>
      <c r="EJ172" s="55"/>
      <c r="EK172" s="55"/>
      <c r="EL172" s="55"/>
      <c r="EM172" s="55"/>
      <c r="EN172" s="55"/>
      <c r="EO172" s="55"/>
      <c r="EP172" s="55"/>
      <c r="EQ172" s="55"/>
      <c r="ER172" s="55"/>
      <c r="ES172" s="55"/>
      <c r="ET172" s="55"/>
      <c r="EU172" s="55"/>
      <c r="EV172" s="55"/>
      <c r="EW172" s="55"/>
      <c r="EX172" s="55"/>
      <c r="EY172" s="55"/>
      <c r="EZ172" s="55"/>
      <c r="FA172" s="55"/>
      <c r="FB172" s="55"/>
      <c r="FC172" s="55"/>
      <c r="FD172" s="55"/>
      <c r="FE172" s="55"/>
      <c r="FF172" s="55"/>
      <c r="FG172" s="55"/>
      <c r="FH172" s="55"/>
      <c r="FI172" s="55"/>
      <c r="FJ172" s="55"/>
      <c r="FK172" s="55"/>
      <c r="FL172" s="55"/>
      <c r="FM172" s="55"/>
      <c r="FN172" s="55"/>
      <c r="FO172" s="55"/>
      <c r="FP172" s="55"/>
      <c r="FQ172" s="55"/>
      <c r="FR172" s="55"/>
      <c r="FS172" s="55"/>
      <c r="FT172" s="55"/>
      <c r="FU172" s="55"/>
      <c r="FV172" s="55"/>
      <c r="FW172" s="55"/>
      <c r="FX172" s="55"/>
      <c r="FY172" s="55"/>
      <c r="FZ172" s="55"/>
      <c r="GA172" s="55"/>
      <c r="GB172" s="55"/>
      <c r="GC172" s="55"/>
      <c r="GD172" s="55"/>
      <c r="GE172" s="55"/>
      <c r="GF172" s="55"/>
      <c r="GG172" s="55"/>
      <c r="GH172" s="55"/>
      <c r="GI172" s="55"/>
      <c r="GJ172" s="55"/>
      <c r="GK172" s="55"/>
      <c r="GL172" s="55"/>
      <c r="GM172" s="55"/>
      <c r="GN172" s="55"/>
      <c r="GO172" s="55"/>
      <c r="GP172" s="55"/>
      <c r="GQ172" s="55"/>
      <c r="GR172" s="55"/>
      <c r="GS172" s="55"/>
      <c r="GT172" s="55"/>
      <c r="GU172" s="55"/>
      <c r="GV172" s="55"/>
      <c r="GW172" s="55"/>
      <c r="GX172" s="55"/>
      <c r="GY172" s="55"/>
      <c r="GZ172" s="55"/>
      <c r="HA172" s="55"/>
      <c r="HB172" s="55"/>
      <c r="HC172" s="55"/>
      <c r="HD172" s="55"/>
      <c r="HE172" s="55"/>
      <c r="HF172" s="55"/>
      <c r="HG172" s="55"/>
      <c r="HH172" s="55"/>
      <c r="HI172" s="55"/>
      <c r="HJ172" s="55"/>
      <c r="HK172" s="55"/>
      <c r="HL172" s="55"/>
      <c r="HM172" s="55"/>
      <c r="HN172" s="55"/>
      <c r="HO172" s="55"/>
      <c r="HP172" s="55"/>
      <c r="HQ172" s="55"/>
      <c r="HR172" s="55"/>
      <c r="HS172" s="55"/>
      <c r="HT172" s="55"/>
      <c r="HU172" s="55"/>
      <c r="HV172" s="55"/>
      <c r="HW172" s="55"/>
      <c r="HX172" s="55"/>
      <c r="HY172" s="55"/>
      <c r="HZ172" s="55"/>
      <c r="IA172" s="55"/>
      <c r="IB172" s="55"/>
    </row>
    <row r="173" spans="1:236" ht="27.75" customHeight="1" x14ac:dyDescent="0.2">
      <c r="A173" s="70" t="s">
        <v>963</v>
      </c>
      <c r="B173" s="44" t="s">
        <v>1104</v>
      </c>
      <c r="C173" s="45" t="s">
        <v>161</v>
      </c>
      <c r="D173" s="741"/>
      <c r="E173" s="55"/>
      <c r="F173" s="55"/>
      <c r="G173" s="55"/>
      <c r="H173" s="55"/>
      <c r="I173" s="55"/>
      <c r="J173" s="55"/>
      <c r="K173" s="55"/>
      <c r="L173" s="55"/>
      <c r="M173" s="55"/>
      <c r="N173" s="55"/>
      <c r="O173" s="55"/>
      <c r="P173" s="55"/>
      <c r="Q173" s="55"/>
      <c r="R173" s="55"/>
      <c r="S173" s="55"/>
      <c r="T173" s="55"/>
      <c r="U173" s="55"/>
      <c r="V173" s="55"/>
      <c r="W173" s="55"/>
      <c r="X173" s="55"/>
      <c r="Y173" s="55"/>
      <c r="Z173" s="55"/>
      <c r="AA173" s="55"/>
      <c r="AB173" s="55"/>
      <c r="AC173" s="55"/>
      <c r="AD173" s="55"/>
      <c r="AE173" s="55"/>
      <c r="AF173" s="55"/>
      <c r="AG173" s="55"/>
      <c r="AH173" s="55"/>
      <c r="AI173" s="55"/>
      <c r="AJ173" s="55"/>
      <c r="AK173" s="55"/>
      <c r="AL173" s="55"/>
      <c r="AM173" s="55"/>
      <c r="AN173" s="55"/>
      <c r="AO173" s="55"/>
      <c r="AP173" s="55"/>
      <c r="AQ173" s="55"/>
      <c r="AR173" s="55"/>
      <c r="AS173" s="55"/>
      <c r="AT173" s="55"/>
      <c r="AU173" s="55"/>
      <c r="AV173" s="55"/>
      <c r="AW173" s="55"/>
      <c r="AX173" s="55"/>
      <c r="AY173" s="55"/>
      <c r="AZ173" s="55"/>
      <c r="BA173" s="55"/>
      <c r="BB173" s="55"/>
      <c r="BC173" s="55"/>
      <c r="BD173" s="55"/>
      <c r="BE173" s="55"/>
      <c r="BF173" s="55"/>
      <c r="BG173" s="55"/>
      <c r="BH173" s="55"/>
      <c r="BI173" s="55"/>
      <c r="BJ173" s="55"/>
      <c r="BK173" s="55"/>
      <c r="BL173" s="55"/>
      <c r="BM173" s="55"/>
      <c r="BN173" s="55"/>
      <c r="BO173" s="55"/>
      <c r="BP173" s="55"/>
      <c r="BQ173" s="55"/>
      <c r="BR173" s="55"/>
      <c r="BS173" s="55"/>
      <c r="BT173" s="55"/>
      <c r="BU173" s="55"/>
      <c r="BV173" s="55"/>
      <c r="BW173" s="55"/>
      <c r="BX173" s="55"/>
      <c r="BY173" s="55"/>
      <c r="BZ173" s="55"/>
      <c r="CA173" s="55"/>
      <c r="CB173" s="55"/>
      <c r="CC173" s="55"/>
      <c r="CD173" s="55"/>
      <c r="CE173" s="55"/>
      <c r="CF173" s="55"/>
      <c r="CG173" s="55"/>
      <c r="CH173" s="55"/>
      <c r="CI173" s="55"/>
      <c r="CJ173" s="55"/>
      <c r="CK173" s="55"/>
      <c r="CL173" s="55"/>
      <c r="CM173" s="55"/>
      <c r="CN173" s="55"/>
      <c r="CO173" s="55"/>
      <c r="CP173" s="55"/>
      <c r="CQ173" s="55"/>
      <c r="CR173" s="55"/>
      <c r="CS173" s="55"/>
      <c r="CT173" s="55"/>
      <c r="CU173" s="55"/>
      <c r="CV173" s="55"/>
      <c r="CW173" s="55"/>
      <c r="CX173" s="55"/>
      <c r="CY173" s="55"/>
      <c r="CZ173" s="55"/>
      <c r="DA173" s="55"/>
      <c r="DB173" s="55"/>
      <c r="DC173" s="55"/>
      <c r="DD173" s="55"/>
      <c r="DE173" s="55"/>
      <c r="DF173" s="55"/>
      <c r="DG173" s="55"/>
      <c r="DH173" s="55"/>
      <c r="DI173" s="55"/>
      <c r="DJ173" s="55"/>
      <c r="DK173" s="55"/>
      <c r="DL173" s="55"/>
      <c r="DM173" s="55"/>
      <c r="DN173" s="55"/>
      <c r="DO173" s="55"/>
      <c r="DP173" s="55"/>
      <c r="DQ173" s="55"/>
      <c r="DR173" s="55"/>
      <c r="DS173" s="55"/>
      <c r="DT173" s="55"/>
      <c r="DU173" s="55"/>
      <c r="DV173" s="55"/>
      <c r="DW173" s="55"/>
      <c r="DX173" s="55"/>
      <c r="DY173" s="55"/>
      <c r="DZ173" s="55"/>
      <c r="EA173" s="55"/>
      <c r="EB173" s="55"/>
      <c r="EC173" s="55"/>
      <c r="ED173" s="55"/>
      <c r="EE173" s="55"/>
      <c r="EF173" s="55"/>
      <c r="EG173" s="55"/>
      <c r="EH173" s="55"/>
      <c r="EI173" s="55"/>
      <c r="EJ173" s="55"/>
      <c r="EK173" s="55"/>
      <c r="EL173" s="55"/>
      <c r="EM173" s="55"/>
      <c r="EN173" s="55"/>
      <c r="EO173" s="55"/>
      <c r="EP173" s="55"/>
      <c r="EQ173" s="55"/>
      <c r="ER173" s="55"/>
      <c r="ES173" s="55"/>
      <c r="ET173" s="55"/>
      <c r="EU173" s="55"/>
      <c r="EV173" s="55"/>
      <c r="EW173" s="55"/>
      <c r="EX173" s="55"/>
      <c r="EY173" s="55"/>
      <c r="EZ173" s="55"/>
      <c r="FA173" s="55"/>
      <c r="FB173" s="55"/>
      <c r="FC173" s="55"/>
      <c r="FD173" s="55"/>
      <c r="FE173" s="55"/>
      <c r="FF173" s="55"/>
      <c r="FG173" s="55"/>
      <c r="FH173" s="55"/>
      <c r="FI173" s="55"/>
      <c r="FJ173" s="55"/>
      <c r="FK173" s="55"/>
      <c r="FL173" s="55"/>
      <c r="FM173" s="55"/>
      <c r="FN173" s="55"/>
      <c r="FO173" s="55"/>
      <c r="FP173" s="55"/>
      <c r="FQ173" s="55"/>
      <c r="FR173" s="55"/>
      <c r="FS173" s="55"/>
      <c r="FT173" s="55"/>
      <c r="FU173" s="55"/>
      <c r="FV173" s="55"/>
      <c r="FW173" s="55"/>
      <c r="FX173" s="55"/>
      <c r="FY173" s="55"/>
      <c r="FZ173" s="55"/>
      <c r="GA173" s="55"/>
      <c r="GB173" s="55"/>
      <c r="GC173" s="55"/>
      <c r="GD173" s="55"/>
      <c r="GE173" s="55"/>
      <c r="GF173" s="55"/>
      <c r="GG173" s="55"/>
      <c r="GH173" s="55"/>
      <c r="GI173" s="55"/>
      <c r="GJ173" s="55"/>
      <c r="GK173" s="55"/>
      <c r="GL173" s="55"/>
      <c r="GM173" s="55"/>
      <c r="GN173" s="55"/>
      <c r="GO173" s="55"/>
      <c r="GP173" s="55"/>
      <c r="GQ173" s="55"/>
      <c r="GR173" s="55"/>
      <c r="GS173" s="55"/>
      <c r="GT173" s="55"/>
      <c r="GU173" s="55"/>
      <c r="GV173" s="55"/>
      <c r="GW173" s="55"/>
      <c r="GX173" s="55"/>
      <c r="GY173" s="55"/>
      <c r="GZ173" s="55"/>
      <c r="HA173" s="55"/>
      <c r="HB173" s="55"/>
      <c r="HC173" s="55"/>
      <c r="HD173" s="55"/>
      <c r="HE173" s="55"/>
      <c r="HF173" s="55"/>
      <c r="HG173" s="55"/>
      <c r="HH173" s="55"/>
      <c r="HI173" s="55"/>
      <c r="HJ173" s="55"/>
      <c r="HK173" s="55"/>
      <c r="HL173" s="55"/>
      <c r="HM173" s="55"/>
      <c r="HN173" s="55"/>
      <c r="HO173" s="55"/>
      <c r="HP173" s="55"/>
      <c r="HQ173" s="55"/>
      <c r="HR173" s="55"/>
      <c r="HS173" s="55"/>
      <c r="HT173" s="55"/>
      <c r="HU173" s="55"/>
      <c r="HV173" s="55"/>
      <c r="HW173" s="55"/>
      <c r="HX173" s="55"/>
      <c r="HY173" s="55"/>
      <c r="HZ173" s="55"/>
      <c r="IA173" s="55"/>
      <c r="IB173" s="55"/>
    </row>
    <row r="174" spans="1:236" ht="27.75" customHeight="1" x14ac:dyDescent="0.2">
      <c r="A174" s="70" t="s">
        <v>550</v>
      </c>
      <c r="B174" s="44" t="s">
        <v>1194</v>
      </c>
      <c r="C174" s="45" t="s">
        <v>197</v>
      </c>
      <c r="D174" s="741"/>
      <c r="E174" s="55"/>
      <c r="F174" s="55"/>
      <c r="G174" s="55"/>
      <c r="H174" s="55"/>
      <c r="I174" s="55"/>
      <c r="J174" s="55"/>
      <c r="K174" s="55"/>
      <c r="L174" s="55"/>
      <c r="M174" s="55"/>
      <c r="N174" s="55"/>
      <c r="O174" s="55"/>
      <c r="P174" s="55"/>
      <c r="Q174" s="55"/>
      <c r="R174" s="55"/>
      <c r="S174" s="55"/>
      <c r="T174" s="55"/>
      <c r="U174" s="55"/>
      <c r="V174" s="55"/>
      <c r="W174" s="55"/>
      <c r="X174" s="55"/>
      <c r="Y174" s="55"/>
      <c r="Z174" s="55"/>
      <c r="AA174" s="55"/>
      <c r="AB174" s="55"/>
      <c r="AC174" s="55"/>
      <c r="AD174" s="55"/>
      <c r="AE174" s="55"/>
      <c r="AF174" s="55"/>
      <c r="AG174" s="55"/>
      <c r="AH174" s="55"/>
      <c r="AI174" s="55"/>
      <c r="AJ174" s="55"/>
      <c r="AK174" s="55"/>
      <c r="AL174" s="55"/>
      <c r="AM174" s="55"/>
      <c r="AN174" s="55"/>
      <c r="AO174" s="55"/>
      <c r="AP174" s="55"/>
      <c r="AQ174" s="55"/>
      <c r="AR174" s="55"/>
      <c r="AS174" s="55"/>
      <c r="AT174" s="55"/>
      <c r="AU174" s="55"/>
      <c r="AV174" s="55"/>
      <c r="AW174" s="55"/>
      <c r="AX174" s="55"/>
      <c r="AY174" s="55"/>
      <c r="AZ174" s="55"/>
      <c r="BA174" s="55"/>
      <c r="BB174" s="55"/>
      <c r="BC174" s="55"/>
      <c r="BD174" s="55"/>
      <c r="BE174" s="55"/>
      <c r="BF174" s="55"/>
      <c r="BG174" s="55"/>
      <c r="BH174" s="55"/>
      <c r="BI174" s="55"/>
      <c r="BJ174" s="55"/>
      <c r="BK174" s="55"/>
      <c r="BL174" s="55"/>
      <c r="BM174" s="55"/>
      <c r="BN174" s="55"/>
      <c r="BO174" s="55"/>
      <c r="BP174" s="55"/>
      <c r="BQ174" s="55"/>
      <c r="BR174" s="55"/>
      <c r="BS174" s="55"/>
      <c r="BT174" s="55"/>
      <c r="BU174" s="55"/>
      <c r="BV174" s="55"/>
      <c r="BW174" s="55"/>
      <c r="BX174" s="55"/>
      <c r="BY174" s="55"/>
      <c r="BZ174" s="55"/>
      <c r="CA174" s="55"/>
      <c r="CB174" s="55"/>
      <c r="CC174" s="55"/>
      <c r="CD174" s="55"/>
      <c r="CE174" s="55"/>
      <c r="CF174" s="55"/>
      <c r="CG174" s="55"/>
      <c r="CH174" s="55"/>
      <c r="CI174" s="55"/>
      <c r="CJ174" s="55"/>
      <c r="CK174" s="55"/>
      <c r="CL174" s="55"/>
      <c r="CM174" s="55"/>
      <c r="CN174" s="55"/>
      <c r="CO174" s="55"/>
      <c r="CP174" s="55"/>
      <c r="CQ174" s="55"/>
      <c r="CR174" s="55"/>
      <c r="CS174" s="55"/>
      <c r="CT174" s="55"/>
      <c r="CU174" s="55"/>
      <c r="CV174" s="55"/>
      <c r="CW174" s="55"/>
      <c r="CX174" s="55"/>
      <c r="CY174" s="55"/>
      <c r="CZ174" s="55"/>
      <c r="DA174" s="55"/>
      <c r="DB174" s="55"/>
      <c r="DC174" s="55"/>
      <c r="DD174" s="55"/>
      <c r="DE174" s="55"/>
      <c r="DF174" s="55"/>
      <c r="DG174" s="55"/>
      <c r="DH174" s="55"/>
      <c r="DI174" s="55"/>
      <c r="DJ174" s="55"/>
      <c r="DK174" s="55"/>
      <c r="DL174" s="55"/>
      <c r="DM174" s="55"/>
      <c r="DN174" s="55"/>
      <c r="DO174" s="55"/>
      <c r="DP174" s="55"/>
      <c r="DQ174" s="55"/>
      <c r="DR174" s="55"/>
      <c r="DS174" s="55"/>
      <c r="DT174" s="55"/>
      <c r="DU174" s="55"/>
      <c r="DV174" s="55"/>
      <c r="DW174" s="55"/>
      <c r="DX174" s="55"/>
      <c r="DY174" s="55"/>
      <c r="DZ174" s="55"/>
      <c r="EA174" s="55"/>
      <c r="EB174" s="55"/>
      <c r="EC174" s="55"/>
      <c r="ED174" s="55"/>
      <c r="EE174" s="55"/>
      <c r="EF174" s="55"/>
      <c r="EG174" s="55"/>
      <c r="EH174" s="55"/>
      <c r="EI174" s="55"/>
      <c r="EJ174" s="55"/>
      <c r="EK174" s="55"/>
      <c r="EL174" s="55"/>
      <c r="EM174" s="55"/>
      <c r="EN174" s="55"/>
      <c r="EO174" s="55"/>
      <c r="EP174" s="55"/>
      <c r="EQ174" s="55"/>
      <c r="ER174" s="55"/>
      <c r="ES174" s="55"/>
      <c r="ET174" s="55"/>
      <c r="EU174" s="55"/>
      <c r="EV174" s="55"/>
      <c r="EW174" s="55"/>
      <c r="EX174" s="55"/>
      <c r="EY174" s="55"/>
      <c r="EZ174" s="55"/>
      <c r="FA174" s="55"/>
      <c r="FB174" s="55"/>
      <c r="FC174" s="55"/>
      <c r="FD174" s="55"/>
      <c r="FE174" s="55"/>
      <c r="FF174" s="55"/>
      <c r="FG174" s="55"/>
      <c r="FH174" s="55"/>
      <c r="FI174" s="55"/>
      <c r="FJ174" s="55"/>
      <c r="FK174" s="55"/>
      <c r="FL174" s="55"/>
      <c r="FM174" s="55"/>
      <c r="FN174" s="55"/>
      <c r="FO174" s="55"/>
      <c r="FP174" s="55"/>
      <c r="FQ174" s="55"/>
      <c r="FR174" s="55"/>
      <c r="FS174" s="55"/>
      <c r="FT174" s="55"/>
      <c r="FU174" s="55"/>
      <c r="FV174" s="55"/>
      <c r="FW174" s="55"/>
      <c r="FX174" s="55"/>
      <c r="FY174" s="55"/>
      <c r="FZ174" s="55"/>
      <c r="GA174" s="55"/>
      <c r="GB174" s="55"/>
      <c r="GC174" s="55"/>
      <c r="GD174" s="55"/>
      <c r="GE174" s="55"/>
      <c r="GF174" s="55"/>
      <c r="GG174" s="55"/>
      <c r="GH174" s="55"/>
      <c r="GI174" s="55"/>
      <c r="GJ174" s="55"/>
      <c r="GK174" s="55"/>
      <c r="GL174" s="55"/>
      <c r="GM174" s="55"/>
      <c r="GN174" s="55"/>
      <c r="GO174" s="55"/>
      <c r="GP174" s="55"/>
      <c r="GQ174" s="55"/>
      <c r="GR174" s="55"/>
      <c r="GS174" s="55"/>
      <c r="GT174" s="55"/>
      <c r="GU174" s="55"/>
      <c r="GV174" s="55"/>
      <c r="GW174" s="55"/>
      <c r="GX174" s="55"/>
      <c r="GY174" s="55"/>
      <c r="GZ174" s="55"/>
      <c r="HA174" s="55"/>
      <c r="HB174" s="55"/>
      <c r="HC174" s="55"/>
      <c r="HD174" s="55"/>
      <c r="HE174" s="55"/>
      <c r="HF174" s="55"/>
      <c r="HG174" s="55"/>
      <c r="HH174" s="55"/>
      <c r="HI174" s="55"/>
      <c r="HJ174" s="55"/>
      <c r="HK174" s="55"/>
      <c r="HL174" s="55"/>
      <c r="HM174" s="55"/>
      <c r="HN174" s="55"/>
      <c r="HO174" s="55"/>
      <c r="HP174" s="55"/>
      <c r="HQ174" s="55"/>
      <c r="HR174" s="55"/>
      <c r="HS174" s="55"/>
      <c r="HT174" s="55"/>
      <c r="HU174" s="55"/>
      <c r="HV174" s="55"/>
      <c r="HW174" s="55"/>
      <c r="HX174" s="55"/>
      <c r="HY174" s="55"/>
      <c r="HZ174" s="55"/>
      <c r="IA174" s="55"/>
      <c r="IB174" s="55"/>
    </row>
    <row r="175" spans="1:236" ht="27.75" customHeight="1" x14ac:dyDescent="0.2">
      <c r="A175" s="70" t="s">
        <v>1075</v>
      </c>
      <c r="B175" s="411" t="s">
        <v>1110</v>
      </c>
      <c r="C175" s="412" t="s">
        <v>161</v>
      </c>
      <c r="D175" s="741"/>
      <c r="E175" s="55"/>
      <c r="F175" s="55"/>
      <c r="G175" s="55"/>
      <c r="H175" s="55"/>
      <c r="I175" s="55"/>
      <c r="J175" s="55"/>
      <c r="K175" s="55"/>
      <c r="L175" s="55"/>
      <c r="M175" s="55"/>
      <c r="N175" s="55"/>
      <c r="O175" s="55"/>
      <c r="P175" s="55"/>
      <c r="Q175" s="55"/>
      <c r="R175" s="55"/>
      <c r="S175" s="55"/>
      <c r="T175" s="55"/>
      <c r="U175" s="55"/>
      <c r="V175" s="55"/>
      <c r="W175" s="55"/>
      <c r="X175" s="55"/>
      <c r="Y175" s="55"/>
      <c r="Z175" s="55"/>
      <c r="AA175" s="55"/>
      <c r="AB175" s="55"/>
      <c r="AC175" s="55"/>
      <c r="AD175" s="55"/>
      <c r="AE175" s="55"/>
      <c r="AF175" s="55"/>
      <c r="AG175" s="55"/>
      <c r="AH175" s="55"/>
      <c r="AI175" s="55"/>
      <c r="AJ175" s="55"/>
      <c r="AK175" s="55"/>
      <c r="AL175" s="55"/>
      <c r="AM175" s="55"/>
      <c r="AN175" s="55"/>
      <c r="AO175" s="55"/>
      <c r="AP175" s="55"/>
      <c r="AQ175" s="55"/>
      <c r="AR175" s="55"/>
      <c r="AS175" s="55"/>
      <c r="AT175" s="55"/>
      <c r="AU175" s="55"/>
      <c r="AV175" s="55"/>
      <c r="AW175" s="55"/>
      <c r="AX175" s="55"/>
      <c r="AY175" s="55"/>
      <c r="AZ175" s="55"/>
      <c r="BA175" s="55"/>
      <c r="BB175" s="55"/>
      <c r="BC175" s="55"/>
      <c r="BD175" s="55"/>
      <c r="BE175" s="55"/>
      <c r="BF175" s="55"/>
      <c r="BG175" s="55"/>
      <c r="BH175" s="55"/>
      <c r="BI175" s="55"/>
      <c r="BJ175" s="55"/>
      <c r="BK175" s="55"/>
      <c r="BL175" s="55"/>
      <c r="BM175" s="55"/>
      <c r="BN175" s="55"/>
      <c r="BO175" s="55"/>
      <c r="BP175" s="55"/>
      <c r="BQ175" s="55"/>
      <c r="BR175" s="55"/>
      <c r="BS175" s="55"/>
      <c r="BT175" s="55"/>
      <c r="BU175" s="55"/>
      <c r="BV175" s="55"/>
      <c r="BW175" s="55"/>
      <c r="BX175" s="55"/>
      <c r="BY175" s="55"/>
      <c r="BZ175" s="55"/>
      <c r="CA175" s="55"/>
      <c r="CB175" s="55"/>
      <c r="CC175" s="55"/>
      <c r="CD175" s="55"/>
      <c r="CE175" s="55"/>
      <c r="CF175" s="55"/>
      <c r="CG175" s="55"/>
      <c r="CH175" s="55"/>
      <c r="CI175" s="55"/>
      <c r="CJ175" s="55"/>
      <c r="CK175" s="55"/>
      <c r="CL175" s="55"/>
      <c r="CM175" s="55"/>
      <c r="CN175" s="55"/>
      <c r="CO175" s="55"/>
      <c r="CP175" s="55"/>
      <c r="CQ175" s="55"/>
      <c r="CR175" s="55"/>
      <c r="CS175" s="55"/>
      <c r="CT175" s="55"/>
      <c r="CU175" s="55"/>
      <c r="CV175" s="55"/>
      <c r="CW175" s="55"/>
      <c r="CX175" s="55"/>
      <c r="CY175" s="55"/>
      <c r="CZ175" s="55"/>
      <c r="DA175" s="55"/>
      <c r="DB175" s="55"/>
      <c r="DC175" s="55"/>
      <c r="DD175" s="55"/>
      <c r="DE175" s="55"/>
      <c r="DF175" s="55"/>
      <c r="DG175" s="55"/>
      <c r="DH175" s="55"/>
      <c r="DI175" s="55"/>
      <c r="DJ175" s="55"/>
      <c r="DK175" s="55"/>
      <c r="DL175" s="55"/>
      <c r="DM175" s="55"/>
      <c r="DN175" s="55"/>
      <c r="DO175" s="55"/>
      <c r="DP175" s="55"/>
      <c r="DQ175" s="55"/>
      <c r="DR175" s="55"/>
      <c r="DS175" s="55"/>
      <c r="DT175" s="55"/>
      <c r="DU175" s="55"/>
      <c r="DV175" s="55"/>
      <c r="DW175" s="55"/>
      <c r="DX175" s="55"/>
      <c r="DY175" s="55"/>
      <c r="DZ175" s="55"/>
      <c r="EA175" s="55"/>
      <c r="EB175" s="55"/>
      <c r="EC175" s="55"/>
      <c r="ED175" s="55"/>
      <c r="EE175" s="55"/>
      <c r="EF175" s="55"/>
      <c r="EG175" s="55"/>
      <c r="EH175" s="55"/>
      <c r="EI175" s="55"/>
      <c r="EJ175" s="55"/>
      <c r="EK175" s="55"/>
      <c r="EL175" s="55"/>
      <c r="EM175" s="55"/>
      <c r="EN175" s="55"/>
      <c r="EO175" s="55"/>
      <c r="EP175" s="55"/>
      <c r="EQ175" s="55"/>
      <c r="ER175" s="55"/>
      <c r="ES175" s="55"/>
      <c r="ET175" s="55"/>
      <c r="EU175" s="55"/>
      <c r="EV175" s="55"/>
      <c r="EW175" s="55"/>
      <c r="EX175" s="55"/>
      <c r="EY175" s="55"/>
      <c r="EZ175" s="55"/>
      <c r="FA175" s="55"/>
      <c r="FB175" s="55"/>
      <c r="FC175" s="55"/>
      <c r="FD175" s="55"/>
      <c r="FE175" s="55"/>
      <c r="FF175" s="55"/>
      <c r="FG175" s="55"/>
      <c r="FH175" s="55"/>
      <c r="FI175" s="55"/>
      <c r="FJ175" s="55"/>
      <c r="FK175" s="55"/>
      <c r="FL175" s="55"/>
      <c r="FM175" s="55"/>
      <c r="FN175" s="55"/>
      <c r="FO175" s="55"/>
      <c r="FP175" s="55"/>
      <c r="FQ175" s="55"/>
      <c r="FR175" s="55"/>
      <c r="FS175" s="55"/>
      <c r="FT175" s="55"/>
      <c r="FU175" s="55"/>
      <c r="FV175" s="55"/>
      <c r="FW175" s="55"/>
      <c r="FX175" s="55"/>
      <c r="FY175" s="55"/>
      <c r="FZ175" s="55"/>
      <c r="GA175" s="55"/>
      <c r="GB175" s="55"/>
      <c r="GC175" s="55"/>
      <c r="GD175" s="55"/>
      <c r="GE175" s="55"/>
      <c r="GF175" s="55"/>
      <c r="GG175" s="55"/>
      <c r="GH175" s="55"/>
      <c r="GI175" s="55"/>
      <c r="GJ175" s="55"/>
      <c r="GK175" s="55"/>
      <c r="GL175" s="55"/>
      <c r="GM175" s="55"/>
      <c r="GN175" s="55"/>
      <c r="GO175" s="55"/>
      <c r="GP175" s="55"/>
      <c r="GQ175" s="55"/>
      <c r="GR175" s="55"/>
      <c r="GS175" s="55"/>
      <c r="GT175" s="55"/>
      <c r="GU175" s="55"/>
      <c r="GV175" s="55"/>
      <c r="GW175" s="55"/>
      <c r="GX175" s="55"/>
      <c r="GY175" s="55"/>
      <c r="GZ175" s="55"/>
      <c r="HA175" s="55"/>
      <c r="HB175" s="55"/>
      <c r="HC175" s="55"/>
      <c r="HD175" s="55"/>
      <c r="HE175" s="55"/>
      <c r="HF175" s="55"/>
      <c r="HG175" s="55"/>
      <c r="HH175" s="55"/>
      <c r="HI175" s="55"/>
      <c r="HJ175" s="55"/>
      <c r="HK175" s="55"/>
      <c r="HL175" s="55"/>
      <c r="HM175" s="55"/>
      <c r="HN175" s="55"/>
      <c r="HO175" s="55"/>
      <c r="HP175" s="55"/>
      <c r="HQ175" s="55"/>
      <c r="HR175" s="55"/>
      <c r="HS175" s="55"/>
      <c r="HT175" s="55"/>
      <c r="HU175" s="55"/>
      <c r="HV175" s="55"/>
      <c r="HW175" s="55"/>
      <c r="HX175" s="55"/>
      <c r="HY175" s="55"/>
      <c r="HZ175" s="55"/>
      <c r="IA175" s="55"/>
      <c r="IB175" s="55"/>
    </row>
    <row r="176" spans="1:236" ht="27.75" customHeight="1" x14ac:dyDescent="0.2">
      <c r="A176" s="70" t="s">
        <v>1076</v>
      </c>
      <c r="B176" s="411" t="s">
        <v>1114</v>
      </c>
      <c r="C176" s="412" t="s">
        <v>194</v>
      </c>
      <c r="D176" s="742"/>
      <c r="E176" s="55"/>
      <c r="F176" s="55"/>
      <c r="G176" s="55"/>
      <c r="H176" s="55"/>
      <c r="I176" s="55"/>
      <c r="J176" s="55"/>
      <c r="K176" s="55"/>
      <c r="L176" s="55"/>
      <c r="M176" s="55"/>
      <c r="N176" s="55"/>
      <c r="O176" s="55"/>
      <c r="P176" s="55"/>
      <c r="Q176" s="55"/>
      <c r="R176" s="55"/>
      <c r="S176" s="55"/>
      <c r="T176" s="55"/>
      <c r="U176" s="55"/>
      <c r="V176" s="55"/>
      <c r="W176" s="55"/>
      <c r="X176" s="55"/>
      <c r="Y176" s="55"/>
      <c r="Z176" s="55"/>
      <c r="AA176" s="55"/>
      <c r="AB176" s="55"/>
      <c r="AC176" s="55"/>
      <c r="AD176" s="55"/>
      <c r="AE176" s="55"/>
      <c r="AF176" s="55"/>
      <c r="AG176" s="55"/>
      <c r="AH176" s="55"/>
      <c r="AI176" s="55"/>
      <c r="AJ176" s="55"/>
      <c r="AK176" s="55"/>
      <c r="AL176" s="55"/>
      <c r="AM176" s="55"/>
      <c r="AN176" s="55"/>
      <c r="AO176" s="55"/>
      <c r="AP176" s="55"/>
      <c r="AQ176" s="55"/>
      <c r="AR176" s="55"/>
      <c r="AS176" s="55"/>
      <c r="AT176" s="55"/>
      <c r="AU176" s="55"/>
      <c r="AV176" s="55"/>
      <c r="AW176" s="55"/>
      <c r="AX176" s="55"/>
      <c r="AY176" s="55"/>
      <c r="AZ176" s="55"/>
      <c r="BA176" s="55"/>
      <c r="BB176" s="55"/>
      <c r="BC176" s="55"/>
      <c r="BD176" s="55"/>
      <c r="BE176" s="55"/>
      <c r="BF176" s="55"/>
      <c r="BG176" s="55"/>
      <c r="BH176" s="55"/>
      <c r="BI176" s="55"/>
      <c r="BJ176" s="55"/>
      <c r="BK176" s="55"/>
      <c r="BL176" s="55"/>
      <c r="BM176" s="55"/>
      <c r="BN176" s="55"/>
      <c r="BO176" s="55"/>
      <c r="BP176" s="55"/>
      <c r="BQ176" s="55"/>
      <c r="BR176" s="55"/>
      <c r="BS176" s="55"/>
      <c r="BT176" s="55"/>
      <c r="BU176" s="55"/>
      <c r="BV176" s="55"/>
      <c r="BW176" s="55"/>
      <c r="BX176" s="55"/>
      <c r="BY176" s="55"/>
      <c r="BZ176" s="55"/>
      <c r="CA176" s="55"/>
      <c r="CB176" s="55"/>
      <c r="CC176" s="55"/>
      <c r="CD176" s="55"/>
      <c r="CE176" s="55"/>
      <c r="CF176" s="55"/>
      <c r="CG176" s="55"/>
      <c r="CH176" s="55"/>
      <c r="CI176" s="55"/>
      <c r="CJ176" s="55"/>
      <c r="CK176" s="55"/>
      <c r="CL176" s="55"/>
      <c r="CM176" s="55"/>
      <c r="CN176" s="55"/>
      <c r="CO176" s="55"/>
      <c r="CP176" s="55"/>
      <c r="CQ176" s="55"/>
      <c r="CR176" s="55"/>
      <c r="CS176" s="55"/>
      <c r="CT176" s="55"/>
      <c r="CU176" s="55"/>
      <c r="CV176" s="55"/>
      <c r="CW176" s="55"/>
      <c r="CX176" s="55"/>
      <c r="CY176" s="55"/>
      <c r="CZ176" s="55"/>
      <c r="DA176" s="55"/>
      <c r="DB176" s="55"/>
      <c r="DC176" s="55"/>
      <c r="DD176" s="55"/>
      <c r="DE176" s="55"/>
      <c r="DF176" s="55"/>
      <c r="DG176" s="55"/>
      <c r="DH176" s="55"/>
      <c r="DI176" s="55"/>
      <c r="DJ176" s="55"/>
      <c r="DK176" s="55"/>
      <c r="DL176" s="55"/>
      <c r="DM176" s="55"/>
      <c r="DN176" s="55"/>
      <c r="DO176" s="55"/>
      <c r="DP176" s="55"/>
      <c r="DQ176" s="55"/>
      <c r="DR176" s="55"/>
      <c r="DS176" s="55"/>
      <c r="DT176" s="55"/>
      <c r="DU176" s="55"/>
      <c r="DV176" s="55"/>
      <c r="DW176" s="55"/>
      <c r="DX176" s="55"/>
      <c r="DY176" s="55"/>
      <c r="DZ176" s="55"/>
      <c r="EA176" s="55"/>
      <c r="EB176" s="55"/>
      <c r="EC176" s="55"/>
      <c r="ED176" s="55"/>
      <c r="EE176" s="55"/>
      <c r="EF176" s="55"/>
      <c r="EG176" s="55"/>
      <c r="EH176" s="55"/>
      <c r="EI176" s="55"/>
      <c r="EJ176" s="55"/>
      <c r="EK176" s="55"/>
      <c r="EL176" s="55"/>
      <c r="EM176" s="55"/>
      <c r="EN176" s="55"/>
      <c r="EO176" s="55"/>
      <c r="EP176" s="55"/>
      <c r="EQ176" s="55"/>
      <c r="ER176" s="55"/>
      <c r="ES176" s="55"/>
      <c r="ET176" s="55"/>
      <c r="EU176" s="55"/>
      <c r="EV176" s="55"/>
      <c r="EW176" s="55"/>
      <c r="EX176" s="55"/>
      <c r="EY176" s="55"/>
      <c r="EZ176" s="55"/>
      <c r="FA176" s="55"/>
      <c r="FB176" s="55"/>
      <c r="FC176" s="55"/>
      <c r="FD176" s="55"/>
      <c r="FE176" s="55"/>
      <c r="FF176" s="55"/>
      <c r="FG176" s="55"/>
      <c r="FH176" s="55"/>
      <c r="FI176" s="55"/>
      <c r="FJ176" s="55"/>
      <c r="FK176" s="55"/>
      <c r="FL176" s="55"/>
      <c r="FM176" s="55"/>
      <c r="FN176" s="55"/>
      <c r="FO176" s="55"/>
      <c r="FP176" s="55"/>
      <c r="FQ176" s="55"/>
      <c r="FR176" s="55"/>
      <c r="FS176" s="55"/>
      <c r="FT176" s="55"/>
      <c r="FU176" s="55"/>
      <c r="FV176" s="55"/>
      <c r="FW176" s="55"/>
      <c r="FX176" s="55"/>
      <c r="FY176" s="55"/>
      <c r="FZ176" s="55"/>
      <c r="GA176" s="55"/>
      <c r="GB176" s="55"/>
      <c r="GC176" s="55"/>
      <c r="GD176" s="55"/>
      <c r="GE176" s="55"/>
      <c r="GF176" s="55"/>
      <c r="GG176" s="55"/>
      <c r="GH176" s="55"/>
      <c r="GI176" s="55"/>
      <c r="GJ176" s="55"/>
      <c r="GK176" s="55"/>
      <c r="GL176" s="55"/>
      <c r="GM176" s="55"/>
      <c r="GN176" s="55"/>
      <c r="GO176" s="55"/>
      <c r="GP176" s="55"/>
      <c r="GQ176" s="55"/>
      <c r="GR176" s="55"/>
      <c r="GS176" s="55"/>
      <c r="GT176" s="55"/>
      <c r="GU176" s="55"/>
      <c r="GV176" s="55"/>
      <c r="GW176" s="55"/>
      <c r="GX176" s="55"/>
      <c r="GY176" s="55"/>
      <c r="GZ176" s="55"/>
      <c r="HA176" s="55"/>
      <c r="HB176" s="55"/>
      <c r="HC176" s="55"/>
      <c r="HD176" s="55"/>
      <c r="HE176" s="55"/>
      <c r="HF176" s="55"/>
      <c r="HG176" s="55"/>
      <c r="HH176" s="55"/>
      <c r="HI176" s="55"/>
      <c r="HJ176" s="55"/>
      <c r="HK176" s="55"/>
      <c r="HL176" s="55"/>
      <c r="HM176" s="55"/>
      <c r="HN176" s="55"/>
      <c r="HO176" s="55"/>
      <c r="HP176" s="55"/>
      <c r="HQ176" s="55"/>
      <c r="HR176" s="55"/>
      <c r="HS176" s="55"/>
      <c r="HT176" s="55"/>
      <c r="HU176" s="55"/>
      <c r="HV176" s="55"/>
      <c r="HW176" s="55"/>
      <c r="HX176" s="55"/>
      <c r="HY176" s="55"/>
      <c r="HZ176" s="55"/>
      <c r="IA176" s="55"/>
      <c r="IB176" s="55"/>
    </row>
    <row r="177" spans="1:236" ht="27.75" customHeight="1" x14ac:dyDescent="0.2">
      <c r="A177" s="70" t="s">
        <v>587</v>
      </c>
      <c r="B177" s="411" t="s">
        <v>1115</v>
      </c>
      <c r="C177" s="412" t="s">
        <v>195</v>
      </c>
      <c r="D177" s="742"/>
      <c r="E177" s="55"/>
      <c r="F177" s="55"/>
      <c r="G177" s="55"/>
      <c r="H177" s="55"/>
      <c r="I177" s="55"/>
      <c r="J177" s="55"/>
      <c r="K177" s="55"/>
      <c r="L177" s="55"/>
      <c r="M177" s="55"/>
      <c r="N177" s="55"/>
      <c r="O177" s="55"/>
      <c r="P177" s="55"/>
      <c r="Q177" s="55"/>
      <c r="R177" s="55"/>
      <c r="S177" s="55"/>
      <c r="T177" s="55"/>
      <c r="U177" s="55"/>
      <c r="V177" s="55"/>
      <c r="W177" s="55"/>
      <c r="X177" s="55"/>
      <c r="Y177" s="55"/>
      <c r="Z177" s="55"/>
      <c r="AA177" s="55"/>
      <c r="AB177" s="55"/>
      <c r="AC177" s="55"/>
      <c r="AD177" s="55"/>
      <c r="AE177" s="55"/>
      <c r="AF177" s="55"/>
      <c r="AG177" s="55"/>
      <c r="AH177" s="55"/>
      <c r="AI177" s="55"/>
      <c r="AJ177" s="55"/>
      <c r="AK177" s="55"/>
      <c r="AL177" s="55"/>
      <c r="AM177" s="55"/>
      <c r="AN177" s="55"/>
      <c r="AO177" s="55"/>
      <c r="AP177" s="55"/>
      <c r="AQ177" s="55"/>
      <c r="AR177" s="55"/>
      <c r="AS177" s="55"/>
      <c r="AT177" s="55"/>
      <c r="AU177" s="55"/>
      <c r="AV177" s="55"/>
      <c r="AW177" s="55"/>
      <c r="AX177" s="55"/>
      <c r="AY177" s="55"/>
      <c r="AZ177" s="55"/>
      <c r="BA177" s="55"/>
      <c r="BB177" s="55"/>
      <c r="BC177" s="55"/>
      <c r="BD177" s="55"/>
      <c r="BE177" s="55"/>
      <c r="BF177" s="55"/>
      <c r="BG177" s="55"/>
      <c r="BH177" s="55"/>
      <c r="BI177" s="55"/>
      <c r="BJ177" s="55"/>
      <c r="BK177" s="55"/>
      <c r="BL177" s="55"/>
      <c r="BM177" s="55"/>
      <c r="BN177" s="55"/>
      <c r="BO177" s="55"/>
      <c r="BP177" s="55"/>
      <c r="BQ177" s="55"/>
      <c r="BR177" s="55"/>
      <c r="BS177" s="55"/>
      <c r="BT177" s="55"/>
      <c r="BU177" s="55"/>
      <c r="BV177" s="55"/>
      <c r="BW177" s="55"/>
      <c r="BX177" s="55"/>
      <c r="BY177" s="55"/>
      <c r="BZ177" s="55"/>
      <c r="CA177" s="55"/>
      <c r="CB177" s="55"/>
      <c r="CC177" s="55"/>
      <c r="CD177" s="55"/>
      <c r="CE177" s="55"/>
      <c r="CF177" s="55"/>
      <c r="CG177" s="55"/>
      <c r="CH177" s="55"/>
      <c r="CI177" s="55"/>
      <c r="CJ177" s="55"/>
      <c r="CK177" s="55"/>
      <c r="CL177" s="55"/>
      <c r="CM177" s="55"/>
      <c r="CN177" s="55"/>
      <c r="CO177" s="55"/>
      <c r="CP177" s="55"/>
      <c r="CQ177" s="55"/>
      <c r="CR177" s="55"/>
      <c r="CS177" s="55"/>
      <c r="CT177" s="55"/>
      <c r="CU177" s="55"/>
      <c r="CV177" s="55"/>
      <c r="CW177" s="55"/>
      <c r="CX177" s="55"/>
      <c r="CY177" s="55"/>
      <c r="CZ177" s="55"/>
      <c r="DA177" s="55"/>
      <c r="DB177" s="55"/>
      <c r="DC177" s="55"/>
      <c r="DD177" s="55"/>
      <c r="DE177" s="55"/>
      <c r="DF177" s="55"/>
      <c r="DG177" s="55"/>
      <c r="DH177" s="55"/>
      <c r="DI177" s="55"/>
      <c r="DJ177" s="55"/>
      <c r="DK177" s="55"/>
      <c r="DL177" s="55"/>
      <c r="DM177" s="55"/>
      <c r="DN177" s="55"/>
      <c r="DO177" s="55"/>
      <c r="DP177" s="55"/>
      <c r="DQ177" s="55"/>
      <c r="DR177" s="55"/>
      <c r="DS177" s="55"/>
      <c r="DT177" s="55"/>
      <c r="DU177" s="55"/>
      <c r="DV177" s="55"/>
      <c r="DW177" s="55"/>
      <c r="DX177" s="55"/>
      <c r="DY177" s="55"/>
      <c r="DZ177" s="55"/>
      <c r="EA177" s="55"/>
      <c r="EB177" s="55"/>
      <c r="EC177" s="55"/>
      <c r="ED177" s="55"/>
      <c r="EE177" s="55"/>
      <c r="EF177" s="55"/>
      <c r="EG177" s="55"/>
      <c r="EH177" s="55"/>
      <c r="EI177" s="55"/>
      <c r="EJ177" s="55"/>
      <c r="EK177" s="55"/>
      <c r="EL177" s="55"/>
      <c r="EM177" s="55"/>
      <c r="EN177" s="55"/>
      <c r="EO177" s="55"/>
      <c r="EP177" s="55"/>
      <c r="EQ177" s="55"/>
      <c r="ER177" s="55"/>
      <c r="ES177" s="55"/>
      <c r="ET177" s="55"/>
      <c r="EU177" s="55"/>
      <c r="EV177" s="55"/>
      <c r="EW177" s="55"/>
      <c r="EX177" s="55"/>
      <c r="EY177" s="55"/>
      <c r="EZ177" s="55"/>
      <c r="FA177" s="55"/>
      <c r="FB177" s="55"/>
      <c r="FC177" s="55"/>
      <c r="FD177" s="55"/>
      <c r="FE177" s="55"/>
      <c r="FF177" s="55"/>
      <c r="FG177" s="55"/>
      <c r="FH177" s="55"/>
      <c r="FI177" s="55"/>
      <c r="FJ177" s="55"/>
      <c r="FK177" s="55"/>
      <c r="FL177" s="55"/>
      <c r="FM177" s="55"/>
      <c r="FN177" s="55"/>
      <c r="FO177" s="55"/>
      <c r="FP177" s="55"/>
      <c r="FQ177" s="55"/>
      <c r="FR177" s="55"/>
      <c r="FS177" s="55"/>
      <c r="FT177" s="55"/>
      <c r="FU177" s="55"/>
      <c r="FV177" s="55"/>
      <c r="FW177" s="55"/>
      <c r="FX177" s="55"/>
      <c r="FY177" s="55"/>
      <c r="FZ177" s="55"/>
      <c r="GA177" s="55"/>
      <c r="GB177" s="55"/>
      <c r="GC177" s="55"/>
      <c r="GD177" s="55"/>
      <c r="GE177" s="55"/>
      <c r="GF177" s="55"/>
      <c r="GG177" s="55"/>
      <c r="GH177" s="55"/>
      <c r="GI177" s="55"/>
      <c r="GJ177" s="55"/>
      <c r="GK177" s="55"/>
      <c r="GL177" s="55"/>
      <c r="GM177" s="55"/>
      <c r="GN177" s="55"/>
      <c r="GO177" s="55"/>
      <c r="GP177" s="55"/>
      <c r="GQ177" s="55"/>
      <c r="GR177" s="55"/>
      <c r="GS177" s="55"/>
      <c r="GT177" s="55"/>
      <c r="GU177" s="55"/>
      <c r="GV177" s="55"/>
      <c r="GW177" s="55"/>
      <c r="GX177" s="55"/>
      <c r="GY177" s="55"/>
      <c r="GZ177" s="55"/>
      <c r="HA177" s="55"/>
      <c r="HB177" s="55"/>
      <c r="HC177" s="55"/>
      <c r="HD177" s="55"/>
      <c r="HE177" s="55"/>
      <c r="HF177" s="55"/>
      <c r="HG177" s="55"/>
      <c r="HH177" s="55"/>
      <c r="HI177" s="55"/>
      <c r="HJ177" s="55"/>
      <c r="HK177" s="55"/>
      <c r="HL177" s="55"/>
      <c r="HM177" s="55"/>
      <c r="HN177" s="55"/>
      <c r="HO177" s="55"/>
      <c r="HP177" s="55"/>
      <c r="HQ177" s="55"/>
      <c r="HR177" s="55"/>
      <c r="HS177" s="55"/>
      <c r="HT177" s="55"/>
      <c r="HU177" s="55"/>
      <c r="HV177" s="55"/>
      <c r="HW177" s="55"/>
      <c r="HX177" s="55"/>
      <c r="HY177" s="55"/>
      <c r="HZ177" s="55"/>
      <c r="IA177" s="55"/>
      <c r="IB177" s="55"/>
    </row>
    <row r="178" spans="1:236" ht="27.75" customHeight="1" thickBot="1" x14ac:dyDescent="0.25">
      <c r="A178" s="70" t="s">
        <v>1077</v>
      </c>
      <c r="B178" s="411" t="s">
        <v>1115</v>
      </c>
      <c r="C178" s="412" t="s">
        <v>194</v>
      </c>
      <c r="D178" s="742"/>
      <c r="E178" s="55"/>
      <c r="F178" s="55"/>
      <c r="G178" s="55"/>
      <c r="H178" s="55"/>
      <c r="I178" s="55"/>
      <c r="J178" s="55"/>
      <c r="K178" s="55"/>
      <c r="L178" s="55"/>
      <c r="M178" s="55"/>
      <c r="N178" s="55"/>
      <c r="O178" s="55"/>
      <c r="P178" s="55"/>
      <c r="Q178" s="55"/>
      <c r="R178" s="55"/>
      <c r="S178" s="55"/>
      <c r="T178" s="55"/>
      <c r="U178" s="55"/>
      <c r="V178" s="55"/>
      <c r="W178" s="55"/>
      <c r="X178" s="55"/>
      <c r="Y178" s="55"/>
      <c r="Z178" s="55"/>
      <c r="AA178" s="55"/>
      <c r="AB178" s="55"/>
      <c r="AC178" s="55"/>
      <c r="AD178" s="55"/>
      <c r="AE178" s="55"/>
      <c r="AF178" s="55"/>
      <c r="AG178" s="55"/>
      <c r="AH178" s="55"/>
      <c r="AI178" s="55"/>
      <c r="AJ178" s="55"/>
      <c r="AK178" s="55"/>
      <c r="AL178" s="55"/>
      <c r="AM178" s="55"/>
      <c r="AN178" s="55"/>
      <c r="AO178" s="55"/>
      <c r="AP178" s="55"/>
      <c r="AQ178" s="55"/>
      <c r="AR178" s="55"/>
      <c r="AS178" s="55"/>
      <c r="AT178" s="55"/>
      <c r="AU178" s="55"/>
      <c r="AV178" s="55"/>
      <c r="AW178" s="55"/>
      <c r="AX178" s="55"/>
      <c r="AY178" s="55"/>
      <c r="AZ178" s="55"/>
      <c r="BA178" s="55"/>
      <c r="BB178" s="55"/>
      <c r="BC178" s="55"/>
      <c r="BD178" s="55"/>
      <c r="BE178" s="55"/>
      <c r="BF178" s="55"/>
      <c r="BG178" s="55"/>
      <c r="BH178" s="55"/>
      <c r="BI178" s="55"/>
      <c r="BJ178" s="55"/>
      <c r="BK178" s="55"/>
      <c r="BL178" s="55"/>
      <c r="BM178" s="55"/>
      <c r="BN178" s="55"/>
      <c r="BO178" s="55"/>
      <c r="BP178" s="55"/>
      <c r="BQ178" s="55"/>
      <c r="BR178" s="55"/>
      <c r="BS178" s="55"/>
      <c r="BT178" s="55"/>
      <c r="BU178" s="55"/>
      <c r="BV178" s="55"/>
      <c r="BW178" s="55"/>
      <c r="BX178" s="55"/>
      <c r="BY178" s="55"/>
      <c r="BZ178" s="55"/>
      <c r="CA178" s="55"/>
      <c r="CB178" s="55"/>
      <c r="CC178" s="55"/>
      <c r="CD178" s="55"/>
      <c r="CE178" s="55"/>
      <c r="CF178" s="55"/>
      <c r="CG178" s="55"/>
      <c r="CH178" s="55"/>
      <c r="CI178" s="55"/>
      <c r="CJ178" s="55"/>
      <c r="CK178" s="55"/>
      <c r="CL178" s="55"/>
      <c r="CM178" s="55"/>
      <c r="CN178" s="55"/>
      <c r="CO178" s="55"/>
      <c r="CP178" s="55"/>
      <c r="CQ178" s="55"/>
      <c r="CR178" s="55"/>
      <c r="CS178" s="55"/>
      <c r="CT178" s="55"/>
      <c r="CU178" s="55"/>
      <c r="CV178" s="55"/>
      <c r="CW178" s="55"/>
      <c r="CX178" s="55"/>
      <c r="CY178" s="55"/>
      <c r="CZ178" s="55"/>
      <c r="DA178" s="55"/>
      <c r="DB178" s="55"/>
      <c r="DC178" s="55"/>
      <c r="DD178" s="55"/>
      <c r="DE178" s="55"/>
      <c r="DF178" s="55"/>
      <c r="DG178" s="55"/>
      <c r="DH178" s="55"/>
      <c r="DI178" s="55"/>
      <c r="DJ178" s="55"/>
      <c r="DK178" s="55"/>
      <c r="DL178" s="55"/>
      <c r="DM178" s="55"/>
      <c r="DN178" s="55"/>
      <c r="DO178" s="55"/>
      <c r="DP178" s="55"/>
      <c r="DQ178" s="55"/>
      <c r="DR178" s="55"/>
      <c r="DS178" s="55"/>
      <c r="DT178" s="55"/>
      <c r="DU178" s="55"/>
      <c r="DV178" s="55"/>
      <c r="DW178" s="55"/>
      <c r="DX178" s="55"/>
      <c r="DY178" s="55"/>
      <c r="DZ178" s="55"/>
      <c r="EA178" s="55"/>
      <c r="EB178" s="55"/>
      <c r="EC178" s="55"/>
      <c r="ED178" s="55"/>
      <c r="EE178" s="55"/>
      <c r="EF178" s="55"/>
      <c r="EG178" s="55"/>
      <c r="EH178" s="55"/>
      <c r="EI178" s="55"/>
      <c r="EJ178" s="55"/>
      <c r="EK178" s="55"/>
      <c r="EL178" s="55"/>
      <c r="EM178" s="55"/>
      <c r="EN178" s="55"/>
      <c r="EO178" s="55"/>
      <c r="EP178" s="55"/>
      <c r="EQ178" s="55"/>
      <c r="ER178" s="55"/>
      <c r="ES178" s="55"/>
      <c r="ET178" s="55"/>
      <c r="EU178" s="55"/>
      <c r="EV178" s="55"/>
      <c r="EW178" s="55"/>
      <c r="EX178" s="55"/>
      <c r="EY178" s="55"/>
      <c r="EZ178" s="55"/>
      <c r="FA178" s="55"/>
      <c r="FB178" s="55"/>
      <c r="FC178" s="55"/>
      <c r="FD178" s="55"/>
      <c r="FE178" s="55"/>
      <c r="FF178" s="55"/>
      <c r="FG178" s="55"/>
      <c r="FH178" s="55"/>
      <c r="FI178" s="55"/>
      <c r="FJ178" s="55"/>
      <c r="FK178" s="55"/>
      <c r="FL178" s="55"/>
      <c r="FM178" s="55"/>
      <c r="FN178" s="55"/>
      <c r="FO178" s="55"/>
      <c r="FP178" s="55"/>
      <c r="FQ178" s="55"/>
      <c r="FR178" s="55"/>
      <c r="FS178" s="55"/>
      <c r="FT178" s="55"/>
      <c r="FU178" s="55"/>
      <c r="FV178" s="55"/>
      <c r="FW178" s="55"/>
      <c r="FX178" s="55"/>
      <c r="FY178" s="55"/>
      <c r="FZ178" s="55"/>
      <c r="GA178" s="55"/>
      <c r="GB178" s="55"/>
      <c r="GC178" s="55"/>
      <c r="GD178" s="55"/>
      <c r="GE178" s="55"/>
      <c r="GF178" s="55"/>
      <c r="GG178" s="55"/>
      <c r="GH178" s="55"/>
      <c r="GI178" s="55"/>
      <c r="GJ178" s="55"/>
      <c r="GK178" s="55"/>
      <c r="GL178" s="55"/>
      <c r="GM178" s="55"/>
      <c r="GN178" s="55"/>
      <c r="GO178" s="55"/>
      <c r="GP178" s="55"/>
      <c r="GQ178" s="55"/>
      <c r="GR178" s="55"/>
      <c r="GS178" s="55"/>
      <c r="GT178" s="55"/>
      <c r="GU178" s="55"/>
      <c r="GV178" s="55"/>
      <c r="GW178" s="55"/>
      <c r="GX178" s="55"/>
      <c r="GY178" s="55"/>
      <c r="GZ178" s="55"/>
      <c r="HA178" s="55"/>
      <c r="HB178" s="55"/>
      <c r="HC178" s="55"/>
      <c r="HD178" s="55"/>
      <c r="HE178" s="55"/>
      <c r="HF178" s="55"/>
      <c r="HG178" s="55"/>
      <c r="HH178" s="55"/>
      <c r="HI178" s="55"/>
      <c r="HJ178" s="55"/>
      <c r="HK178" s="55"/>
      <c r="HL178" s="55"/>
      <c r="HM178" s="55"/>
      <c r="HN178" s="55"/>
      <c r="HO178" s="55"/>
      <c r="HP178" s="55"/>
      <c r="HQ178" s="55"/>
      <c r="HR178" s="55"/>
      <c r="HS178" s="55"/>
      <c r="HT178" s="55"/>
      <c r="HU178" s="55"/>
      <c r="HV178" s="55"/>
      <c r="HW178" s="55"/>
      <c r="HX178" s="55"/>
      <c r="HY178" s="55"/>
      <c r="HZ178" s="55"/>
      <c r="IA178" s="55"/>
      <c r="IB178" s="55"/>
    </row>
    <row r="179" spans="1:236" s="2" customFormat="1" ht="15" customHeight="1" thickBot="1" x14ac:dyDescent="0.25">
      <c r="A179" s="13"/>
      <c r="B179" s="14"/>
      <c r="C179" s="13"/>
      <c r="D179" s="414"/>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c r="FJ179" s="8"/>
      <c r="FK179" s="8"/>
      <c r="FL179" s="8"/>
      <c r="FM179" s="8"/>
      <c r="FN179" s="8"/>
      <c r="FO179" s="8"/>
      <c r="FP179" s="8"/>
      <c r="FQ179" s="8"/>
      <c r="FR179" s="8"/>
      <c r="FS179" s="8"/>
      <c r="FT179" s="8"/>
      <c r="FU179" s="8"/>
      <c r="FV179" s="8"/>
      <c r="FW179" s="8"/>
      <c r="FX179" s="8"/>
      <c r="FY179" s="8"/>
      <c r="FZ179" s="8"/>
      <c r="GA179" s="8"/>
      <c r="GB179" s="8"/>
      <c r="GC179" s="8"/>
      <c r="GD179" s="8"/>
      <c r="GE179" s="8"/>
      <c r="GF179" s="8"/>
      <c r="GG179" s="8"/>
      <c r="GH179" s="8"/>
      <c r="GI179" s="8"/>
      <c r="GJ179" s="8"/>
      <c r="GK179" s="8"/>
      <c r="GL179" s="8"/>
      <c r="GM179" s="8"/>
      <c r="GN179" s="8"/>
      <c r="GO179" s="8"/>
      <c r="GP179" s="8"/>
      <c r="GQ179" s="8"/>
      <c r="GR179" s="8"/>
      <c r="GS179" s="8"/>
      <c r="GT179" s="8"/>
      <c r="GU179" s="8"/>
      <c r="GV179" s="8"/>
      <c r="GW179" s="8"/>
      <c r="GX179" s="8"/>
      <c r="GY179" s="8"/>
      <c r="GZ179" s="8"/>
    </row>
    <row r="180" spans="1:236" s="64" customFormat="1" ht="20.100000000000001" customHeight="1" thickBot="1" x14ac:dyDescent="0.25">
      <c r="A180" s="18" t="s">
        <v>54</v>
      </c>
      <c r="B180" s="16" t="s">
        <v>268</v>
      </c>
      <c r="C180" s="17" t="s">
        <v>198</v>
      </c>
      <c r="D180" s="739" t="s">
        <v>1080</v>
      </c>
      <c r="E180" s="65"/>
      <c r="F180" s="65"/>
      <c r="G180" s="65"/>
      <c r="H180" s="65"/>
      <c r="I180" s="65"/>
      <c r="J180" s="65"/>
      <c r="K180" s="65"/>
      <c r="L180" s="65"/>
      <c r="M180" s="65"/>
      <c r="N180" s="65"/>
      <c r="O180" s="65"/>
      <c r="P180" s="65"/>
      <c r="Q180" s="65"/>
      <c r="R180" s="65"/>
      <c r="S180" s="65"/>
      <c r="T180" s="65"/>
      <c r="U180" s="65"/>
      <c r="V180" s="65"/>
      <c r="W180" s="65"/>
      <c r="X180" s="65"/>
      <c r="Y180" s="65"/>
      <c r="Z180" s="65"/>
      <c r="AA180" s="65"/>
      <c r="AB180" s="65"/>
      <c r="AC180" s="65"/>
      <c r="AD180" s="65"/>
      <c r="AE180" s="65"/>
      <c r="AF180" s="65"/>
      <c r="AG180" s="65"/>
      <c r="AH180" s="65"/>
      <c r="AI180" s="65"/>
      <c r="AJ180" s="65"/>
      <c r="AK180" s="65"/>
      <c r="AL180" s="65"/>
      <c r="AM180" s="65"/>
      <c r="AN180" s="65"/>
      <c r="AO180" s="65"/>
      <c r="AP180" s="65"/>
      <c r="AQ180" s="65"/>
      <c r="AR180" s="65"/>
      <c r="AS180" s="65"/>
      <c r="AT180" s="65"/>
      <c r="AU180" s="65"/>
      <c r="AV180" s="65"/>
      <c r="AW180" s="65"/>
      <c r="AX180" s="65"/>
      <c r="AY180" s="65"/>
      <c r="AZ180" s="65"/>
      <c r="BA180" s="65"/>
      <c r="BB180" s="65"/>
      <c r="BC180" s="65"/>
      <c r="BD180" s="65"/>
      <c r="BE180" s="65"/>
      <c r="BF180" s="65"/>
      <c r="BG180" s="65"/>
      <c r="BH180" s="65"/>
      <c r="BI180" s="65"/>
      <c r="BJ180" s="65"/>
      <c r="BK180" s="65"/>
      <c r="BL180" s="65"/>
      <c r="BM180" s="65"/>
      <c r="BN180" s="65"/>
      <c r="BO180" s="65"/>
      <c r="BP180" s="65"/>
      <c r="BQ180" s="65"/>
      <c r="BR180" s="65"/>
      <c r="BS180" s="65"/>
      <c r="BT180" s="65"/>
      <c r="BU180" s="65"/>
      <c r="BV180" s="65"/>
      <c r="BW180" s="65"/>
      <c r="BX180" s="65"/>
      <c r="BY180" s="65"/>
      <c r="BZ180" s="65"/>
      <c r="CA180" s="65"/>
      <c r="CB180" s="65"/>
      <c r="CC180" s="65"/>
      <c r="CD180" s="65"/>
      <c r="CE180" s="65"/>
      <c r="CF180" s="65"/>
      <c r="CG180" s="65"/>
      <c r="CH180" s="65"/>
      <c r="CI180" s="65"/>
      <c r="CJ180" s="65"/>
      <c r="CK180" s="65"/>
      <c r="CL180" s="65"/>
      <c r="CM180" s="65"/>
      <c r="CN180" s="65"/>
      <c r="CO180" s="65"/>
      <c r="CP180" s="65"/>
      <c r="CQ180" s="65"/>
      <c r="CR180" s="65"/>
      <c r="CS180" s="65"/>
      <c r="CT180" s="65"/>
      <c r="CU180" s="65"/>
      <c r="CV180" s="65"/>
      <c r="CW180" s="65"/>
      <c r="CX180" s="65"/>
      <c r="CY180" s="65"/>
      <c r="CZ180" s="65"/>
      <c r="DA180" s="65"/>
      <c r="DB180" s="65"/>
      <c r="DC180" s="65"/>
      <c r="DD180" s="65"/>
      <c r="DE180" s="65"/>
      <c r="DF180" s="65"/>
      <c r="DG180" s="65"/>
      <c r="DH180" s="65"/>
      <c r="DI180" s="65"/>
      <c r="DJ180" s="65"/>
      <c r="DK180" s="65"/>
      <c r="DL180" s="65"/>
      <c r="DM180" s="65"/>
      <c r="DN180" s="65"/>
      <c r="DO180" s="65"/>
      <c r="DP180" s="65"/>
      <c r="DQ180" s="65"/>
      <c r="DR180" s="65"/>
      <c r="DS180" s="65"/>
      <c r="DT180" s="65"/>
      <c r="DU180" s="65"/>
      <c r="DV180" s="65"/>
      <c r="DW180" s="65"/>
      <c r="DX180" s="65"/>
      <c r="DY180" s="65"/>
      <c r="DZ180" s="65"/>
      <c r="EA180" s="65"/>
      <c r="EB180" s="65"/>
      <c r="EC180" s="65"/>
      <c r="ED180" s="65"/>
      <c r="EE180" s="65"/>
      <c r="EF180" s="65"/>
      <c r="EG180" s="65"/>
      <c r="EH180" s="65"/>
      <c r="EI180" s="65"/>
      <c r="EJ180" s="65"/>
      <c r="EK180" s="65"/>
      <c r="EL180" s="65"/>
      <c r="EM180" s="65"/>
      <c r="EN180" s="65"/>
      <c r="EO180" s="65"/>
      <c r="EP180" s="65"/>
      <c r="EQ180" s="65"/>
      <c r="ER180" s="65"/>
      <c r="ES180" s="65"/>
      <c r="ET180" s="65"/>
      <c r="EU180" s="65"/>
      <c r="EV180" s="65"/>
      <c r="EW180" s="65"/>
      <c r="EX180" s="65"/>
      <c r="EY180" s="65"/>
      <c r="EZ180" s="65"/>
      <c r="FA180" s="65"/>
      <c r="FB180" s="65"/>
      <c r="FC180" s="65"/>
      <c r="FD180" s="65"/>
      <c r="FE180" s="65"/>
      <c r="FF180" s="65"/>
      <c r="FG180" s="65"/>
      <c r="FH180" s="65"/>
      <c r="FI180" s="65"/>
      <c r="FJ180" s="65"/>
      <c r="FK180" s="65"/>
      <c r="FL180" s="65"/>
      <c r="FM180" s="65"/>
      <c r="FN180" s="65"/>
      <c r="FO180" s="65"/>
      <c r="FP180" s="65"/>
      <c r="FQ180" s="65"/>
      <c r="FR180" s="65"/>
      <c r="FS180" s="65"/>
      <c r="FT180" s="65"/>
      <c r="FU180" s="65"/>
      <c r="FV180" s="65"/>
      <c r="FW180" s="65"/>
      <c r="FX180" s="65"/>
      <c r="FY180" s="65"/>
      <c r="FZ180" s="65"/>
      <c r="GA180" s="65"/>
      <c r="GB180" s="65"/>
      <c r="GC180" s="65"/>
      <c r="GD180" s="65"/>
      <c r="GE180" s="65"/>
      <c r="GF180" s="65"/>
      <c r="GG180" s="65"/>
      <c r="GH180" s="65"/>
      <c r="GI180" s="65"/>
      <c r="GJ180" s="65"/>
      <c r="GK180" s="65"/>
      <c r="GL180" s="65"/>
      <c r="GM180" s="65"/>
      <c r="GN180" s="65"/>
      <c r="GO180" s="65"/>
      <c r="GP180" s="65"/>
      <c r="GQ180" s="65"/>
      <c r="GR180" s="65"/>
      <c r="GS180" s="65"/>
      <c r="GT180" s="65"/>
      <c r="GU180" s="65"/>
      <c r="GV180" s="65"/>
      <c r="GW180" s="65"/>
      <c r="GX180" s="65"/>
      <c r="GY180" s="65"/>
      <c r="GZ180" s="65"/>
    </row>
    <row r="181" spans="1:236" ht="15" customHeight="1" x14ac:dyDescent="0.2">
      <c r="A181" s="453" t="s">
        <v>37</v>
      </c>
      <c r="B181" s="69" t="s">
        <v>174</v>
      </c>
      <c r="C181" s="47" t="s">
        <v>161</v>
      </c>
      <c r="D181" s="450"/>
      <c r="E181" s="55"/>
      <c r="F181" s="55"/>
      <c r="G181" s="55"/>
      <c r="H181" s="55"/>
      <c r="I181" s="55"/>
      <c r="J181" s="55"/>
      <c r="K181" s="55"/>
      <c r="L181" s="55"/>
      <c r="M181" s="55"/>
      <c r="N181" s="55"/>
      <c r="O181" s="55"/>
      <c r="P181" s="55"/>
      <c r="Q181" s="55"/>
      <c r="R181" s="55"/>
      <c r="S181" s="55"/>
      <c r="T181" s="55"/>
      <c r="U181" s="55"/>
      <c r="V181" s="55"/>
      <c r="W181" s="55"/>
      <c r="X181" s="55"/>
      <c r="Y181" s="55"/>
      <c r="Z181" s="55"/>
      <c r="AA181" s="55"/>
      <c r="AB181" s="55"/>
      <c r="AC181" s="55"/>
      <c r="AD181" s="55"/>
      <c r="AE181" s="55"/>
      <c r="AF181" s="55"/>
      <c r="AG181" s="55"/>
      <c r="AH181" s="55"/>
      <c r="AI181" s="55"/>
      <c r="AJ181" s="55"/>
      <c r="AK181" s="55"/>
      <c r="AL181" s="55"/>
      <c r="AM181" s="55"/>
      <c r="AN181" s="55"/>
      <c r="AO181" s="55"/>
      <c r="AP181" s="55"/>
      <c r="AQ181" s="55"/>
      <c r="AR181" s="55"/>
      <c r="AS181" s="55"/>
      <c r="AT181" s="55"/>
      <c r="AU181" s="55"/>
      <c r="AV181" s="55"/>
      <c r="AW181" s="55"/>
      <c r="AX181" s="55"/>
      <c r="AY181" s="55"/>
      <c r="AZ181" s="55"/>
      <c r="BA181" s="55"/>
      <c r="BB181" s="55"/>
      <c r="BC181" s="55"/>
      <c r="BD181" s="55"/>
      <c r="BE181" s="55"/>
      <c r="BF181" s="55"/>
      <c r="BG181" s="55"/>
      <c r="BH181" s="55"/>
      <c r="BI181" s="55"/>
      <c r="BJ181" s="55"/>
      <c r="BK181" s="55"/>
      <c r="BL181" s="55"/>
      <c r="BM181" s="55"/>
      <c r="BN181" s="55"/>
      <c r="BO181" s="55"/>
      <c r="BP181" s="55"/>
      <c r="BQ181" s="55"/>
      <c r="BR181" s="55"/>
      <c r="BS181" s="55"/>
      <c r="BT181" s="55"/>
      <c r="BU181" s="55"/>
      <c r="BV181" s="55"/>
      <c r="BW181" s="55"/>
      <c r="BX181" s="55"/>
      <c r="BY181" s="55"/>
      <c r="BZ181" s="55"/>
      <c r="CA181" s="55"/>
      <c r="CB181" s="55"/>
      <c r="CC181" s="55"/>
      <c r="CD181" s="55"/>
      <c r="CE181" s="55"/>
      <c r="CF181" s="55"/>
      <c r="CG181" s="55"/>
      <c r="CH181" s="55"/>
      <c r="CI181" s="55"/>
      <c r="CJ181" s="55"/>
      <c r="CK181" s="55"/>
      <c r="CL181" s="55"/>
      <c r="CM181" s="55"/>
      <c r="CN181" s="55"/>
      <c r="CO181" s="55"/>
      <c r="CP181" s="55"/>
      <c r="CQ181" s="55"/>
      <c r="CR181" s="55"/>
      <c r="CS181" s="55"/>
      <c r="CT181" s="55"/>
      <c r="CU181" s="55"/>
      <c r="CV181" s="55"/>
      <c r="CW181" s="55"/>
      <c r="CX181" s="55"/>
      <c r="CY181" s="55"/>
      <c r="CZ181" s="55"/>
      <c r="DA181" s="55"/>
      <c r="DB181" s="55"/>
      <c r="DC181" s="55"/>
      <c r="DD181" s="55"/>
      <c r="DE181" s="55"/>
      <c r="DF181" s="55"/>
      <c r="DG181" s="55"/>
      <c r="DH181" s="55"/>
      <c r="DI181" s="55"/>
      <c r="DJ181" s="55"/>
      <c r="DK181" s="55"/>
      <c r="DL181" s="55"/>
      <c r="DM181" s="55"/>
      <c r="DN181" s="55"/>
      <c r="DO181" s="55"/>
      <c r="DP181" s="55"/>
      <c r="DQ181" s="55"/>
      <c r="DR181" s="55"/>
      <c r="DS181" s="55"/>
      <c r="DT181" s="55"/>
      <c r="DU181" s="55"/>
      <c r="DV181" s="55"/>
      <c r="DW181" s="55"/>
      <c r="DX181" s="55"/>
      <c r="DY181" s="55"/>
      <c r="DZ181" s="55"/>
      <c r="EA181" s="55"/>
      <c r="EB181" s="55"/>
      <c r="EC181" s="55"/>
      <c r="ED181" s="55"/>
      <c r="EE181" s="55"/>
      <c r="EF181" s="55"/>
      <c r="EG181" s="55"/>
      <c r="EH181" s="55"/>
      <c r="EI181" s="55"/>
      <c r="EJ181" s="55"/>
      <c r="EK181" s="55"/>
      <c r="EL181" s="55"/>
      <c r="EM181" s="55"/>
      <c r="EN181" s="55"/>
      <c r="EO181" s="55"/>
      <c r="EP181" s="55"/>
      <c r="EQ181" s="55"/>
      <c r="ER181" s="55"/>
      <c r="ES181" s="55"/>
      <c r="ET181" s="55"/>
      <c r="EU181" s="55"/>
      <c r="EV181" s="55"/>
      <c r="EW181" s="55"/>
      <c r="EX181" s="55"/>
      <c r="EY181" s="55"/>
      <c r="EZ181" s="55"/>
      <c r="FA181" s="55"/>
      <c r="FB181" s="55"/>
      <c r="FC181" s="55"/>
      <c r="FD181" s="55"/>
      <c r="FE181" s="55"/>
      <c r="FF181" s="55"/>
      <c r="FG181" s="55"/>
      <c r="FH181" s="55"/>
      <c r="FI181" s="55"/>
      <c r="FJ181" s="55"/>
      <c r="FK181" s="55"/>
      <c r="FL181" s="55"/>
      <c r="FM181" s="55"/>
      <c r="FN181" s="55"/>
      <c r="FO181" s="55"/>
      <c r="FP181" s="55"/>
      <c r="FQ181" s="55"/>
      <c r="FR181" s="55"/>
      <c r="FS181" s="55"/>
      <c r="FT181" s="55"/>
      <c r="FU181" s="55"/>
      <c r="FV181" s="55"/>
      <c r="FW181" s="55"/>
      <c r="FX181" s="55"/>
      <c r="FY181" s="55"/>
      <c r="FZ181" s="55"/>
      <c r="GA181" s="55"/>
      <c r="GB181" s="55"/>
      <c r="GC181" s="55"/>
      <c r="GD181" s="55"/>
      <c r="GE181" s="55"/>
      <c r="GF181" s="55"/>
      <c r="GG181" s="55"/>
      <c r="GH181" s="55"/>
      <c r="GI181" s="55"/>
      <c r="GJ181" s="55"/>
      <c r="GK181" s="55"/>
      <c r="GL181" s="55"/>
      <c r="GM181" s="55"/>
      <c r="GN181" s="55"/>
      <c r="GO181" s="55"/>
      <c r="GP181" s="55"/>
      <c r="GQ181" s="55"/>
      <c r="GR181" s="55"/>
      <c r="GS181" s="55"/>
      <c r="GT181" s="55"/>
      <c r="GU181" s="55"/>
      <c r="GV181" s="55"/>
      <c r="GW181" s="55"/>
      <c r="GX181" s="55"/>
      <c r="GY181" s="55"/>
      <c r="GZ181" s="55"/>
      <c r="HA181" s="55"/>
      <c r="HB181" s="55"/>
      <c r="HC181" s="55"/>
      <c r="HD181" s="55"/>
      <c r="HE181" s="55"/>
      <c r="HF181" s="55"/>
      <c r="HG181" s="55"/>
      <c r="HH181" s="55"/>
      <c r="HI181" s="55"/>
      <c r="HJ181" s="55"/>
      <c r="HK181" s="55"/>
      <c r="HL181" s="55"/>
      <c r="HM181" s="55"/>
      <c r="HN181" s="55"/>
      <c r="HO181" s="55"/>
      <c r="HP181" s="55"/>
      <c r="HQ181" s="55"/>
      <c r="HR181" s="55"/>
      <c r="HS181" s="55"/>
      <c r="HT181" s="55"/>
      <c r="HU181" s="55"/>
      <c r="HV181" s="55"/>
      <c r="HW181" s="55"/>
      <c r="HX181" s="55"/>
      <c r="HY181" s="55"/>
      <c r="HZ181" s="55"/>
      <c r="IA181" s="55"/>
      <c r="IB181" s="55"/>
    </row>
    <row r="182" spans="1:236" ht="15" customHeight="1" x14ac:dyDescent="0.2">
      <c r="A182" s="70" t="s">
        <v>25</v>
      </c>
      <c r="B182" s="44" t="s">
        <v>175</v>
      </c>
      <c r="C182" s="45" t="s">
        <v>161</v>
      </c>
      <c r="D182" s="454"/>
      <c r="E182" s="55"/>
      <c r="F182" s="55"/>
      <c r="G182" s="55"/>
      <c r="H182" s="55"/>
      <c r="I182" s="55"/>
      <c r="J182" s="55"/>
      <c r="K182" s="55"/>
      <c r="L182" s="55"/>
      <c r="M182" s="55"/>
      <c r="N182" s="55"/>
      <c r="O182" s="55"/>
      <c r="P182" s="55"/>
      <c r="Q182" s="55"/>
      <c r="R182" s="55"/>
      <c r="S182" s="55"/>
      <c r="T182" s="55"/>
      <c r="U182" s="55"/>
      <c r="V182" s="55"/>
      <c r="W182" s="55"/>
      <c r="X182" s="55"/>
      <c r="Y182" s="55"/>
      <c r="Z182" s="55"/>
      <c r="AA182" s="55"/>
      <c r="AB182" s="55"/>
      <c r="AC182" s="55"/>
      <c r="AD182" s="55"/>
      <c r="AE182" s="55"/>
      <c r="AF182" s="55"/>
      <c r="AG182" s="55"/>
      <c r="AH182" s="55"/>
      <c r="AI182" s="55"/>
      <c r="AJ182" s="55"/>
      <c r="AK182" s="55"/>
      <c r="AL182" s="55"/>
      <c r="AM182" s="55"/>
      <c r="AN182" s="55"/>
      <c r="AO182" s="55"/>
      <c r="AP182" s="55"/>
      <c r="AQ182" s="55"/>
      <c r="AR182" s="55"/>
      <c r="AS182" s="55"/>
      <c r="AT182" s="55"/>
      <c r="AU182" s="55"/>
      <c r="AV182" s="55"/>
      <c r="AW182" s="55"/>
      <c r="AX182" s="55"/>
      <c r="AY182" s="55"/>
      <c r="AZ182" s="55"/>
      <c r="BA182" s="55"/>
      <c r="BB182" s="55"/>
      <c r="BC182" s="55"/>
      <c r="BD182" s="55"/>
      <c r="BE182" s="55"/>
      <c r="BF182" s="55"/>
      <c r="BG182" s="55"/>
      <c r="BH182" s="55"/>
      <c r="BI182" s="55"/>
      <c r="BJ182" s="55"/>
      <c r="BK182" s="55"/>
      <c r="BL182" s="55"/>
      <c r="BM182" s="55"/>
      <c r="BN182" s="55"/>
      <c r="BO182" s="55"/>
      <c r="BP182" s="55"/>
      <c r="BQ182" s="55"/>
      <c r="BR182" s="55"/>
      <c r="BS182" s="55"/>
      <c r="BT182" s="55"/>
      <c r="BU182" s="55"/>
      <c r="BV182" s="55"/>
      <c r="BW182" s="55"/>
      <c r="BX182" s="55"/>
      <c r="BY182" s="55"/>
      <c r="BZ182" s="55"/>
      <c r="CA182" s="55"/>
      <c r="CB182" s="55"/>
      <c r="CC182" s="55"/>
      <c r="CD182" s="55"/>
      <c r="CE182" s="55"/>
      <c r="CF182" s="55"/>
      <c r="CG182" s="55"/>
      <c r="CH182" s="55"/>
      <c r="CI182" s="55"/>
      <c r="CJ182" s="55"/>
      <c r="CK182" s="55"/>
      <c r="CL182" s="55"/>
      <c r="CM182" s="55"/>
      <c r="CN182" s="55"/>
      <c r="CO182" s="55"/>
      <c r="CP182" s="55"/>
      <c r="CQ182" s="55"/>
      <c r="CR182" s="55"/>
      <c r="CS182" s="55"/>
      <c r="CT182" s="55"/>
      <c r="CU182" s="55"/>
      <c r="CV182" s="55"/>
      <c r="CW182" s="55"/>
      <c r="CX182" s="55"/>
      <c r="CY182" s="55"/>
      <c r="CZ182" s="55"/>
      <c r="DA182" s="55"/>
      <c r="DB182" s="55"/>
      <c r="DC182" s="55"/>
      <c r="DD182" s="55"/>
      <c r="DE182" s="55"/>
      <c r="DF182" s="55"/>
      <c r="DG182" s="55"/>
      <c r="DH182" s="55"/>
      <c r="DI182" s="55"/>
      <c r="DJ182" s="55"/>
      <c r="DK182" s="55"/>
      <c r="DL182" s="55"/>
      <c r="DM182" s="55"/>
      <c r="DN182" s="55"/>
      <c r="DO182" s="55"/>
      <c r="DP182" s="55"/>
      <c r="DQ182" s="55"/>
      <c r="DR182" s="55"/>
      <c r="DS182" s="55"/>
      <c r="DT182" s="55"/>
      <c r="DU182" s="55"/>
      <c r="DV182" s="55"/>
      <c r="DW182" s="55"/>
      <c r="DX182" s="55"/>
      <c r="DY182" s="55"/>
      <c r="DZ182" s="55"/>
      <c r="EA182" s="55"/>
      <c r="EB182" s="55"/>
      <c r="EC182" s="55"/>
      <c r="ED182" s="55"/>
      <c r="EE182" s="55"/>
      <c r="EF182" s="55"/>
      <c r="EG182" s="55"/>
      <c r="EH182" s="55"/>
      <c r="EI182" s="55"/>
      <c r="EJ182" s="55"/>
      <c r="EK182" s="55"/>
      <c r="EL182" s="55"/>
      <c r="EM182" s="55"/>
      <c r="EN182" s="55"/>
      <c r="EO182" s="55"/>
      <c r="EP182" s="55"/>
      <c r="EQ182" s="55"/>
      <c r="ER182" s="55"/>
      <c r="ES182" s="55"/>
      <c r="ET182" s="55"/>
      <c r="EU182" s="55"/>
      <c r="EV182" s="55"/>
      <c r="EW182" s="55"/>
      <c r="EX182" s="55"/>
      <c r="EY182" s="55"/>
      <c r="EZ182" s="55"/>
      <c r="FA182" s="55"/>
      <c r="FB182" s="55"/>
      <c r="FC182" s="55"/>
      <c r="FD182" s="55"/>
      <c r="FE182" s="55"/>
      <c r="FF182" s="55"/>
      <c r="FG182" s="55"/>
      <c r="FH182" s="55"/>
      <c r="FI182" s="55"/>
      <c r="FJ182" s="55"/>
      <c r="FK182" s="55"/>
      <c r="FL182" s="55"/>
      <c r="FM182" s="55"/>
      <c r="FN182" s="55"/>
      <c r="FO182" s="55"/>
      <c r="FP182" s="55"/>
      <c r="FQ182" s="55"/>
      <c r="FR182" s="55"/>
      <c r="FS182" s="55"/>
      <c r="FT182" s="55"/>
      <c r="FU182" s="55"/>
      <c r="FV182" s="55"/>
      <c r="FW182" s="55"/>
      <c r="FX182" s="55"/>
      <c r="FY182" s="55"/>
      <c r="FZ182" s="55"/>
      <c r="GA182" s="55"/>
      <c r="GB182" s="55"/>
      <c r="GC182" s="55"/>
      <c r="GD182" s="55"/>
      <c r="GE182" s="55"/>
      <c r="GF182" s="55"/>
      <c r="GG182" s="55"/>
      <c r="GH182" s="55"/>
      <c r="GI182" s="55"/>
      <c r="GJ182" s="55"/>
      <c r="GK182" s="55"/>
      <c r="GL182" s="55"/>
      <c r="GM182" s="55"/>
      <c r="GN182" s="55"/>
      <c r="GO182" s="55"/>
      <c r="GP182" s="55"/>
      <c r="GQ182" s="55"/>
      <c r="GR182" s="55"/>
      <c r="GS182" s="55"/>
      <c r="GT182" s="55"/>
      <c r="GU182" s="55"/>
      <c r="GV182" s="55"/>
      <c r="GW182" s="55"/>
      <c r="GX182" s="55"/>
      <c r="GY182" s="55"/>
      <c r="GZ182" s="55"/>
      <c r="HA182" s="55"/>
      <c r="HB182" s="55"/>
      <c r="HC182" s="55"/>
      <c r="HD182" s="55"/>
      <c r="HE182" s="55"/>
      <c r="HF182" s="55"/>
      <c r="HG182" s="55"/>
      <c r="HH182" s="55"/>
      <c r="HI182" s="55"/>
      <c r="HJ182" s="55"/>
      <c r="HK182" s="55"/>
      <c r="HL182" s="55"/>
      <c r="HM182" s="55"/>
      <c r="HN182" s="55"/>
      <c r="HO182" s="55"/>
      <c r="HP182" s="55"/>
      <c r="HQ182" s="55"/>
      <c r="HR182" s="55"/>
      <c r="HS182" s="55"/>
      <c r="HT182" s="55"/>
      <c r="HU182" s="55"/>
      <c r="HV182" s="55"/>
      <c r="HW182" s="55"/>
      <c r="HX182" s="55"/>
      <c r="HY182" s="55"/>
      <c r="HZ182" s="55"/>
      <c r="IA182" s="55"/>
      <c r="IB182" s="55"/>
    </row>
    <row r="183" spans="1:236" ht="15" customHeight="1" x14ac:dyDescent="0.2">
      <c r="A183" s="70" t="s">
        <v>26</v>
      </c>
      <c r="B183" s="44" t="s">
        <v>1195</v>
      </c>
      <c r="C183" s="45" t="s">
        <v>161</v>
      </c>
      <c r="D183" s="454"/>
      <c r="E183" s="55"/>
      <c r="F183" s="55"/>
      <c r="G183" s="55"/>
      <c r="H183" s="55"/>
      <c r="I183" s="55"/>
      <c r="J183" s="55"/>
      <c r="K183" s="55"/>
      <c r="L183" s="55"/>
      <c r="M183" s="55"/>
      <c r="N183" s="55"/>
      <c r="O183" s="55"/>
      <c r="P183" s="55"/>
      <c r="Q183" s="55"/>
      <c r="R183" s="55"/>
      <c r="S183" s="55"/>
      <c r="T183" s="55"/>
      <c r="U183" s="55"/>
      <c r="V183" s="55"/>
      <c r="W183" s="55"/>
      <c r="X183" s="55"/>
      <c r="Y183" s="55"/>
      <c r="Z183" s="55"/>
      <c r="AA183" s="55"/>
      <c r="AB183" s="55"/>
      <c r="AC183" s="55"/>
      <c r="AD183" s="55"/>
      <c r="AE183" s="55"/>
      <c r="AF183" s="55"/>
      <c r="AG183" s="55"/>
      <c r="AH183" s="55"/>
      <c r="AI183" s="55"/>
      <c r="AJ183" s="55"/>
      <c r="AK183" s="55"/>
      <c r="AL183" s="55"/>
      <c r="AM183" s="55"/>
      <c r="AN183" s="55"/>
      <c r="AO183" s="55"/>
      <c r="AP183" s="55"/>
      <c r="AQ183" s="55"/>
      <c r="AR183" s="55"/>
      <c r="AS183" s="55"/>
      <c r="AT183" s="55"/>
      <c r="AU183" s="55"/>
      <c r="AV183" s="55"/>
      <c r="AW183" s="55"/>
      <c r="AX183" s="55"/>
      <c r="AY183" s="55"/>
      <c r="AZ183" s="55"/>
      <c r="BA183" s="55"/>
      <c r="BB183" s="55"/>
      <c r="BC183" s="55"/>
      <c r="BD183" s="55"/>
      <c r="BE183" s="55"/>
      <c r="BF183" s="55"/>
      <c r="BG183" s="55"/>
      <c r="BH183" s="55"/>
      <c r="BI183" s="55"/>
      <c r="BJ183" s="55"/>
      <c r="BK183" s="55"/>
      <c r="BL183" s="55"/>
      <c r="BM183" s="55"/>
      <c r="BN183" s="55"/>
      <c r="BO183" s="55"/>
      <c r="BP183" s="55"/>
      <c r="BQ183" s="55"/>
      <c r="BR183" s="55"/>
      <c r="BS183" s="55"/>
      <c r="BT183" s="55"/>
      <c r="BU183" s="55"/>
      <c r="BV183" s="55"/>
      <c r="BW183" s="55"/>
      <c r="BX183" s="55"/>
      <c r="BY183" s="55"/>
      <c r="BZ183" s="55"/>
      <c r="CA183" s="55"/>
      <c r="CB183" s="55"/>
      <c r="CC183" s="55"/>
      <c r="CD183" s="55"/>
      <c r="CE183" s="55"/>
      <c r="CF183" s="55"/>
      <c r="CG183" s="55"/>
      <c r="CH183" s="55"/>
      <c r="CI183" s="55"/>
      <c r="CJ183" s="55"/>
      <c r="CK183" s="55"/>
      <c r="CL183" s="55"/>
      <c r="CM183" s="55"/>
      <c r="CN183" s="55"/>
      <c r="CO183" s="55"/>
      <c r="CP183" s="55"/>
      <c r="CQ183" s="55"/>
      <c r="CR183" s="55"/>
      <c r="CS183" s="55"/>
      <c r="CT183" s="55"/>
      <c r="CU183" s="55"/>
      <c r="CV183" s="55"/>
      <c r="CW183" s="55"/>
      <c r="CX183" s="55"/>
      <c r="CY183" s="55"/>
      <c r="CZ183" s="55"/>
      <c r="DA183" s="55"/>
      <c r="DB183" s="55"/>
      <c r="DC183" s="55"/>
      <c r="DD183" s="55"/>
      <c r="DE183" s="55"/>
      <c r="DF183" s="55"/>
      <c r="DG183" s="55"/>
      <c r="DH183" s="55"/>
      <c r="DI183" s="55"/>
      <c r="DJ183" s="55"/>
      <c r="DK183" s="55"/>
      <c r="DL183" s="55"/>
      <c r="DM183" s="55"/>
      <c r="DN183" s="55"/>
      <c r="DO183" s="55"/>
      <c r="DP183" s="55"/>
      <c r="DQ183" s="55"/>
      <c r="DR183" s="55"/>
      <c r="DS183" s="55"/>
      <c r="DT183" s="55"/>
      <c r="DU183" s="55"/>
      <c r="DV183" s="55"/>
      <c r="DW183" s="55"/>
      <c r="DX183" s="55"/>
      <c r="DY183" s="55"/>
      <c r="DZ183" s="55"/>
      <c r="EA183" s="55"/>
      <c r="EB183" s="55"/>
      <c r="EC183" s="55"/>
      <c r="ED183" s="55"/>
      <c r="EE183" s="55"/>
      <c r="EF183" s="55"/>
      <c r="EG183" s="55"/>
      <c r="EH183" s="55"/>
      <c r="EI183" s="55"/>
      <c r="EJ183" s="55"/>
      <c r="EK183" s="55"/>
      <c r="EL183" s="55"/>
      <c r="EM183" s="55"/>
      <c r="EN183" s="55"/>
      <c r="EO183" s="55"/>
      <c r="EP183" s="55"/>
      <c r="EQ183" s="55"/>
      <c r="ER183" s="55"/>
      <c r="ES183" s="55"/>
      <c r="ET183" s="55"/>
      <c r="EU183" s="55"/>
      <c r="EV183" s="55"/>
      <c r="EW183" s="55"/>
      <c r="EX183" s="55"/>
      <c r="EY183" s="55"/>
      <c r="EZ183" s="55"/>
      <c r="FA183" s="55"/>
      <c r="FB183" s="55"/>
      <c r="FC183" s="55"/>
      <c r="FD183" s="55"/>
      <c r="FE183" s="55"/>
      <c r="FF183" s="55"/>
      <c r="FG183" s="55"/>
      <c r="FH183" s="55"/>
      <c r="FI183" s="55"/>
      <c r="FJ183" s="55"/>
      <c r="FK183" s="55"/>
      <c r="FL183" s="55"/>
      <c r="FM183" s="55"/>
      <c r="FN183" s="55"/>
      <c r="FO183" s="55"/>
      <c r="FP183" s="55"/>
      <c r="FQ183" s="55"/>
      <c r="FR183" s="55"/>
      <c r="FS183" s="55"/>
      <c r="FT183" s="55"/>
      <c r="FU183" s="55"/>
      <c r="FV183" s="55"/>
      <c r="FW183" s="55"/>
      <c r="FX183" s="55"/>
      <c r="FY183" s="55"/>
      <c r="FZ183" s="55"/>
      <c r="GA183" s="55"/>
      <c r="GB183" s="55"/>
      <c r="GC183" s="55"/>
      <c r="GD183" s="55"/>
      <c r="GE183" s="55"/>
      <c r="GF183" s="55"/>
      <c r="GG183" s="55"/>
      <c r="GH183" s="55"/>
      <c r="GI183" s="55"/>
      <c r="GJ183" s="55"/>
      <c r="GK183" s="55"/>
      <c r="GL183" s="55"/>
      <c r="GM183" s="55"/>
      <c r="GN183" s="55"/>
      <c r="GO183" s="55"/>
      <c r="GP183" s="55"/>
      <c r="GQ183" s="55"/>
      <c r="GR183" s="55"/>
      <c r="GS183" s="55"/>
      <c r="GT183" s="55"/>
      <c r="GU183" s="55"/>
      <c r="GV183" s="55"/>
      <c r="GW183" s="55"/>
      <c r="GX183" s="55"/>
      <c r="GY183" s="55"/>
      <c r="GZ183" s="55"/>
      <c r="HA183" s="55"/>
      <c r="HB183" s="55"/>
      <c r="HC183" s="55"/>
      <c r="HD183" s="55"/>
      <c r="HE183" s="55"/>
      <c r="HF183" s="55"/>
      <c r="HG183" s="55"/>
      <c r="HH183" s="55"/>
      <c r="HI183" s="55"/>
      <c r="HJ183" s="55"/>
      <c r="HK183" s="55"/>
      <c r="HL183" s="55"/>
      <c r="HM183" s="55"/>
      <c r="HN183" s="55"/>
      <c r="HO183" s="55"/>
      <c r="HP183" s="55"/>
      <c r="HQ183" s="55"/>
      <c r="HR183" s="55"/>
      <c r="HS183" s="55"/>
      <c r="HT183" s="55"/>
      <c r="HU183" s="55"/>
      <c r="HV183" s="55"/>
      <c r="HW183" s="55"/>
      <c r="HX183" s="55"/>
      <c r="HY183" s="55"/>
      <c r="HZ183" s="55"/>
      <c r="IA183" s="55"/>
      <c r="IB183" s="55"/>
    </row>
    <row r="184" spans="1:236" ht="15" customHeight="1" x14ac:dyDescent="0.2">
      <c r="A184" s="70" t="s">
        <v>93</v>
      </c>
      <c r="B184" s="44" t="s">
        <v>177</v>
      </c>
      <c r="C184" s="45" t="s">
        <v>161</v>
      </c>
      <c r="D184" s="454"/>
      <c r="E184" s="55"/>
      <c r="F184" s="55"/>
      <c r="G184" s="55"/>
      <c r="H184" s="55"/>
      <c r="I184" s="55"/>
      <c r="J184" s="55"/>
      <c r="K184" s="55"/>
      <c r="L184" s="55"/>
      <c r="M184" s="55"/>
      <c r="N184" s="55"/>
      <c r="O184" s="55"/>
      <c r="P184" s="55"/>
      <c r="Q184" s="55"/>
      <c r="R184" s="55"/>
      <c r="S184" s="55"/>
      <c r="T184" s="55"/>
      <c r="U184" s="55"/>
      <c r="V184" s="55"/>
      <c r="W184" s="55"/>
      <c r="X184" s="55"/>
      <c r="Y184" s="55"/>
      <c r="Z184" s="55"/>
      <c r="AA184" s="55"/>
      <c r="AB184" s="55"/>
      <c r="AC184" s="55"/>
      <c r="AD184" s="55"/>
      <c r="AE184" s="55"/>
      <c r="AF184" s="55"/>
      <c r="AG184" s="55"/>
      <c r="AH184" s="55"/>
      <c r="AI184" s="55"/>
      <c r="AJ184" s="55"/>
      <c r="AK184" s="55"/>
      <c r="AL184" s="55"/>
      <c r="AM184" s="55"/>
      <c r="AN184" s="55"/>
      <c r="AO184" s="55"/>
      <c r="AP184" s="55"/>
      <c r="AQ184" s="55"/>
      <c r="AR184" s="55"/>
      <c r="AS184" s="55"/>
      <c r="AT184" s="55"/>
      <c r="AU184" s="55"/>
      <c r="AV184" s="55"/>
      <c r="AW184" s="55"/>
      <c r="AX184" s="55"/>
      <c r="AY184" s="55"/>
      <c r="AZ184" s="55"/>
      <c r="BA184" s="55"/>
      <c r="BB184" s="55"/>
      <c r="BC184" s="55"/>
      <c r="BD184" s="55"/>
      <c r="BE184" s="55"/>
      <c r="BF184" s="55"/>
      <c r="BG184" s="55"/>
      <c r="BH184" s="55"/>
      <c r="BI184" s="55"/>
      <c r="BJ184" s="55"/>
      <c r="BK184" s="55"/>
      <c r="BL184" s="55"/>
      <c r="BM184" s="55"/>
      <c r="BN184" s="55"/>
      <c r="BO184" s="55"/>
      <c r="BP184" s="55"/>
      <c r="BQ184" s="55"/>
      <c r="BR184" s="55"/>
      <c r="BS184" s="55"/>
      <c r="BT184" s="55"/>
      <c r="BU184" s="55"/>
      <c r="BV184" s="55"/>
      <c r="BW184" s="55"/>
      <c r="BX184" s="55"/>
      <c r="BY184" s="55"/>
      <c r="BZ184" s="55"/>
      <c r="CA184" s="55"/>
      <c r="CB184" s="55"/>
      <c r="CC184" s="55"/>
      <c r="CD184" s="55"/>
      <c r="CE184" s="55"/>
      <c r="CF184" s="55"/>
      <c r="CG184" s="55"/>
      <c r="CH184" s="55"/>
      <c r="CI184" s="55"/>
      <c r="CJ184" s="55"/>
      <c r="CK184" s="55"/>
      <c r="CL184" s="55"/>
      <c r="CM184" s="55"/>
      <c r="CN184" s="55"/>
      <c r="CO184" s="55"/>
      <c r="CP184" s="55"/>
      <c r="CQ184" s="55"/>
      <c r="CR184" s="55"/>
      <c r="CS184" s="55"/>
      <c r="CT184" s="55"/>
      <c r="CU184" s="55"/>
      <c r="CV184" s="55"/>
      <c r="CW184" s="55"/>
      <c r="CX184" s="55"/>
      <c r="CY184" s="55"/>
      <c r="CZ184" s="55"/>
      <c r="DA184" s="55"/>
      <c r="DB184" s="55"/>
      <c r="DC184" s="55"/>
      <c r="DD184" s="55"/>
      <c r="DE184" s="55"/>
      <c r="DF184" s="55"/>
      <c r="DG184" s="55"/>
      <c r="DH184" s="55"/>
      <c r="DI184" s="55"/>
      <c r="DJ184" s="55"/>
      <c r="DK184" s="55"/>
      <c r="DL184" s="55"/>
      <c r="DM184" s="55"/>
      <c r="DN184" s="55"/>
      <c r="DO184" s="55"/>
      <c r="DP184" s="55"/>
      <c r="DQ184" s="55"/>
      <c r="DR184" s="55"/>
      <c r="DS184" s="55"/>
      <c r="DT184" s="55"/>
      <c r="DU184" s="55"/>
      <c r="DV184" s="55"/>
      <c r="DW184" s="55"/>
      <c r="DX184" s="55"/>
      <c r="DY184" s="55"/>
      <c r="DZ184" s="55"/>
      <c r="EA184" s="55"/>
      <c r="EB184" s="55"/>
      <c r="EC184" s="55"/>
      <c r="ED184" s="55"/>
      <c r="EE184" s="55"/>
      <c r="EF184" s="55"/>
      <c r="EG184" s="55"/>
      <c r="EH184" s="55"/>
      <c r="EI184" s="55"/>
      <c r="EJ184" s="55"/>
      <c r="EK184" s="55"/>
      <c r="EL184" s="55"/>
      <c r="EM184" s="55"/>
      <c r="EN184" s="55"/>
      <c r="EO184" s="55"/>
      <c r="EP184" s="55"/>
      <c r="EQ184" s="55"/>
      <c r="ER184" s="55"/>
      <c r="ES184" s="55"/>
      <c r="ET184" s="55"/>
      <c r="EU184" s="55"/>
      <c r="EV184" s="55"/>
      <c r="EW184" s="55"/>
      <c r="EX184" s="55"/>
      <c r="EY184" s="55"/>
      <c r="EZ184" s="55"/>
      <c r="FA184" s="55"/>
      <c r="FB184" s="55"/>
      <c r="FC184" s="55"/>
      <c r="FD184" s="55"/>
      <c r="FE184" s="55"/>
      <c r="FF184" s="55"/>
      <c r="FG184" s="55"/>
      <c r="FH184" s="55"/>
      <c r="FI184" s="55"/>
      <c r="FJ184" s="55"/>
      <c r="FK184" s="55"/>
      <c r="FL184" s="55"/>
      <c r="FM184" s="55"/>
      <c r="FN184" s="55"/>
      <c r="FO184" s="55"/>
      <c r="FP184" s="55"/>
      <c r="FQ184" s="55"/>
      <c r="FR184" s="55"/>
      <c r="FS184" s="55"/>
      <c r="FT184" s="55"/>
      <c r="FU184" s="55"/>
      <c r="FV184" s="55"/>
      <c r="FW184" s="55"/>
      <c r="FX184" s="55"/>
      <c r="FY184" s="55"/>
      <c r="FZ184" s="55"/>
      <c r="GA184" s="55"/>
      <c r="GB184" s="55"/>
      <c r="GC184" s="55"/>
      <c r="GD184" s="55"/>
      <c r="GE184" s="55"/>
      <c r="GF184" s="55"/>
      <c r="GG184" s="55"/>
      <c r="GH184" s="55"/>
      <c r="GI184" s="55"/>
      <c r="GJ184" s="55"/>
      <c r="GK184" s="55"/>
      <c r="GL184" s="55"/>
      <c r="GM184" s="55"/>
      <c r="GN184" s="55"/>
      <c r="GO184" s="55"/>
      <c r="GP184" s="55"/>
      <c r="GQ184" s="55"/>
      <c r="GR184" s="55"/>
      <c r="GS184" s="55"/>
      <c r="GT184" s="55"/>
      <c r="GU184" s="55"/>
      <c r="GV184" s="55"/>
      <c r="GW184" s="55"/>
      <c r="GX184" s="55"/>
      <c r="GY184" s="55"/>
      <c r="GZ184" s="55"/>
      <c r="HA184" s="55"/>
      <c r="HB184" s="55"/>
      <c r="HC184" s="55"/>
      <c r="HD184" s="55"/>
      <c r="HE184" s="55"/>
      <c r="HF184" s="55"/>
      <c r="HG184" s="55"/>
      <c r="HH184" s="55"/>
      <c r="HI184" s="55"/>
      <c r="HJ184" s="55"/>
      <c r="HK184" s="55"/>
      <c r="HL184" s="55"/>
      <c r="HM184" s="55"/>
      <c r="HN184" s="55"/>
      <c r="HO184" s="55"/>
      <c r="HP184" s="55"/>
      <c r="HQ184" s="55"/>
      <c r="HR184" s="55"/>
      <c r="HS184" s="55"/>
      <c r="HT184" s="55"/>
      <c r="HU184" s="55"/>
      <c r="HV184" s="55"/>
      <c r="HW184" s="55"/>
      <c r="HX184" s="55"/>
      <c r="HY184" s="55"/>
      <c r="HZ184" s="55"/>
      <c r="IA184" s="55"/>
      <c r="IB184" s="55"/>
    </row>
    <row r="185" spans="1:236" ht="15" customHeight="1" x14ac:dyDescent="0.2">
      <c r="A185" s="70" t="s">
        <v>27</v>
      </c>
      <c r="B185" s="44" t="s">
        <v>178</v>
      </c>
      <c r="C185" s="45" t="s">
        <v>161</v>
      </c>
      <c r="D185" s="454"/>
      <c r="E185" s="55"/>
      <c r="F185" s="55"/>
      <c r="G185" s="55"/>
      <c r="H185" s="55"/>
      <c r="I185" s="55"/>
      <c r="J185" s="55"/>
      <c r="K185" s="55"/>
      <c r="L185" s="55"/>
      <c r="M185" s="55"/>
      <c r="N185" s="55"/>
      <c r="O185" s="55"/>
      <c r="P185" s="55"/>
      <c r="Q185" s="55"/>
      <c r="R185" s="55"/>
      <c r="S185" s="55"/>
      <c r="T185" s="55"/>
      <c r="U185" s="55"/>
      <c r="V185" s="55"/>
      <c r="W185" s="55"/>
      <c r="X185" s="55"/>
      <c r="Y185" s="55"/>
      <c r="Z185" s="55"/>
      <c r="AA185" s="55"/>
      <c r="AB185" s="55"/>
      <c r="AC185" s="55"/>
      <c r="AD185" s="55"/>
      <c r="AE185" s="55"/>
      <c r="AF185" s="55"/>
      <c r="AG185" s="55"/>
      <c r="AH185" s="55"/>
      <c r="AI185" s="55"/>
      <c r="AJ185" s="55"/>
      <c r="AK185" s="55"/>
      <c r="AL185" s="55"/>
      <c r="AM185" s="55"/>
      <c r="AN185" s="55"/>
      <c r="AO185" s="55"/>
      <c r="AP185" s="55"/>
      <c r="AQ185" s="55"/>
      <c r="AR185" s="55"/>
      <c r="AS185" s="55"/>
      <c r="AT185" s="55"/>
      <c r="AU185" s="55"/>
      <c r="AV185" s="55"/>
      <c r="AW185" s="55"/>
      <c r="AX185" s="55"/>
      <c r="AY185" s="55"/>
      <c r="AZ185" s="55"/>
      <c r="BA185" s="55"/>
      <c r="BB185" s="55"/>
      <c r="BC185" s="55"/>
      <c r="BD185" s="55"/>
      <c r="BE185" s="55"/>
      <c r="BF185" s="55"/>
      <c r="BG185" s="55"/>
      <c r="BH185" s="55"/>
      <c r="BI185" s="55"/>
      <c r="BJ185" s="55"/>
      <c r="BK185" s="55"/>
      <c r="BL185" s="55"/>
      <c r="BM185" s="55"/>
      <c r="BN185" s="55"/>
      <c r="BO185" s="55"/>
      <c r="BP185" s="55"/>
      <c r="BQ185" s="55"/>
      <c r="BR185" s="55"/>
      <c r="BS185" s="55"/>
      <c r="BT185" s="55"/>
      <c r="BU185" s="55"/>
      <c r="BV185" s="55"/>
      <c r="BW185" s="55"/>
      <c r="BX185" s="55"/>
      <c r="BY185" s="55"/>
      <c r="BZ185" s="55"/>
      <c r="CA185" s="55"/>
      <c r="CB185" s="55"/>
      <c r="CC185" s="55"/>
      <c r="CD185" s="55"/>
      <c r="CE185" s="55"/>
      <c r="CF185" s="55"/>
      <c r="CG185" s="55"/>
      <c r="CH185" s="55"/>
      <c r="CI185" s="55"/>
      <c r="CJ185" s="55"/>
      <c r="CK185" s="55"/>
      <c r="CL185" s="55"/>
      <c r="CM185" s="55"/>
      <c r="CN185" s="55"/>
      <c r="CO185" s="55"/>
      <c r="CP185" s="55"/>
      <c r="CQ185" s="55"/>
      <c r="CR185" s="55"/>
      <c r="CS185" s="55"/>
      <c r="CT185" s="55"/>
      <c r="CU185" s="55"/>
      <c r="CV185" s="55"/>
      <c r="CW185" s="55"/>
      <c r="CX185" s="55"/>
      <c r="CY185" s="55"/>
      <c r="CZ185" s="55"/>
      <c r="DA185" s="55"/>
      <c r="DB185" s="55"/>
      <c r="DC185" s="55"/>
      <c r="DD185" s="55"/>
      <c r="DE185" s="55"/>
      <c r="DF185" s="55"/>
      <c r="DG185" s="55"/>
      <c r="DH185" s="55"/>
      <c r="DI185" s="55"/>
      <c r="DJ185" s="55"/>
      <c r="DK185" s="55"/>
      <c r="DL185" s="55"/>
      <c r="DM185" s="55"/>
      <c r="DN185" s="55"/>
      <c r="DO185" s="55"/>
      <c r="DP185" s="55"/>
      <c r="DQ185" s="55"/>
      <c r="DR185" s="55"/>
      <c r="DS185" s="55"/>
      <c r="DT185" s="55"/>
      <c r="DU185" s="55"/>
      <c r="DV185" s="55"/>
      <c r="DW185" s="55"/>
      <c r="DX185" s="55"/>
      <c r="DY185" s="55"/>
      <c r="DZ185" s="55"/>
      <c r="EA185" s="55"/>
      <c r="EB185" s="55"/>
      <c r="EC185" s="55"/>
      <c r="ED185" s="55"/>
      <c r="EE185" s="55"/>
      <c r="EF185" s="55"/>
      <c r="EG185" s="55"/>
      <c r="EH185" s="55"/>
      <c r="EI185" s="55"/>
      <c r="EJ185" s="55"/>
      <c r="EK185" s="55"/>
      <c r="EL185" s="55"/>
      <c r="EM185" s="55"/>
      <c r="EN185" s="55"/>
      <c r="EO185" s="55"/>
      <c r="EP185" s="55"/>
      <c r="EQ185" s="55"/>
      <c r="ER185" s="55"/>
      <c r="ES185" s="55"/>
      <c r="ET185" s="55"/>
      <c r="EU185" s="55"/>
      <c r="EV185" s="55"/>
      <c r="EW185" s="55"/>
      <c r="EX185" s="55"/>
      <c r="EY185" s="55"/>
      <c r="EZ185" s="55"/>
      <c r="FA185" s="55"/>
      <c r="FB185" s="55"/>
      <c r="FC185" s="55"/>
      <c r="FD185" s="55"/>
      <c r="FE185" s="55"/>
      <c r="FF185" s="55"/>
      <c r="FG185" s="55"/>
      <c r="FH185" s="55"/>
      <c r="FI185" s="55"/>
      <c r="FJ185" s="55"/>
      <c r="FK185" s="55"/>
      <c r="FL185" s="55"/>
      <c r="FM185" s="55"/>
      <c r="FN185" s="55"/>
      <c r="FO185" s="55"/>
      <c r="FP185" s="55"/>
      <c r="FQ185" s="55"/>
      <c r="FR185" s="55"/>
      <c r="FS185" s="55"/>
      <c r="FT185" s="55"/>
      <c r="FU185" s="55"/>
      <c r="FV185" s="55"/>
      <c r="FW185" s="55"/>
      <c r="FX185" s="55"/>
      <c r="FY185" s="55"/>
      <c r="FZ185" s="55"/>
      <c r="GA185" s="55"/>
      <c r="GB185" s="55"/>
      <c r="GC185" s="55"/>
      <c r="GD185" s="55"/>
      <c r="GE185" s="55"/>
      <c r="GF185" s="55"/>
      <c r="GG185" s="55"/>
      <c r="GH185" s="55"/>
      <c r="GI185" s="55"/>
      <c r="GJ185" s="55"/>
      <c r="GK185" s="55"/>
      <c r="GL185" s="55"/>
      <c r="GM185" s="55"/>
      <c r="GN185" s="55"/>
      <c r="GO185" s="55"/>
      <c r="GP185" s="55"/>
      <c r="GQ185" s="55"/>
      <c r="GR185" s="55"/>
      <c r="GS185" s="55"/>
      <c r="GT185" s="55"/>
      <c r="GU185" s="55"/>
      <c r="GV185" s="55"/>
      <c r="GW185" s="55"/>
      <c r="GX185" s="55"/>
      <c r="GY185" s="55"/>
      <c r="GZ185" s="55"/>
      <c r="HA185" s="55"/>
      <c r="HB185" s="55"/>
      <c r="HC185" s="55"/>
      <c r="HD185" s="55"/>
      <c r="HE185" s="55"/>
      <c r="HF185" s="55"/>
      <c r="HG185" s="55"/>
      <c r="HH185" s="55"/>
      <c r="HI185" s="55"/>
      <c r="HJ185" s="55"/>
      <c r="HK185" s="55"/>
      <c r="HL185" s="55"/>
      <c r="HM185" s="55"/>
      <c r="HN185" s="55"/>
      <c r="HO185" s="55"/>
      <c r="HP185" s="55"/>
      <c r="HQ185" s="55"/>
      <c r="HR185" s="55"/>
      <c r="HS185" s="55"/>
      <c r="HT185" s="55"/>
      <c r="HU185" s="55"/>
      <c r="HV185" s="55"/>
      <c r="HW185" s="55"/>
      <c r="HX185" s="55"/>
      <c r="HY185" s="55"/>
      <c r="HZ185" s="55"/>
      <c r="IA185" s="55"/>
      <c r="IB185" s="55"/>
    </row>
    <row r="186" spans="1:236" ht="15" customHeight="1" x14ac:dyDescent="0.2">
      <c r="A186" s="70" t="s">
        <v>22</v>
      </c>
      <c r="B186" s="44" t="s">
        <v>179</v>
      </c>
      <c r="C186" s="45" t="s">
        <v>161</v>
      </c>
      <c r="D186" s="454"/>
      <c r="E186" s="55"/>
      <c r="F186" s="55"/>
      <c r="G186" s="55"/>
      <c r="H186" s="55"/>
      <c r="I186" s="55"/>
      <c r="J186" s="55"/>
      <c r="K186" s="55"/>
      <c r="L186" s="55"/>
      <c r="M186" s="55"/>
      <c r="N186" s="55"/>
      <c r="O186" s="55"/>
      <c r="P186" s="55"/>
      <c r="Q186" s="55"/>
      <c r="R186" s="55"/>
      <c r="S186" s="55"/>
      <c r="T186" s="55"/>
      <c r="U186" s="55"/>
      <c r="V186" s="55"/>
      <c r="W186" s="55"/>
      <c r="X186" s="55"/>
      <c r="Y186" s="55"/>
      <c r="Z186" s="55"/>
      <c r="AA186" s="55"/>
      <c r="AB186" s="55"/>
      <c r="AC186" s="55"/>
      <c r="AD186" s="55"/>
      <c r="AE186" s="55"/>
      <c r="AF186" s="55"/>
      <c r="AG186" s="55"/>
      <c r="AH186" s="55"/>
      <c r="AI186" s="55"/>
      <c r="AJ186" s="55"/>
      <c r="AK186" s="55"/>
      <c r="AL186" s="55"/>
      <c r="AM186" s="55"/>
      <c r="AN186" s="55"/>
      <c r="AO186" s="55"/>
      <c r="AP186" s="55"/>
      <c r="AQ186" s="55"/>
      <c r="AR186" s="55"/>
      <c r="AS186" s="55"/>
      <c r="AT186" s="55"/>
      <c r="AU186" s="55"/>
      <c r="AV186" s="55"/>
      <c r="AW186" s="55"/>
      <c r="AX186" s="55"/>
      <c r="AY186" s="55"/>
      <c r="AZ186" s="55"/>
      <c r="BA186" s="55"/>
      <c r="BB186" s="55"/>
      <c r="BC186" s="55"/>
      <c r="BD186" s="55"/>
      <c r="BE186" s="55"/>
      <c r="BF186" s="55"/>
      <c r="BG186" s="55"/>
      <c r="BH186" s="55"/>
      <c r="BI186" s="55"/>
      <c r="BJ186" s="55"/>
      <c r="BK186" s="55"/>
      <c r="BL186" s="55"/>
      <c r="BM186" s="55"/>
      <c r="BN186" s="55"/>
      <c r="BO186" s="55"/>
      <c r="BP186" s="55"/>
      <c r="BQ186" s="55"/>
      <c r="BR186" s="55"/>
      <c r="BS186" s="55"/>
      <c r="BT186" s="55"/>
      <c r="BU186" s="55"/>
      <c r="BV186" s="55"/>
      <c r="BW186" s="55"/>
      <c r="BX186" s="55"/>
      <c r="BY186" s="55"/>
      <c r="BZ186" s="55"/>
      <c r="CA186" s="55"/>
      <c r="CB186" s="55"/>
      <c r="CC186" s="55"/>
      <c r="CD186" s="55"/>
      <c r="CE186" s="55"/>
      <c r="CF186" s="55"/>
      <c r="CG186" s="55"/>
      <c r="CH186" s="55"/>
      <c r="CI186" s="55"/>
      <c r="CJ186" s="55"/>
      <c r="CK186" s="55"/>
      <c r="CL186" s="55"/>
      <c r="CM186" s="55"/>
      <c r="CN186" s="55"/>
      <c r="CO186" s="55"/>
      <c r="CP186" s="55"/>
      <c r="CQ186" s="55"/>
      <c r="CR186" s="55"/>
      <c r="CS186" s="55"/>
      <c r="CT186" s="55"/>
      <c r="CU186" s="55"/>
      <c r="CV186" s="55"/>
      <c r="CW186" s="55"/>
      <c r="CX186" s="55"/>
      <c r="CY186" s="55"/>
      <c r="CZ186" s="55"/>
      <c r="DA186" s="55"/>
      <c r="DB186" s="55"/>
      <c r="DC186" s="55"/>
      <c r="DD186" s="55"/>
      <c r="DE186" s="55"/>
      <c r="DF186" s="55"/>
      <c r="DG186" s="55"/>
      <c r="DH186" s="55"/>
      <c r="DI186" s="55"/>
      <c r="DJ186" s="55"/>
      <c r="DK186" s="55"/>
      <c r="DL186" s="55"/>
      <c r="DM186" s="55"/>
      <c r="DN186" s="55"/>
      <c r="DO186" s="55"/>
      <c r="DP186" s="55"/>
      <c r="DQ186" s="55"/>
      <c r="DR186" s="55"/>
      <c r="DS186" s="55"/>
      <c r="DT186" s="55"/>
      <c r="DU186" s="55"/>
      <c r="DV186" s="55"/>
      <c r="DW186" s="55"/>
      <c r="DX186" s="55"/>
      <c r="DY186" s="55"/>
      <c r="DZ186" s="55"/>
      <c r="EA186" s="55"/>
      <c r="EB186" s="55"/>
      <c r="EC186" s="55"/>
      <c r="ED186" s="55"/>
      <c r="EE186" s="55"/>
      <c r="EF186" s="55"/>
      <c r="EG186" s="55"/>
      <c r="EH186" s="55"/>
      <c r="EI186" s="55"/>
      <c r="EJ186" s="55"/>
      <c r="EK186" s="55"/>
      <c r="EL186" s="55"/>
      <c r="EM186" s="55"/>
      <c r="EN186" s="55"/>
      <c r="EO186" s="55"/>
      <c r="EP186" s="55"/>
      <c r="EQ186" s="55"/>
      <c r="ER186" s="55"/>
      <c r="ES186" s="55"/>
      <c r="ET186" s="55"/>
      <c r="EU186" s="55"/>
      <c r="EV186" s="55"/>
      <c r="EW186" s="55"/>
      <c r="EX186" s="55"/>
      <c r="EY186" s="55"/>
      <c r="EZ186" s="55"/>
      <c r="FA186" s="55"/>
      <c r="FB186" s="55"/>
      <c r="FC186" s="55"/>
      <c r="FD186" s="55"/>
      <c r="FE186" s="55"/>
      <c r="FF186" s="55"/>
      <c r="FG186" s="55"/>
      <c r="FH186" s="55"/>
      <c r="FI186" s="55"/>
      <c r="FJ186" s="55"/>
      <c r="FK186" s="55"/>
      <c r="FL186" s="55"/>
      <c r="FM186" s="55"/>
      <c r="FN186" s="55"/>
      <c r="FO186" s="55"/>
      <c r="FP186" s="55"/>
      <c r="FQ186" s="55"/>
      <c r="FR186" s="55"/>
      <c r="FS186" s="55"/>
      <c r="FT186" s="55"/>
      <c r="FU186" s="55"/>
      <c r="FV186" s="55"/>
      <c r="FW186" s="55"/>
      <c r="FX186" s="55"/>
      <c r="FY186" s="55"/>
      <c r="FZ186" s="55"/>
      <c r="GA186" s="55"/>
      <c r="GB186" s="55"/>
      <c r="GC186" s="55"/>
      <c r="GD186" s="55"/>
      <c r="GE186" s="55"/>
      <c r="GF186" s="55"/>
      <c r="GG186" s="55"/>
      <c r="GH186" s="55"/>
      <c r="GI186" s="55"/>
      <c r="GJ186" s="55"/>
      <c r="GK186" s="55"/>
      <c r="GL186" s="55"/>
      <c r="GM186" s="55"/>
      <c r="GN186" s="55"/>
      <c r="GO186" s="55"/>
      <c r="GP186" s="55"/>
      <c r="GQ186" s="55"/>
      <c r="GR186" s="55"/>
      <c r="GS186" s="55"/>
      <c r="GT186" s="55"/>
      <c r="GU186" s="55"/>
      <c r="GV186" s="55"/>
      <c r="GW186" s="55"/>
      <c r="GX186" s="55"/>
      <c r="GY186" s="55"/>
      <c r="GZ186" s="55"/>
      <c r="HA186" s="55"/>
      <c r="HB186" s="55"/>
      <c r="HC186" s="55"/>
      <c r="HD186" s="55"/>
      <c r="HE186" s="55"/>
      <c r="HF186" s="55"/>
      <c r="HG186" s="55"/>
      <c r="HH186" s="55"/>
      <c r="HI186" s="55"/>
      <c r="HJ186" s="55"/>
      <c r="HK186" s="55"/>
      <c r="HL186" s="55"/>
      <c r="HM186" s="55"/>
      <c r="HN186" s="55"/>
      <c r="HO186" s="55"/>
      <c r="HP186" s="55"/>
      <c r="HQ186" s="55"/>
      <c r="HR186" s="55"/>
      <c r="HS186" s="55"/>
      <c r="HT186" s="55"/>
      <c r="HU186" s="55"/>
      <c r="HV186" s="55"/>
      <c r="HW186" s="55"/>
      <c r="HX186" s="55"/>
      <c r="HY186" s="55"/>
      <c r="HZ186" s="55"/>
      <c r="IA186" s="55"/>
      <c r="IB186" s="55"/>
    </row>
    <row r="187" spans="1:236" ht="15" customHeight="1" x14ac:dyDescent="0.2">
      <c r="A187" s="70" t="s">
        <v>23</v>
      </c>
      <c r="B187" s="44" t="s">
        <v>180</v>
      </c>
      <c r="C187" s="45" t="s">
        <v>161</v>
      </c>
      <c r="D187" s="454"/>
      <c r="E187" s="55"/>
      <c r="F187" s="55"/>
      <c r="G187" s="55"/>
      <c r="H187" s="55"/>
      <c r="I187" s="55"/>
      <c r="J187" s="55"/>
      <c r="K187" s="55"/>
      <c r="L187" s="55"/>
      <c r="M187" s="55"/>
      <c r="N187" s="55"/>
      <c r="O187" s="55"/>
      <c r="P187" s="55"/>
      <c r="Q187" s="55"/>
      <c r="R187" s="55"/>
      <c r="S187" s="55"/>
      <c r="T187" s="55"/>
      <c r="U187" s="55"/>
      <c r="V187" s="55"/>
      <c r="W187" s="55"/>
      <c r="X187" s="55"/>
      <c r="Y187" s="55"/>
      <c r="Z187" s="55"/>
      <c r="AA187" s="55"/>
      <c r="AB187" s="55"/>
      <c r="AC187" s="55"/>
      <c r="AD187" s="55"/>
      <c r="AE187" s="55"/>
      <c r="AF187" s="55"/>
      <c r="AG187" s="55"/>
      <c r="AH187" s="55"/>
      <c r="AI187" s="55"/>
      <c r="AJ187" s="55"/>
      <c r="AK187" s="55"/>
      <c r="AL187" s="55"/>
      <c r="AM187" s="55"/>
      <c r="AN187" s="55"/>
      <c r="AO187" s="55"/>
      <c r="AP187" s="55"/>
      <c r="AQ187" s="55"/>
      <c r="AR187" s="55"/>
      <c r="AS187" s="55"/>
      <c r="AT187" s="55"/>
      <c r="AU187" s="55"/>
      <c r="AV187" s="55"/>
      <c r="AW187" s="55"/>
      <c r="AX187" s="55"/>
      <c r="AY187" s="55"/>
      <c r="AZ187" s="55"/>
      <c r="BA187" s="55"/>
      <c r="BB187" s="55"/>
      <c r="BC187" s="55"/>
      <c r="BD187" s="55"/>
      <c r="BE187" s="55"/>
      <c r="BF187" s="55"/>
      <c r="BG187" s="55"/>
      <c r="BH187" s="55"/>
      <c r="BI187" s="55"/>
      <c r="BJ187" s="55"/>
      <c r="BK187" s="55"/>
      <c r="BL187" s="55"/>
      <c r="BM187" s="55"/>
      <c r="BN187" s="55"/>
      <c r="BO187" s="55"/>
      <c r="BP187" s="55"/>
      <c r="BQ187" s="55"/>
      <c r="BR187" s="55"/>
      <c r="BS187" s="55"/>
      <c r="BT187" s="55"/>
      <c r="BU187" s="55"/>
      <c r="BV187" s="55"/>
      <c r="BW187" s="55"/>
      <c r="BX187" s="55"/>
      <c r="BY187" s="55"/>
      <c r="BZ187" s="55"/>
      <c r="CA187" s="55"/>
      <c r="CB187" s="55"/>
      <c r="CC187" s="55"/>
      <c r="CD187" s="55"/>
      <c r="CE187" s="55"/>
      <c r="CF187" s="55"/>
      <c r="CG187" s="55"/>
      <c r="CH187" s="55"/>
      <c r="CI187" s="55"/>
      <c r="CJ187" s="55"/>
      <c r="CK187" s="55"/>
      <c r="CL187" s="55"/>
      <c r="CM187" s="55"/>
      <c r="CN187" s="55"/>
      <c r="CO187" s="55"/>
      <c r="CP187" s="55"/>
      <c r="CQ187" s="55"/>
      <c r="CR187" s="55"/>
      <c r="CS187" s="55"/>
      <c r="CT187" s="55"/>
      <c r="CU187" s="55"/>
      <c r="CV187" s="55"/>
      <c r="CW187" s="55"/>
      <c r="CX187" s="55"/>
      <c r="CY187" s="55"/>
      <c r="CZ187" s="55"/>
      <c r="DA187" s="55"/>
      <c r="DB187" s="55"/>
      <c r="DC187" s="55"/>
      <c r="DD187" s="55"/>
      <c r="DE187" s="55"/>
      <c r="DF187" s="55"/>
      <c r="DG187" s="55"/>
      <c r="DH187" s="55"/>
      <c r="DI187" s="55"/>
      <c r="DJ187" s="55"/>
      <c r="DK187" s="55"/>
      <c r="DL187" s="55"/>
      <c r="DM187" s="55"/>
      <c r="DN187" s="55"/>
      <c r="DO187" s="55"/>
      <c r="DP187" s="55"/>
      <c r="DQ187" s="55"/>
      <c r="DR187" s="55"/>
      <c r="DS187" s="55"/>
      <c r="DT187" s="55"/>
      <c r="DU187" s="55"/>
      <c r="DV187" s="55"/>
      <c r="DW187" s="55"/>
      <c r="DX187" s="55"/>
      <c r="DY187" s="55"/>
      <c r="DZ187" s="55"/>
      <c r="EA187" s="55"/>
      <c r="EB187" s="55"/>
      <c r="EC187" s="55"/>
      <c r="ED187" s="55"/>
      <c r="EE187" s="55"/>
      <c r="EF187" s="55"/>
      <c r="EG187" s="55"/>
      <c r="EH187" s="55"/>
      <c r="EI187" s="55"/>
      <c r="EJ187" s="55"/>
      <c r="EK187" s="55"/>
      <c r="EL187" s="55"/>
      <c r="EM187" s="55"/>
      <c r="EN187" s="55"/>
      <c r="EO187" s="55"/>
      <c r="EP187" s="55"/>
      <c r="EQ187" s="55"/>
      <c r="ER187" s="55"/>
      <c r="ES187" s="55"/>
      <c r="ET187" s="55"/>
      <c r="EU187" s="55"/>
      <c r="EV187" s="55"/>
      <c r="EW187" s="55"/>
      <c r="EX187" s="55"/>
      <c r="EY187" s="55"/>
      <c r="EZ187" s="55"/>
      <c r="FA187" s="55"/>
      <c r="FB187" s="55"/>
      <c r="FC187" s="55"/>
      <c r="FD187" s="55"/>
      <c r="FE187" s="55"/>
      <c r="FF187" s="55"/>
      <c r="FG187" s="55"/>
      <c r="FH187" s="55"/>
      <c r="FI187" s="55"/>
      <c r="FJ187" s="55"/>
      <c r="FK187" s="55"/>
      <c r="FL187" s="55"/>
      <c r="FM187" s="55"/>
      <c r="FN187" s="55"/>
      <c r="FO187" s="55"/>
      <c r="FP187" s="55"/>
      <c r="FQ187" s="55"/>
      <c r="FR187" s="55"/>
      <c r="FS187" s="55"/>
      <c r="FT187" s="55"/>
      <c r="FU187" s="55"/>
      <c r="FV187" s="55"/>
      <c r="FW187" s="55"/>
      <c r="FX187" s="55"/>
      <c r="FY187" s="55"/>
      <c r="FZ187" s="55"/>
      <c r="GA187" s="55"/>
      <c r="GB187" s="55"/>
      <c r="GC187" s="55"/>
      <c r="GD187" s="55"/>
      <c r="GE187" s="55"/>
      <c r="GF187" s="55"/>
      <c r="GG187" s="55"/>
      <c r="GH187" s="55"/>
      <c r="GI187" s="55"/>
      <c r="GJ187" s="55"/>
      <c r="GK187" s="55"/>
      <c r="GL187" s="55"/>
      <c r="GM187" s="55"/>
      <c r="GN187" s="55"/>
      <c r="GO187" s="55"/>
      <c r="GP187" s="55"/>
      <c r="GQ187" s="55"/>
      <c r="GR187" s="55"/>
      <c r="GS187" s="55"/>
      <c r="GT187" s="55"/>
      <c r="GU187" s="55"/>
      <c r="GV187" s="55"/>
      <c r="GW187" s="55"/>
      <c r="GX187" s="55"/>
      <c r="GY187" s="55"/>
      <c r="GZ187" s="55"/>
      <c r="HA187" s="55"/>
      <c r="HB187" s="55"/>
      <c r="HC187" s="55"/>
      <c r="HD187" s="55"/>
      <c r="HE187" s="55"/>
      <c r="HF187" s="55"/>
      <c r="HG187" s="55"/>
      <c r="HH187" s="55"/>
      <c r="HI187" s="55"/>
      <c r="HJ187" s="55"/>
      <c r="HK187" s="55"/>
      <c r="HL187" s="55"/>
      <c r="HM187" s="55"/>
      <c r="HN187" s="55"/>
      <c r="HO187" s="55"/>
      <c r="HP187" s="55"/>
      <c r="HQ187" s="55"/>
      <c r="HR187" s="55"/>
      <c r="HS187" s="55"/>
      <c r="HT187" s="55"/>
      <c r="HU187" s="55"/>
      <c r="HV187" s="55"/>
      <c r="HW187" s="55"/>
      <c r="HX187" s="55"/>
      <c r="HY187" s="55"/>
      <c r="HZ187" s="55"/>
      <c r="IA187" s="55"/>
      <c r="IB187" s="55"/>
    </row>
    <row r="188" spans="1:236" ht="15" customHeight="1" x14ac:dyDescent="0.2">
      <c r="A188" s="70" t="s">
        <v>58</v>
      </c>
      <c r="B188" s="44" t="s">
        <v>181</v>
      </c>
      <c r="C188" s="45" t="s">
        <v>161</v>
      </c>
      <c r="D188" s="454"/>
      <c r="E188" s="55"/>
      <c r="F188" s="55"/>
      <c r="G188" s="55"/>
      <c r="H188" s="55"/>
      <c r="I188" s="55"/>
      <c r="J188" s="55"/>
      <c r="K188" s="55"/>
      <c r="L188" s="55"/>
      <c r="M188" s="55"/>
      <c r="N188" s="55"/>
      <c r="O188" s="55"/>
      <c r="P188" s="55"/>
      <c r="Q188" s="55"/>
      <c r="R188" s="55"/>
      <c r="S188" s="55"/>
      <c r="T188" s="55"/>
      <c r="U188" s="55"/>
      <c r="V188" s="55"/>
      <c r="W188" s="55"/>
      <c r="X188" s="55"/>
      <c r="Y188" s="55"/>
      <c r="Z188" s="55"/>
      <c r="AA188" s="55"/>
      <c r="AB188" s="55"/>
      <c r="AC188" s="55"/>
      <c r="AD188" s="55"/>
      <c r="AE188" s="55"/>
      <c r="AF188" s="55"/>
      <c r="AG188" s="55"/>
      <c r="AH188" s="55"/>
      <c r="AI188" s="55"/>
      <c r="AJ188" s="55"/>
      <c r="AK188" s="55"/>
      <c r="AL188" s="55"/>
      <c r="AM188" s="55"/>
      <c r="AN188" s="55"/>
      <c r="AO188" s="55"/>
      <c r="AP188" s="55"/>
      <c r="AQ188" s="55"/>
      <c r="AR188" s="55"/>
      <c r="AS188" s="55"/>
      <c r="AT188" s="55"/>
      <c r="AU188" s="55"/>
      <c r="AV188" s="55"/>
      <c r="AW188" s="55"/>
      <c r="AX188" s="55"/>
      <c r="AY188" s="55"/>
      <c r="AZ188" s="55"/>
      <c r="BA188" s="55"/>
      <c r="BB188" s="55"/>
      <c r="BC188" s="55"/>
      <c r="BD188" s="55"/>
      <c r="BE188" s="55"/>
      <c r="BF188" s="55"/>
      <c r="BG188" s="55"/>
      <c r="BH188" s="55"/>
      <c r="BI188" s="55"/>
      <c r="BJ188" s="55"/>
      <c r="BK188" s="55"/>
      <c r="BL188" s="55"/>
      <c r="BM188" s="55"/>
      <c r="BN188" s="55"/>
      <c r="BO188" s="55"/>
      <c r="BP188" s="55"/>
      <c r="BQ188" s="55"/>
      <c r="BR188" s="55"/>
      <c r="BS188" s="55"/>
      <c r="BT188" s="55"/>
      <c r="BU188" s="55"/>
      <c r="BV188" s="55"/>
      <c r="BW188" s="55"/>
      <c r="BX188" s="55"/>
      <c r="BY188" s="55"/>
      <c r="BZ188" s="55"/>
      <c r="CA188" s="55"/>
      <c r="CB188" s="55"/>
      <c r="CC188" s="55"/>
      <c r="CD188" s="55"/>
      <c r="CE188" s="55"/>
      <c r="CF188" s="55"/>
      <c r="CG188" s="55"/>
      <c r="CH188" s="55"/>
      <c r="CI188" s="55"/>
      <c r="CJ188" s="55"/>
      <c r="CK188" s="55"/>
      <c r="CL188" s="55"/>
      <c r="CM188" s="55"/>
      <c r="CN188" s="55"/>
      <c r="CO188" s="55"/>
      <c r="CP188" s="55"/>
      <c r="CQ188" s="55"/>
      <c r="CR188" s="55"/>
      <c r="CS188" s="55"/>
      <c r="CT188" s="55"/>
      <c r="CU188" s="55"/>
      <c r="CV188" s="55"/>
      <c r="CW188" s="55"/>
      <c r="CX188" s="55"/>
      <c r="CY188" s="55"/>
      <c r="CZ188" s="55"/>
      <c r="DA188" s="55"/>
      <c r="DB188" s="55"/>
      <c r="DC188" s="55"/>
      <c r="DD188" s="55"/>
      <c r="DE188" s="55"/>
      <c r="DF188" s="55"/>
      <c r="DG188" s="55"/>
      <c r="DH188" s="55"/>
      <c r="DI188" s="55"/>
      <c r="DJ188" s="55"/>
      <c r="DK188" s="55"/>
      <c r="DL188" s="55"/>
      <c r="DM188" s="55"/>
      <c r="DN188" s="55"/>
      <c r="DO188" s="55"/>
      <c r="DP188" s="55"/>
      <c r="DQ188" s="55"/>
      <c r="DR188" s="55"/>
      <c r="DS188" s="55"/>
      <c r="DT188" s="55"/>
      <c r="DU188" s="55"/>
      <c r="DV188" s="55"/>
      <c r="DW188" s="55"/>
      <c r="DX188" s="55"/>
      <c r="DY188" s="55"/>
      <c r="DZ188" s="55"/>
      <c r="EA188" s="55"/>
      <c r="EB188" s="55"/>
      <c r="EC188" s="55"/>
      <c r="ED188" s="55"/>
      <c r="EE188" s="55"/>
      <c r="EF188" s="55"/>
      <c r="EG188" s="55"/>
      <c r="EH188" s="55"/>
      <c r="EI188" s="55"/>
      <c r="EJ188" s="55"/>
      <c r="EK188" s="55"/>
      <c r="EL188" s="55"/>
      <c r="EM188" s="55"/>
      <c r="EN188" s="55"/>
      <c r="EO188" s="55"/>
      <c r="EP188" s="55"/>
      <c r="EQ188" s="55"/>
      <c r="ER188" s="55"/>
      <c r="ES188" s="55"/>
      <c r="ET188" s="55"/>
      <c r="EU188" s="55"/>
      <c r="EV188" s="55"/>
      <c r="EW188" s="55"/>
      <c r="EX188" s="55"/>
      <c r="EY188" s="55"/>
      <c r="EZ188" s="55"/>
      <c r="FA188" s="55"/>
      <c r="FB188" s="55"/>
      <c r="FC188" s="55"/>
      <c r="FD188" s="55"/>
      <c r="FE188" s="55"/>
      <c r="FF188" s="55"/>
      <c r="FG188" s="55"/>
      <c r="FH188" s="55"/>
      <c r="FI188" s="55"/>
      <c r="FJ188" s="55"/>
      <c r="FK188" s="55"/>
      <c r="FL188" s="55"/>
      <c r="FM188" s="55"/>
      <c r="FN188" s="55"/>
      <c r="FO188" s="55"/>
      <c r="FP188" s="55"/>
      <c r="FQ188" s="55"/>
      <c r="FR188" s="55"/>
      <c r="FS188" s="55"/>
      <c r="FT188" s="55"/>
      <c r="FU188" s="55"/>
      <c r="FV188" s="55"/>
      <c r="FW188" s="55"/>
      <c r="FX188" s="55"/>
      <c r="FY188" s="55"/>
      <c r="FZ188" s="55"/>
      <c r="GA188" s="55"/>
      <c r="GB188" s="55"/>
      <c r="GC188" s="55"/>
      <c r="GD188" s="55"/>
      <c r="GE188" s="55"/>
      <c r="GF188" s="55"/>
      <c r="GG188" s="55"/>
      <c r="GH188" s="55"/>
      <c r="GI188" s="55"/>
      <c r="GJ188" s="55"/>
      <c r="GK188" s="55"/>
      <c r="GL188" s="55"/>
      <c r="GM188" s="55"/>
      <c r="GN188" s="55"/>
      <c r="GO188" s="55"/>
      <c r="GP188" s="55"/>
      <c r="GQ188" s="55"/>
      <c r="GR188" s="55"/>
      <c r="GS188" s="55"/>
      <c r="GT188" s="55"/>
      <c r="GU188" s="55"/>
      <c r="GV188" s="55"/>
      <c r="GW188" s="55"/>
      <c r="GX188" s="55"/>
      <c r="GY188" s="55"/>
      <c r="GZ188" s="55"/>
      <c r="HA188" s="55"/>
      <c r="HB188" s="55"/>
      <c r="HC188" s="55"/>
      <c r="HD188" s="55"/>
      <c r="HE188" s="55"/>
      <c r="HF188" s="55"/>
      <c r="HG188" s="55"/>
      <c r="HH188" s="55"/>
      <c r="HI188" s="55"/>
      <c r="HJ188" s="55"/>
      <c r="HK188" s="55"/>
      <c r="HL188" s="55"/>
      <c r="HM188" s="55"/>
      <c r="HN188" s="55"/>
      <c r="HO188" s="55"/>
      <c r="HP188" s="55"/>
      <c r="HQ188" s="55"/>
      <c r="HR188" s="55"/>
      <c r="HS188" s="55"/>
      <c r="HT188" s="55"/>
      <c r="HU188" s="55"/>
      <c r="HV188" s="55"/>
      <c r="HW188" s="55"/>
      <c r="HX188" s="55"/>
      <c r="HY188" s="55"/>
      <c r="HZ188" s="55"/>
      <c r="IA188" s="55"/>
      <c r="IB188" s="55"/>
    </row>
    <row r="189" spans="1:236" ht="15" customHeight="1" x14ac:dyDescent="0.2">
      <c r="A189" s="70" t="s">
        <v>24</v>
      </c>
      <c r="B189" s="44" t="s">
        <v>182</v>
      </c>
      <c r="C189" s="45" t="s">
        <v>161</v>
      </c>
      <c r="D189" s="454"/>
      <c r="E189" s="55"/>
      <c r="F189" s="55"/>
      <c r="G189" s="55"/>
      <c r="H189" s="55"/>
      <c r="I189" s="55"/>
      <c r="J189" s="55"/>
      <c r="K189" s="55"/>
      <c r="L189" s="55"/>
      <c r="M189" s="55"/>
      <c r="N189" s="55"/>
      <c r="O189" s="55"/>
      <c r="P189" s="55"/>
      <c r="Q189" s="55"/>
      <c r="R189" s="55"/>
      <c r="S189" s="55"/>
      <c r="T189" s="55"/>
      <c r="U189" s="55"/>
      <c r="V189" s="55"/>
      <c r="W189" s="55"/>
      <c r="X189" s="55"/>
      <c r="Y189" s="55"/>
      <c r="Z189" s="55"/>
      <c r="AA189" s="55"/>
      <c r="AB189" s="55"/>
      <c r="AC189" s="55"/>
      <c r="AD189" s="55"/>
      <c r="AE189" s="55"/>
      <c r="AF189" s="55"/>
      <c r="AG189" s="55"/>
      <c r="AH189" s="55"/>
      <c r="AI189" s="55"/>
      <c r="AJ189" s="55"/>
      <c r="AK189" s="55"/>
      <c r="AL189" s="55"/>
      <c r="AM189" s="55"/>
      <c r="AN189" s="55"/>
      <c r="AO189" s="55"/>
      <c r="AP189" s="55"/>
      <c r="AQ189" s="55"/>
      <c r="AR189" s="55"/>
      <c r="AS189" s="55"/>
      <c r="AT189" s="55"/>
      <c r="AU189" s="55"/>
      <c r="AV189" s="55"/>
      <c r="AW189" s="55"/>
      <c r="AX189" s="55"/>
      <c r="AY189" s="55"/>
      <c r="AZ189" s="55"/>
      <c r="BA189" s="55"/>
      <c r="BB189" s="55"/>
      <c r="BC189" s="55"/>
      <c r="BD189" s="55"/>
      <c r="BE189" s="55"/>
      <c r="BF189" s="55"/>
      <c r="BG189" s="55"/>
      <c r="BH189" s="55"/>
      <c r="BI189" s="55"/>
      <c r="BJ189" s="55"/>
      <c r="BK189" s="55"/>
      <c r="BL189" s="55"/>
      <c r="BM189" s="55"/>
      <c r="BN189" s="55"/>
      <c r="BO189" s="55"/>
      <c r="BP189" s="55"/>
      <c r="BQ189" s="55"/>
      <c r="BR189" s="55"/>
      <c r="BS189" s="55"/>
      <c r="BT189" s="55"/>
      <c r="BU189" s="55"/>
      <c r="BV189" s="55"/>
      <c r="BW189" s="55"/>
      <c r="BX189" s="55"/>
      <c r="BY189" s="55"/>
      <c r="BZ189" s="55"/>
      <c r="CA189" s="55"/>
      <c r="CB189" s="55"/>
      <c r="CC189" s="55"/>
      <c r="CD189" s="55"/>
      <c r="CE189" s="55"/>
      <c r="CF189" s="55"/>
      <c r="CG189" s="55"/>
      <c r="CH189" s="55"/>
      <c r="CI189" s="55"/>
      <c r="CJ189" s="55"/>
      <c r="CK189" s="55"/>
      <c r="CL189" s="55"/>
      <c r="CM189" s="55"/>
      <c r="CN189" s="55"/>
      <c r="CO189" s="55"/>
      <c r="CP189" s="55"/>
      <c r="CQ189" s="55"/>
      <c r="CR189" s="55"/>
      <c r="CS189" s="55"/>
      <c r="CT189" s="55"/>
      <c r="CU189" s="55"/>
      <c r="CV189" s="55"/>
      <c r="CW189" s="55"/>
      <c r="CX189" s="55"/>
      <c r="CY189" s="55"/>
      <c r="CZ189" s="55"/>
      <c r="DA189" s="55"/>
      <c r="DB189" s="55"/>
      <c r="DC189" s="55"/>
      <c r="DD189" s="55"/>
      <c r="DE189" s="55"/>
      <c r="DF189" s="55"/>
      <c r="DG189" s="55"/>
      <c r="DH189" s="55"/>
      <c r="DI189" s="55"/>
      <c r="DJ189" s="55"/>
      <c r="DK189" s="55"/>
      <c r="DL189" s="55"/>
      <c r="DM189" s="55"/>
      <c r="DN189" s="55"/>
      <c r="DO189" s="55"/>
      <c r="DP189" s="55"/>
      <c r="DQ189" s="55"/>
      <c r="DR189" s="55"/>
      <c r="DS189" s="55"/>
      <c r="DT189" s="55"/>
      <c r="DU189" s="55"/>
      <c r="DV189" s="55"/>
      <c r="DW189" s="55"/>
      <c r="DX189" s="55"/>
      <c r="DY189" s="55"/>
      <c r="DZ189" s="55"/>
      <c r="EA189" s="55"/>
      <c r="EB189" s="55"/>
      <c r="EC189" s="55"/>
      <c r="ED189" s="55"/>
      <c r="EE189" s="55"/>
      <c r="EF189" s="55"/>
      <c r="EG189" s="55"/>
      <c r="EH189" s="55"/>
      <c r="EI189" s="55"/>
      <c r="EJ189" s="55"/>
      <c r="EK189" s="55"/>
      <c r="EL189" s="55"/>
      <c r="EM189" s="55"/>
      <c r="EN189" s="55"/>
      <c r="EO189" s="55"/>
      <c r="EP189" s="55"/>
      <c r="EQ189" s="55"/>
      <c r="ER189" s="55"/>
      <c r="ES189" s="55"/>
      <c r="ET189" s="55"/>
      <c r="EU189" s="55"/>
      <c r="EV189" s="55"/>
      <c r="EW189" s="55"/>
      <c r="EX189" s="55"/>
      <c r="EY189" s="55"/>
      <c r="EZ189" s="55"/>
      <c r="FA189" s="55"/>
      <c r="FB189" s="55"/>
      <c r="FC189" s="55"/>
      <c r="FD189" s="55"/>
      <c r="FE189" s="55"/>
      <c r="FF189" s="55"/>
      <c r="FG189" s="55"/>
      <c r="FH189" s="55"/>
      <c r="FI189" s="55"/>
      <c r="FJ189" s="55"/>
      <c r="FK189" s="55"/>
      <c r="FL189" s="55"/>
      <c r="FM189" s="55"/>
      <c r="FN189" s="55"/>
      <c r="FO189" s="55"/>
      <c r="FP189" s="55"/>
      <c r="FQ189" s="55"/>
      <c r="FR189" s="55"/>
      <c r="FS189" s="55"/>
      <c r="FT189" s="55"/>
      <c r="FU189" s="55"/>
      <c r="FV189" s="55"/>
      <c r="FW189" s="55"/>
      <c r="FX189" s="55"/>
      <c r="FY189" s="55"/>
      <c r="FZ189" s="55"/>
      <c r="GA189" s="55"/>
      <c r="GB189" s="55"/>
      <c r="GC189" s="55"/>
      <c r="GD189" s="55"/>
      <c r="GE189" s="55"/>
      <c r="GF189" s="55"/>
      <c r="GG189" s="55"/>
      <c r="GH189" s="55"/>
      <c r="GI189" s="55"/>
      <c r="GJ189" s="55"/>
      <c r="GK189" s="55"/>
      <c r="GL189" s="55"/>
      <c r="GM189" s="55"/>
      <c r="GN189" s="55"/>
      <c r="GO189" s="55"/>
      <c r="GP189" s="55"/>
      <c r="GQ189" s="55"/>
      <c r="GR189" s="55"/>
      <c r="GS189" s="55"/>
      <c r="GT189" s="55"/>
      <c r="GU189" s="55"/>
      <c r="GV189" s="55"/>
      <c r="GW189" s="55"/>
      <c r="GX189" s="55"/>
      <c r="GY189" s="55"/>
      <c r="GZ189" s="55"/>
      <c r="HA189" s="55"/>
      <c r="HB189" s="55"/>
      <c r="HC189" s="55"/>
      <c r="HD189" s="55"/>
      <c r="HE189" s="55"/>
      <c r="HF189" s="55"/>
      <c r="HG189" s="55"/>
      <c r="HH189" s="55"/>
      <c r="HI189" s="55"/>
      <c r="HJ189" s="55"/>
      <c r="HK189" s="55"/>
      <c r="HL189" s="55"/>
      <c r="HM189" s="55"/>
      <c r="HN189" s="55"/>
      <c r="HO189" s="55"/>
      <c r="HP189" s="55"/>
      <c r="HQ189" s="55"/>
      <c r="HR189" s="55"/>
      <c r="HS189" s="55"/>
      <c r="HT189" s="55"/>
      <c r="HU189" s="55"/>
      <c r="HV189" s="55"/>
      <c r="HW189" s="55"/>
      <c r="HX189" s="55"/>
      <c r="HY189" s="55"/>
      <c r="HZ189" s="55"/>
      <c r="IA189" s="55"/>
      <c r="IB189" s="55"/>
    </row>
    <row r="190" spans="1:236" ht="15" customHeight="1" x14ac:dyDescent="0.2">
      <c r="A190" s="70" t="s">
        <v>107</v>
      </c>
      <c r="B190" s="44" t="s">
        <v>183</v>
      </c>
      <c r="C190" s="45" t="s">
        <v>161</v>
      </c>
      <c r="D190" s="454"/>
      <c r="E190" s="55"/>
      <c r="F190" s="55"/>
      <c r="G190" s="55"/>
      <c r="H190" s="55"/>
      <c r="I190" s="55"/>
      <c r="J190" s="55"/>
      <c r="K190" s="55"/>
      <c r="L190" s="55"/>
      <c r="M190" s="55"/>
      <c r="N190" s="55"/>
      <c r="O190" s="55"/>
      <c r="P190" s="55"/>
      <c r="Q190" s="55"/>
      <c r="R190" s="55"/>
      <c r="S190" s="55"/>
      <c r="T190" s="55"/>
      <c r="U190" s="55"/>
      <c r="V190" s="55"/>
      <c r="W190" s="55"/>
      <c r="X190" s="55"/>
      <c r="Y190" s="55"/>
      <c r="Z190" s="55"/>
      <c r="AA190" s="55"/>
      <c r="AB190" s="55"/>
      <c r="AC190" s="55"/>
      <c r="AD190" s="55"/>
      <c r="AE190" s="55"/>
      <c r="AF190" s="55"/>
      <c r="AG190" s="55"/>
      <c r="AH190" s="55"/>
      <c r="AI190" s="55"/>
      <c r="AJ190" s="55"/>
      <c r="AK190" s="55"/>
      <c r="AL190" s="55"/>
      <c r="AM190" s="55"/>
      <c r="AN190" s="55"/>
      <c r="AO190" s="55"/>
      <c r="AP190" s="55"/>
      <c r="AQ190" s="55"/>
      <c r="AR190" s="55"/>
      <c r="AS190" s="55"/>
      <c r="AT190" s="55"/>
      <c r="AU190" s="55"/>
      <c r="AV190" s="55"/>
      <c r="AW190" s="55"/>
      <c r="AX190" s="55"/>
      <c r="AY190" s="55"/>
      <c r="AZ190" s="55"/>
      <c r="BA190" s="55"/>
      <c r="BB190" s="55"/>
      <c r="BC190" s="55"/>
      <c r="BD190" s="55"/>
      <c r="BE190" s="55"/>
      <c r="BF190" s="55"/>
      <c r="BG190" s="55"/>
      <c r="BH190" s="55"/>
      <c r="BI190" s="55"/>
      <c r="BJ190" s="55"/>
      <c r="BK190" s="55"/>
      <c r="BL190" s="55"/>
      <c r="BM190" s="55"/>
      <c r="BN190" s="55"/>
      <c r="BO190" s="55"/>
      <c r="BP190" s="55"/>
      <c r="BQ190" s="55"/>
      <c r="BR190" s="55"/>
      <c r="BS190" s="55"/>
      <c r="BT190" s="55"/>
      <c r="BU190" s="55"/>
      <c r="BV190" s="55"/>
      <c r="BW190" s="55"/>
      <c r="BX190" s="55"/>
      <c r="BY190" s="55"/>
      <c r="BZ190" s="55"/>
      <c r="CA190" s="55"/>
      <c r="CB190" s="55"/>
      <c r="CC190" s="55"/>
      <c r="CD190" s="55"/>
      <c r="CE190" s="55"/>
      <c r="CF190" s="55"/>
      <c r="CG190" s="55"/>
      <c r="CH190" s="55"/>
      <c r="CI190" s="55"/>
      <c r="CJ190" s="55"/>
      <c r="CK190" s="55"/>
      <c r="CL190" s="55"/>
      <c r="CM190" s="55"/>
      <c r="CN190" s="55"/>
      <c r="CO190" s="55"/>
      <c r="CP190" s="55"/>
      <c r="CQ190" s="55"/>
      <c r="CR190" s="55"/>
      <c r="CS190" s="55"/>
      <c r="CT190" s="55"/>
      <c r="CU190" s="55"/>
      <c r="CV190" s="55"/>
      <c r="CW190" s="55"/>
      <c r="CX190" s="55"/>
      <c r="CY190" s="55"/>
      <c r="CZ190" s="55"/>
      <c r="DA190" s="55"/>
      <c r="DB190" s="55"/>
      <c r="DC190" s="55"/>
      <c r="DD190" s="55"/>
      <c r="DE190" s="55"/>
      <c r="DF190" s="55"/>
      <c r="DG190" s="55"/>
      <c r="DH190" s="55"/>
      <c r="DI190" s="55"/>
      <c r="DJ190" s="55"/>
      <c r="DK190" s="55"/>
      <c r="DL190" s="55"/>
      <c r="DM190" s="55"/>
      <c r="DN190" s="55"/>
      <c r="DO190" s="55"/>
      <c r="DP190" s="55"/>
      <c r="DQ190" s="55"/>
      <c r="DR190" s="55"/>
      <c r="DS190" s="55"/>
      <c r="DT190" s="55"/>
      <c r="DU190" s="55"/>
      <c r="DV190" s="55"/>
      <c r="DW190" s="55"/>
      <c r="DX190" s="55"/>
      <c r="DY190" s="55"/>
      <c r="DZ190" s="55"/>
      <c r="EA190" s="55"/>
      <c r="EB190" s="55"/>
      <c r="EC190" s="55"/>
      <c r="ED190" s="55"/>
      <c r="EE190" s="55"/>
      <c r="EF190" s="55"/>
      <c r="EG190" s="55"/>
      <c r="EH190" s="55"/>
      <c r="EI190" s="55"/>
      <c r="EJ190" s="55"/>
      <c r="EK190" s="55"/>
      <c r="EL190" s="55"/>
      <c r="EM190" s="55"/>
      <c r="EN190" s="55"/>
      <c r="EO190" s="55"/>
      <c r="EP190" s="55"/>
      <c r="EQ190" s="55"/>
      <c r="ER190" s="55"/>
      <c r="ES190" s="55"/>
      <c r="ET190" s="55"/>
      <c r="EU190" s="55"/>
      <c r="EV190" s="55"/>
      <c r="EW190" s="55"/>
      <c r="EX190" s="55"/>
      <c r="EY190" s="55"/>
      <c r="EZ190" s="55"/>
      <c r="FA190" s="55"/>
      <c r="FB190" s="55"/>
      <c r="FC190" s="55"/>
      <c r="FD190" s="55"/>
      <c r="FE190" s="55"/>
      <c r="FF190" s="55"/>
      <c r="FG190" s="55"/>
      <c r="FH190" s="55"/>
      <c r="FI190" s="55"/>
      <c r="FJ190" s="55"/>
      <c r="FK190" s="55"/>
      <c r="FL190" s="55"/>
      <c r="FM190" s="55"/>
      <c r="FN190" s="55"/>
      <c r="FO190" s="55"/>
      <c r="FP190" s="55"/>
      <c r="FQ190" s="55"/>
      <c r="FR190" s="55"/>
      <c r="FS190" s="55"/>
      <c r="FT190" s="55"/>
      <c r="FU190" s="55"/>
      <c r="FV190" s="55"/>
      <c r="FW190" s="55"/>
      <c r="FX190" s="55"/>
      <c r="FY190" s="55"/>
      <c r="FZ190" s="55"/>
      <c r="GA190" s="55"/>
      <c r="GB190" s="55"/>
      <c r="GC190" s="55"/>
      <c r="GD190" s="55"/>
      <c r="GE190" s="55"/>
      <c r="GF190" s="55"/>
      <c r="GG190" s="55"/>
      <c r="GH190" s="55"/>
      <c r="GI190" s="55"/>
      <c r="GJ190" s="55"/>
      <c r="GK190" s="55"/>
      <c r="GL190" s="55"/>
      <c r="GM190" s="55"/>
      <c r="GN190" s="55"/>
      <c r="GO190" s="55"/>
      <c r="GP190" s="55"/>
      <c r="GQ190" s="55"/>
      <c r="GR190" s="55"/>
      <c r="GS190" s="55"/>
      <c r="GT190" s="55"/>
      <c r="GU190" s="55"/>
      <c r="GV190" s="55"/>
      <c r="GW190" s="55"/>
      <c r="GX190" s="55"/>
      <c r="GY190" s="55"/>
      <c r="GZ190" s="55"/>
      <c r="HA190" s="55"/>
      <c r="HB190" s="55"/>
      <c r="HC190" s="55"/>
      <c r="HD190" s="55"/>
      <c r="HE190" s="55"/>
      <c r="HF190" s="55"/>
      <c r="HG190" s="55"/>
      <c r="HH190" s="55"/>
      <c r="HI190" s="55"/>
      <c r="HJ190" s="55"/>
      <c r="HK190" s="55"/>
      <c r="HL190" s="55"/>
      <c r="HM190" s="55"/>
      <c r="HN190" s="55"/>
      <c r="HO190" s="55"/>
      <c r="HP190" s="55"/>
      <c r="HQ190" s="55"/>
      <c r="HR190" s="55"/>
      <c r="HS190" s="55"/>
      <c r="HT190" s="55"/>
      <c r="HU190" s="55"/>
      <c r="HV190" s="55"/>
      <c r="HW190" s="55"/>
      <c r="HX190" s="55"/>
      <c r="HY190" s="55"/>
      <c r="HZ190" s="55"/>
      <c r="IA190" s="55"/>
      <c r="IB190" s="55"/>
    </row>
    <row r="191" spans="1:236" ht="15" customHeight="1" x14ac:dyDescent="0.2">
      <c r="A191" s="70" t="s">
        <v>111</v>
      </c>
      <c r="B191" s="44" t="s">
        <v>184</v>
      </c>
      <c r="C191" s="45" t="s">
        <v>161</v>
      </c>
      <c r="D191" s="454"/>
      <c r="E191" s="55"/>
      <c r="F191" s="55"/>
      <c r="G191" s="55"/>
      <c r="H191" s="55"/>
      <c r="I191" s="55"/>
      <c r="J191" s="55"/>
      <c r="K191" s="55"/>
      <c r="L191" s="55"/>
      <c r="M191" s="55"/>
      <c r="N191" s="55"/>
      <c r="O191" s="55"/>
      <c r="P191" s="55"/>
      <c r="Q191" s="55"/>
      <c r="R191" s="55"/>
      <c r="S191" s="55"/>
      <c r="T191" s="55"/>
      <c r="U191" s="55"/>
      <c r="V191" s="55"/>
      <c r="W191" s="55"/>
      <c r="X191" s="55"/>
      <c r="Y191" s="55"/>
      <c r="Z191" s="55"/>
      <c r="AA191" s="55"/>
      <c r="AB191" s="55"/>
      <c r="AC191" s="55"/>
      <c r="AD191" s="55"/>
      <c r="AE191" s="55"/>
      <c r="AF191" s="55"/>
      <c r="AG191" s="55"/>
      <c r="AH191" s="55"/>
      <c r="AI191" s="55"/>
      <c r="AJ191" s="55"/>
      <c r="AK191" s="55"/>
      <c r="AL191" s="55"/>
      <c r="AM191" s="55"/>
      <c r="AN191" s="55"/>
      <c r="AO191" s="55"/>
      <c r="AP191" s="55"/>
      <c r="AQ191" s="55"/>
      <c r="AR191" s="55"/>
      <c r="AS191" s="55"/>
      <c r="AT191" s="55"/>
      <c r="AU191" s="55"/>
      <c r="AV191" s="55"/>
      <c r="AW191" s="55"/>
      <c r="AX191" s="55"/>
      <c r="AY191" s="55"/>
      <c r="AZ191" s="55"/>
      <c r="BA191" s="55"/>
      <c r="BB191" s="55"/>
      <c r="BC191" s="55"/>
      <c r="BD191" s="55"/>
      <c r="BE191" s="55"/>
      <c r="BF191" s="55"/>
      <c r="BG191" s="55"/>
      <c r="BH191" s="55"/>
      <c r="BI191" s="55"/>
      <c r="BJ191" s="55"/>
      <c r="BK191" s="55"/>
      <c r="BL191" s="55"/>
      <c r="BM191" s="55"/>
      <c r="BN191" s="55"/>
      <c r="BO191" s="55"/>
      <c r="BP191" s="55"/>
      <c r="BQ191" s="55"/>
      <c r="BR191" s="55"/>
      <c r="BS191" s="55"/>
      <c r="BT191" s="55"/>
      <c r="BU191" s="55"/>
      <c r="BV191" s="55"/>
      <c r="BW191" s="55"/>
      <c r="BX191" s="55"/>
      <c r="BY191" s="55"/>
      <c r="BZ191" s="55"/>
      <c r="CA191" s="55"/>
      <c r="CB191" s="55"/>
      <c r="CC191" s="55"/>
      <c r="CD191" s="55"/>
      <c r="CE191" s="55"/>
      <c r="CF191" s="55"/>
      <c r="CG191" s="55"/>
      <c r="CH191" s="55"/>
      <c r="CI191" s="55"/>
      <c r="CJ191" s="55"/>
      <c r="CK191" s="55"/>
      <c r="CL191" s="55"/>
      <c r="CM191" s="55"/>
      <c r="CN191" s="55"/>
      <c r="CO191" s="55"/>
      <c r="CP191" s="55"/>
      <c r="CQ191" s="55"/>
      <c r="CR191" s="55"/>
      <c r="CS191" s="55"/>
      <c r="CT191" s="55"/>
      <c r="CU191" s="55"/>
      <c r="CV191" s="55"/>
      <c r="CW191" s="55"/>
      <c r="CX191" s="55"/>
      <c r="CY191" s="55"/>
      <c r="CZ191" s="55"/>
      <c r="DA191" s="55"/>
      <c r="DB191" s="55"/>
      <c r="DC191" s="55"/>
      <c r="DD191" s="55"/>
      <c r="DE191" s="55"/>
      <c r="DF191" s="55"/>
      <c r="DG191" s="55"/>
      <c r="DH191" s="55"/>
      <c r="DI191" s="55"/>
      <c r="DJ191" s="55"/>
      <c r="DK191" s="55"/>
      <c r="DL191" s="55"/>
      <c r="DM191" s="55"/>
      <c r="DN191" s="55"/>
      <c r="DO191" s="55"/>
      <c r="DP191" s="55"/>
      <c r="DQ191" s="55"/>
      <c r="DR191" s="55"/>
      <c r="DS191" s="55"/>
      <c r="DT191" s="55"/>
      <c r="DU191" s="55"/>
      <c r="DV191" s="55"/>
      <c r="DW191" s="55"/>
      <c r="DX191" s="55"/>
      <c r="DY191" s="55"/>
      <c r="DZ191" s="55"/>
      <c r="EA191" s="55"/>
      <c r="EB191" s="55"/>
      <c r="EC191" s="55"/>
      <c r="ED191" s="55"/>
      <c r="EE191" s="55"/>
      <c r="EF191" s="55"/>
      <c r="EG191" s="55"/>
      <c r="EH191" s="55"/>
      <c r="EI191" s="55"/>
      <c r="EJ191" s="55"/>
      <c r="EK191" s="55"/>
      <c r="EL191" s="55"/>
      <c r="EM191" s="55"/>
      <c r="EN191" s="55"/>
      <c r="EO191" s="55"/>
      <c r="EP191" s="55"/>
      <c r="EQ191" s="55"/>
      <c r="ER191" s="55"/>
      <c r="ES191" s="55"/>
      <c r="ET191" s="55"/>
      <c r="EU191" s="55"/>
      <c r="EV191" s="55"/>
      <c r="EW191" s="55"/>
      <c r="EX191" s="55"/>
      <c r="EY191" s="55"/>
      <c r="EZ191" s="55"/>
      <c r="FA191" s="55"/>
      <c r="FB191" s="55"/>
      <c r="FC191" s="55"/>
      <c r="FD191" s="55"/>
      <c r="FE191" s="55"/>
      <c r="FF191" s="55"/>
      <c r="FG191" s="55"/>
      <c r="FH191" s="55"/>
      <c r="FI191" s="55"/>
      <c r="FJ191" s="55"/>
      <c r="FK191" s="55"/>
      <c r="FL191" s="55"/>
      <c r="FM191" s="55"/>
      <c r="FN191" s="55"/>
      <c r="FO191" s="55"/>
      <c r="FP191" s="55"/>
      <c r="FQ191" s="55"/>
      <c r="FR191" s="55"/>
      <c r="FS191" s="55"/>
      <c r="FT191" s="55"/>
      <c r="FU191" s="55"/>
      <c r="FV191" s="55"/>
      <c r="FW191" s="55"/>
      <c r="FX191" s="55"/>
      <c r="FY191" s="55"/>
      <c r="FZ191" s="55"/>
      <c r="GA191" s="55"/>
      <c r="GB191" s="55"/>
      <c r="GC191" s="55"/>
      <c r="GD191" s="55"/>
      <c r="GE191" s="55"/>
      <c r="GF191" s="55"/>
      <c r="GG191" s="55"/>
      <c r="GH191" s="55"/>
      <c r="GI191" s="55"/>
      <c r="GJ191" s="55"/>
      <c r="GK191" s="55"/>
      <c r="GL191" s="55"/>
      <c r="GM191" s="55"/>
      <c r="GN191" s="55"/>
      <c r="GO191" s="55"/>
      <c r="GP191" s="55"/>
      <c r="GQ191" s="55"/>
      <c r="GR191" s="55"/>
      <c r="GS191" s="55"/>
      <c r="GT191" s="55"/>
      <c r="GU191" s="55"/>
      <c r="GV191" s="55"/>
      <c r="GW191" s="55"/>
      <c r="GX191" s="55"/>
      <c r="GY191" s="55"/>
      <c r="GZ191" s="55"/>
      <c r="HA191" s="55"/>
      <c r="HB191" s="55"/>
      <c r="HC191" s="55"/>
      <c r="HD191" s="55"/>
      <c r="HE191" s="55"/>
      <c r="HF191" s="55"/>
      <c r="HG191" s="55"/>
      <c r="HH191" s="55"/>
      <c r="HI191" s="55"/>
      <c r="HJ191" s="55"/>
      <c r="HK191" s="55"/>
      <c r="HL191" s="55"/>
      <c r="HM191" s="55"/>
      <c r="HN191" s="55"/>
      <c r="HO191" s="55"/>
      <c r="HP191" s="55"/>
      <c r="HQ191" s="55"/>
      <c r="HR191" s="55"/>
      <c r="HS191" s="55"/>
      <c r="HT191" s="55"/>
      <c r="HU191" s="55"/>
      <c r="HV191" s="55"/>
      <c r="HW191" s="55"/>
      <c r="HX191" s="55"/>
      <c r="HY191" s="55"/>
      <c r="HZ191" s="55"/>
      <c r="IA191" s="55"/>
      <c r="IB191" s="55"/>
    </row>
    <row r="192" spans="1:236" ht="15" customHeight="1" x14ac:dyDescent="0.2">
      <c r="A192" s="70" t="s">
        <v>394</v>
      </c>
      <c r="B192" s="44" t="s">
        <v>185</v>
      </c>
      <c r="C192" s="45" t="s">
        <v>161</v>
      </c>
      <c r="D192" s="454"/>
      <c r="E192" s="55"/>
      <c r="F192" s="55"/>
      <c r="G192" s="55"/>
      <c r="H192" s="55"/>
      <c r="I192" s="55"/>
      <c r="J192" s="55"/>
      <c r="K192" s="55"/>
      <c r="L192" s="55"/>
      <c r="M192" s="55"/>
      <c r="N192" s="55"/>
      <c r="O192" s="55"/>
      <c r="P192" s="55"/>
      <c r="Q192" s="55"/>
      <c r="R192" s="55"/>
      <c r="S192" s="55"/>
      <c r="T192" s="55"/>
      <c r="U192" s="55"/>
      <c r="V192" s="55"/>
      <c r="W192" s="55"/>
      <c r="X192" s="55"/>
      <c r="Y192" s="55"/>
      <c r="Z192" s="55"/>
      <c r="AA192" s="55"/>
      <c r="AB192" s="55"/>
      <c r="AC192" s="55"/>
      <c r="AD192" s="55"/>
      <c r="AE192" s="55"/>
      <c r="AF192" s="55"/>
      <c r="AG192" s="55"/>
      <c r="AH192" s="55"/>
      <c r="AI192" s="55"/>
      <c r="AJ192" s="55"/>
      <c r="AK192" s="55"/>
      <c r="AL192" s="55"/>
      <c r="AM192" s="55"/>
      <c r="AN192" s="55"/>
      <c r="AO192" s="55"/>
      <c r="AP192" s="55"/>
      <c r="AQ192" s="55"/>
      <c r="AR192" s="55"/>
      <c r="AS192" s="55"/>
      <c r="AT192" s="55"/>
      <c r="AU192" s="55"/>
      <c r="AV192" s="55"/>
      <c r="AW192" s="55"/>
      <c r="AX192" s="55"/>
      <c r="AY192" s="55"/>
      <c r="AZ192" s="55"/>
      <c r="BA192" s="55"/>
      <c r="BB192" s="55"/>
      <c r="BC192" s="55"/>
      <c r="BD192" s="55"/>
      <c r="BE192" s="55"/>
      <c r="BF192" s="55"/>
      <c r="BG192" s="55"/>
      <c r="BH192" s="55"/>
      <c r="BI192" s="55"/>
      <c r="BJ192" s="55"/>
      <c r="BK192" s="55"/>
      <c r="BL192" s="55"/>
      <c r="BM192" s="55"/>
      <c r="BN192" s="55"/>
      <c r="BO192" s="55"/>
      <c r="BP192" s="55"/>
      <c r="BQ192" s="55"/>
      <c r="BR192" s="55"/>
      <c r="BS192" s="55"/>
      <c r="BT192" s="55"/>
      <c r="BU192" s="55"/>
      <c r="BV192" s="55"/>
      <c r="BW192" s="55"/>
      <c r="BX192" s="55"/>
      <c r="BY192" s="55"/>
      <c r="BZ192" s="55"/>
      <c r="CA192" s="55"/>
      <c r="CB192" s="55"/>
      <c r="CC192" s="55"/>
      <c r="CD192" s="55"/>
      <c r="CE192" s="55"/>
      <c r="CF192" s="55"/>
      <c r="CG192" s="55"/>
      <c r="CH192" s="55"/>
      <c r="CI192" s="55"/>
      <c r="CJ192" s="55"/>
      <c r="CK192" s="55"/>
      <c r="CL192" s="55"/>
      <c r="CM192" s="55"/>
      <c r="CN192" s="55"/>
      <c r="CO192" s="55"/>
      <c r="CP192" s="55"/>
      <c r="CQ192" s="55"/>
      <c r="CR192" s="55"/>
      <c r="CS192" s="55"/>
      <c r="CT192" s="55"/>
      <c r="CU192" s="55"/>
      <c r="CV192" s="55"/>
      <c r="CW192" s="55"/>
      <c r="CX192" s="55"/>
      <c r="CY192" s="55"/>
      <c r="CZ192" s="55"/>
      <c r="DA192" s="55"/>
      <c r="DB192" s="55"/>
      <c r="DC192" s="55"/>
      <c r="DD192" s="55"/>
      <c r="DE192" s="55"/>
      <c r="DF192" s="55"/>
      <c r="DG192" s="55"/>
      <c r="DH192" s="55"/>
      <c r="DI192" s="55"/>
      <c r="DJ192" s="55"/>
      <c r="DK192" s="55"/>
      <c r="DL192" s="55"/>
      <c r="DM192" s="55"/>
      <c r="DN192" s="55"/>
      <c r="DO192" s="55"/>
      <c r="DP192" s="55"/>
      <c r="DQ192" s="55"/>
      <c r="DR192" s="55"/>
      <c r="DS192" s="55"/>
      <c r="DT192" s="55"/>
      <c r="DU192" s="55"/>
      <c r="DV192" s="55"/>
      <c r="DW192" s="55"/>
      <c r="DX192" s="55"/>
      <c r="DY192" s="55"/>
      <c r="DZ192" s="55"/>
      <c r="EA192" s="55"/>
      <c r="EB192" s="55"/>
      <c r="EC192" s="55"/>
      <c r="ED192" s="55"/>
      <c r="EE192" s="55"/>
      <c r="EF192" s="55"/>
      <c r="EG192" s="55"/>
      <c r="EH192" s="55"/>
      <c r="EI192" s="55"/>
      <c r="EJ192" s="55"/>
      <c r="EK192" s="55"/>
      <c r="EL192" s="55"/>
      <c r="EM192" s="55"/>
      <c r="EN192" s="55"/>
      <c r="EO192" s="55"/>
      <c r="EP192" s="55"/>
      <c r="EQ192" s="55"/>
      <c r="ER192" s="55"/>
      <c r="ES192" s="55"/>
      <c r="ET192" s="55"/>
      <c r="EU192" s="55"/>
      <c r="EV192" s="55"/>
      <c r="EW192" s="55"/>
      <c r="EX192" s="55"/>
      <c r="EY192" s="55"/>
      <c r="EZ192" s="55"/>
      <c r="FA192" s="55"/>
      <c r="FB192" s="55"/>
      <c r="FC192" s="55"/>
      <c r="FD192" s="55"/>
      <c r="FE192" s="55"/>
      <c r="FF192" s="55"/>
      <c r="FG192" s="55"/>
      <c r="FH192" s="55"/>
      <c r="FI192" s="55"/>
      <c r="FJ192" s="55"/>
      <c r="FK192" s="55"/>
      <c r="FL192" s="55"/>
      <c r="FM192" s="55"/>
      <c r="FN192" s="55"/>
      <c r="FO192" s="55"/>
      <c r="FP192" s="55"/>
      <c r="FQ192" s="55"/>
      <c r="FR192" s="55"/>
      <c r="FS192" s="55"/>
      <c r="FT192" s="55"/>
      <c r="FU192" s="55"/>
      <c r="FV192" s="55"/>
      <c r="FW192" s="55"/>
      <c r="FX192" s="55"/>
      <c r="FY192" s="55"/>
      <c r="FZ192" s="55"/>
      <c r="GA192" s="55"/>
      <c r="GB192" s="55"/>
      <c r="GC192" s="55"/>
      <c r="GD192" s="55"/>
      <c r="GE192" s="55"/>
      <c r="GF192" s="55"/>
      <c r="GG192" s="55"/>
      <c r="GH192" s="55"/>
      <c r="GI192" s="55"/>
      <c r="GJ192" s="55"/>
      <c r="GK192" s="55"/>
      <c r="GL192" s="55"/>
      <c r="GM192" s="55"/>
      <c r="GN192" s="55"/>
      <c r="GO192" s="55"/>
      <c r="GP192" s="55"/>
      <c r="GQ192" s="55"/>
      <c r="GR192" s="55"/>
      <c r="GS192" s="55"/>
      <c r="GT192" s="55"/>
      <c r="GU192" s="55"/>
      <c r="GV192" s="55"/>
      <c r="GW192" s="55"/>
      <c r="GX192" s="55"/>
      <c r="GY192" s="55"/>
      <c r="GZ192" s="55"/>
      <c r="HA192" s="55"/>
      <c r="HB192" s="55"/>
      <c r="HC192" s="55"/>
      <c r="HD192" s="55"/>
      <c r="HE192" s="55"/>
      <c r="HF192" s="55"/>
      <c r="HG192" s="55"/>
      <c r="HH192" s="55"/>
      <c r="HI192" s="55"/>
      <c r="HJ192" s="55"/>
      <c r="HK192" s="55"/>
      <c r="HL192" s="55"/>
      <c r="HM192" s="55"/>
      <c r="HN192" s="55"/>
      <c r="HO192" s="55"/>
      <c r="HP192" s="55"/>
      <c r="HQ192" s="55"/>
      <c r="HR192" s="55"/>
      <c r="HS192" s="55"/>
      <c r="HT192" s="55"/>
      <c r="HU192" s="55"/>
      <c r="HV192" s="55"/>
      <c r="HW192" s="55"/>
      <c r="HX192" s="55"/>
      <c r="HY192" s="55"/>
      <c r="HZ192" s="55"/>
      <c r="IA192" s="55"/>
      <c r="IB192" s="55"/>
    </row>
    <row r="193" spans="1:236" ht="15" customHeight="1" x14ac:dyDescent="0.2">
      <c r="A193" s="70" t="s">
        <v>395</v>
      </c>
      <c r="B193" s="44" t="s">
        <v>186</v>
      </c>
      <c r="C193" s="45" t="s">
        <v>161</v>
      </c>
      <c r="D193" s="454"/>
      <c r="E193" s="55"/>
      <c r="F193" s="331"/>
      <c r="G193" s="55"/>
      <c r="H193" s="55"/>
      <c r="I193" s="55"/>
      <c r="J193" s="55"/>
      <c r="K193" s="55"/>
      <c r="L193" s="55"/>
      <c r="M193" s="55"/>
      <c r="N193" s="55"/>
      <c r="O193" s="55"/>
      <c r="P193" s="55"/>
      <c r="Q193" s="55"/>
      <c r="R193" s="55"/>
      <c r="S193" s="55"/>
      <c r="T193" s="55"/>
      <c r="U193" s="55"/>
      <c r="V193" s="55"/>
      <c r="W193" s="55"/>
      <c r="X193" s="55"/>
      <c r="Y193" s="55"/>
      <c r="Z193" s="55"/>
      <c r="AA193" s="55"/>
      <c r="AB193" s="55"/>
      <c r="AC193" s="55"/>
      <c r="AD193" s="55"/>
      <c r="AE193" s="55"/>
      <c r="AF193" s="55"/>
      <c r="AG193" s="55"/>
      <c r="AH193" s="55"/>
      <c r="AI193" s="55"/>
      <c r="AJ193" s="55"/>
      <c r="AK193" s="55"/>
      <c r="AL193" s="55"/>
      <c r="AM193" s="55"/>
      <c r="AN193" s="55"/>
      <c r="AO193" s="55"/>
      <c r="AP193" s="55"/>
      <c r="AQ193" s="55"/>
      <c r="AR193" s="55"/>
      <c r="AS193" s="55"/>
      <c r="AT193" s="55"/>
      <c r="AU193" s="55"/>
      <c r="AV193" s="55"/>
      <c r="AW193" s="55"/>
      <c r="AX193" s="55"/>
      <c r="AY193" s="55"/>
      <c r="AZ193" s="55"/>
      <c r="BA193" s="55"/>
      <c r="BB193" s="55"/>
      <c r="BC193" s="55"/>
      <c r="BD193" s="55"/>
      <c r="BE193" s="55"/>
      <c r="BF193" s="55"/>
      <c r="BG193" s="55"/>
      <c r="BH193" s="55"/>
      <c r="BI193" s="55"/>
      <c r="BJ193" s="55"/>
      <c r="BK193" s="55"/>
      <c r="BL193" s="55"/>
      <c r="BM193" s="55"/>
      <c r="BN193" s="55"/>
      <c r="BO193" s="55"/>
      <c r="BP193" s="55"/>
      <c r="BQ193" s="55"/>
      <c r="BR193" s="55"/>
      <c r="BS193" s="55"/>
      <c r="BT193" s="55"/>
      <c r="BU193" s="55"/>
      <c r="BV193" s="55"/>
      <c r="BW193" s="55"/>
      <c r="BX193" s="55"/>
      <c r="BY193" s="55"/>
      <c r="BZ193" s="55"/>
      <c r="CA193" s="55"/>
      <c r="CB193" s="55"/>
      <c r="CC193" s="55"/>
      <c r="CD193" s="55"/>
      <c r="CE193" s="55"/>
      <c r="CF193" s="55"/>
      <c r="CG193" s="55"/>
      <c r="CH193" s="55"/>
      <c r="CI193" s="55"/>
      <c r="CJ193" s="55"/>
      <c r="CK193" s="55"/>
      <c r="CL193" s="55"/>
      <c r="CM193" s="55"/>
      <c r="CN193" s="55"/>
      <c r="CO193" s="55"/>
      <c r="CP193" s="55"/>
      <c r="CQ193" s="55"/>
      <c r="CR193" s="55"/>
      <c r="CS193" s="55"/>
      <c r="CT193" s="55"/>
      <c r="CU193" s="55"/>
      <c r="CV193" s="55"/>
      <c r="CW193" s="55"/>
      <c r="CX193" s="55"/>
      <c r="CY193" s="55"/>
      <c r="CZ193" s="55"/>
      <c r="DA193" s="55"/>
      <c r="DB193" s="55"/>
      <c r="DC193" s="55"/>
      <c r="DD193" s="55"/>
      <c r="DE193" s="55"/>
      <c r="DF193" s="55"/>
      <c r="DG193" s="55"/>
      <c r="DH193" s="55"/>
      <c r="DI193" s="55"/>
      <c r="DJ193" s="55"/>
      <c r="DK193" s="55"/>
      <c r="DL193" s="55"/>
      <c r="DM193" s="55"/>
      <c r="DN193" s="55"/>
      <c r="DO193" s="55"/>
      <c r="DP193" s="55"/>
      <c r="DQ193" s="55"/>
      <c r="DR193" s="55"/>
      <c r="DS193" s="55"/>
      <c r="DT193" s="55"/>
      <c r="DU193" s="55"/>
      <c r="DV193" s="55"/>
      <c r="DW193" s="55"/>
      <c r="DX193" s="55"/>
      <c r="DY193" s="55"/>
      <c r="DZ193" s="55"/>
      <c r="EA193" s="55"/>
      <c r="EB193" s="55"/>
      <c r="EC193" s="55"/>
      <c r="ED193" s="55"/>
      <c r="EE193" s="55"/>
      <c r="EF193" s="55"/>
      <c r="EG193" s="55"/>
      <c r="EH193" s="55"/>
      <c r="EI193" s="55"/>
      <c r="EJ193" s="55"/>
      <c r="EK193" s="55"/>
      <c r="EL193" s="55"/>
      <c r="EM193" s="55"/>
      <c r="EN193" s="55"/>
      <c r="EO193" s="55"/>
      <c r="EP193" s="55"/>
      <c r="EQ193" s="55"/>
      <c r="ER193" s="55"/>
      <c r="ES193" s="55"/>
      <c r="ET193" s="55"/>
      <c r="EU193" s="55"/>
      <c r="EV193" s="55"/>
      <c r="EW193" s="55"/>
      <c r="EX193" s="55"/>
      <c r="EY193" s="55"/>
      <c r="EZ193" s="55"/>
      <c r="FA193" s="55"/>
      <c r="FB193" s="55"/>
      <c r="FC193" s="55"/>
      <c r="FD193" s="55"/>
      <c r="FE193" s="55"/>
      <c r="FF193" s="55"/>
      <c r="FG193" s="55"/>
      <c r="FH193" s="55"/>
      <c r="FI193" s="55"/>
      <c r="FJ193" s="55"/>
      <c r="FK193" s="55"/>
      <c r="FL193" s="55"/>
      <c r="FM193" s="55"/>
      <c r="FN193" s="55"/>
      <c r="FO193" s="55"/>
      <c r="FP193" s="55"/>
      <c r="FQ193" s="55"/>
      <c r="FR193" s="55"/>
      <c r="FS193" s="55"/>
      <c r="FT193" s="55"/>
      <c r="FU193" s="55"/>
      <c r="FV193" s="55"/>
      <c r="FW193" s="55"/>
      <c r="FX193" s="55"/>
      <c r="FY193" s="55"/>
      <c r="FZ193" s="55"/>
      <c r="GA193" s="55"/>
      <c r="GB193" s="55"/>
      <c r="GC193" s="55"/>
      <c r="GD193" s="55"/>
      <c r="GE193" s="55"/>
      <c r="GF193" s="55"/>
      <c r="GG193" s="55"/>
      <c r="GH193" s="55"/>
      <c r="GI193" s="55"/>
      <c r="GJ193" s="55"/>
      <c r="GK193" s="55"/>
      <c r="GL193" s="55"/>
      <c r="GM193" s="55"/>
      <c r="GN193" s="55"/>
      <c r="GO193" s="55"/>
      <c r="GP193" s="55"/>
      <c r="GQ193" s="55"/>
      <c r="GR193" s="55"/>
      <c r="GS193" s="55"/>
      <c r="GT193" s="55"/>
      <c r="GU193" s="55"/>
      <c r="GV193" s="55"/>
      <c r="GW193" s="55"/>
      <c r="GX193" s="55"/>
      <c r="GY193" s="55"/>
      <c r="GZ193" s="55"/>
      <c r="HA193" s="55"/>
      <c r="HB193" s="55"/>
      <c r="HC193" s="55"/>
      <c r="HD193" s="55"/>
      <c r="HE193" s="55"/>
      <c r="HF193" s="55"/>
      <c r="HG193" s="55"/>
      <c r="HH193" s="55"/>
      <c r="HI193" s="55"/>
      <c r="HJ193" s="55"/>
      <c r="HK193" s="55"/>
      <c r="HL193" s="55"/>
      <c r="HM193" s="55"/>
      <c r="HN193" s="55"/>
      <c r="HO193" s="55"/>
      <c r="HP193" s="55"/>
      <c r="HQ193" s="55"/>
      <c r="HR193" s="55"/>
      <c r="HS193" s="55"/>
      <c r="HT193" s="55"/>
      <c r="HU193" s="55"/>
      <c r="HV193" s="55"/>
      <c r="HW193" s="55"/>
      <c r="HX193" s="55"/>
      <c r="HY193" s="55"/>
      <c r="HZ193" s="55"/>
      <c r="IA193" s="55"/>
      <c r="IB193" s="55"/>
    </row>
    <row r="194" spans="1:236" ht="15" customHeight="1" x14ac:dyDescent="0.2">
      <c r="A194" s="70" t="s">
        <v>396</v>
      </c>
      <c r="B194" s="44" t="s">
        <v>187</v>
      </c>
      <c r="C194" s="45" t="s">
        <v>161</v>
      </c>
      <c r="D194" s="454"/>
      <c r="E194" s="55"/>
      <c r="F194" s="55"/>
      <c r="G194" s="55"/>
      <c r="H194" s="55"/>
      <c r="I194" s="55"/>
      <c r="J194" s="55"/>
      <c r="K194" s="55"/>
      <c r="L194" s="55"/>
      <c r="M194" s="55"/>
      <c r="N194" s="55"/>
      <c r="O194" s="55"/>
      <c r="P194" s="55"/>
      <c r="Q194" s="55"/>
      <c r="R194" s="55"/>
      <c r="S194" s="55"/>
      <c r="T194" s="55"/>
      <c r="U194" s="55"/>
      <c r="V194" s="55"/>
      <c r="W194" s="55"/>
      <c r="X194" s="55"/>
      <c r="Y194" s="55"/>
      <c r="Z194" s="55"/>
      <c r="AA194" s="55"/>
      <c r="AB194" s="55"/>
      <c r="AC194" s="55"/>
      <c r="AD194" s="55"/>
      <c r="AE194" s="55"/>
      <c r="AF194" s="55"/>
      <c r="AG194" s="55"/>
      <c r="AH194" s="55"/>
      <c r="AI194" s="55"/>
      <c r="AJ194" s="55"/>
      <c r="AK194" s="55"/>
      <c r="AL194" s="55"/>
      <c r="AM194" s="55"/>
      <c r="AN194" s="55"/>
      <c r="AO194" s="55"/>
      <c r="AP194" s="55"/>
      <c r="AQ194" s="55"/>
      <c r="AR194" s="55"/>
      <c r="AS194" s="55"/>
      <c r="AT194" s="55"/>
      <c r="AU194" s="55"/>
      <c r="AV194" s="55"/>
      <c r="AW194" s="55"/>
      <c r="AX194" s="55"/>
      <c r="AY194" s="55"/>
      <c r="AZ194" s="55"/>
      <c r="BA194" s="55"/>
      <c r="BB194" s="55"/>
      <c r="BC194" s="55"/>
      <c r="BD194" s="55"/>
      <c r="BE194" s="55"/>
      <c r="BF194" s="55"/>
      <c r="BG194" s="55"/>
      <c r="BH194" s="55"/>
      <c r="BI194" s="55"/>
      <c r="BJ194" s="55"/>
      <c r="BK194" s="55"/>
      <c r="BL194" s="55"/>
      <c r="BM194" s="55"/>
      <c r="BN194" s="55"/>
      <c r="BO194" s="55"/>
      <c r="BP194" s="55"/>
      <c r="BQ194" s="55"/>
      <c r="BR194" s="55"/>
      <c r="BS194" s="55"/>
      <c r="BT194" s="55"/>
      <c r="BU194" s="55"/>
      <c r="BV194" s="55"/>
      <c r="BW194" s="55"/>
      <c r="BX194" s="55"/>
      <c r="BY194" s="55"/>
      <c r="BZ194" s="55"/>
      <c r="CA194" s="55"/>
      <c r="CB194" s="55"/>
      <c r="CC194" s="55"/>
      <c r="CD194" s="55"/>
      <c r="CE194" s="55"/>
      <c r="CF194" s="55"/>
      <c r="CG194" s="55"/>
      <c r="CH194" s="55"/>
      <c r="CI194" s="55"/>
      <c r="CJ194" s="55"/>
      <c r="CK194" s="55"/>
      <c r="CL194" s="55"/>
      <c r="CM194" s="55"/>
      <c r="CN194" s="55"/>
      <c r="CO194" s="55"/>
      <c r="CP194" s="55"/>
      <c r="CQ194" s="55"/>
      <c r="CR194" s="55"/>
      <c r="CS194" s="55"/>
      <c r="CT194" s="55"/>
      <c r="CU194" s="55"/>
      <c r="CV194" s="55"/>
      <c r="CW194" s="55"/>
      <c r="CX194" s="55"/>
      <c r="CY194" s="55"/>
      <c r="CZ194" s="55"/>
      <c r="DA194" s="55"/>
      <c r="DB194" s="55"/>
      <c r="DC194" s="55"/>
      <c r="DD194" s="55"/>
      <c r="DE194" s="55"/>
      <c r="DF194" s="55"/>
      <c r="DG194" s="55"/>
      <c r="DH194" s="55"/>
      <c r="DI194" s="55"/>
      <c r="DJ194" s="55"/>
      <c r="DK194" s="55"/>
      <c r="DL194" s="55"/>
      <c r="DM194" s="55"/>
      <c r="DN194" s="55"/>
      <c r="DO194" s="55"/>
      <c r="DP194" s="55"/>
      <c r="DQ194" s="55"/>
      <c r="DR194" s="55"/>
      <c r="DS194" s="55"/>
      <c r="DT194" s="55"/>
      <c r="DU194" s="55"/>
      <c r="DV194" s="55"/>
      <c r="DW194" s="55"/>
      <c r="DX194" s="55"/>
      <c r="DY194" s="55"/>
      <c r="DZ194" s="55"/>
      <c r="EA194" s="55"/>
      <c r="EB194" s="55"/>
      <c r="EC194" s="55"/>
      <c r="ED194" s="55"/>
      <c r="EE194" s="55"/>
      <c r="EF194" s="55"/>
      <c r="EG194" s="55"/>
      <c r="EH194" s="55"/>
      <c r="EI194" s="55"/>
      <c r="EJ194" s="55"/>
      <c r="EK194" s="55"/>
      <c r="EL194" s="55"/>
      <c r="EM194" s="55"/>
      <c r="EN194" s="55"/>
      <c r="EO194" s="55"/>
      <c r="EP194" s="55"/>
      <c r="EQ194" s="55"/>
      <c r="ER194" s="55"/>
      <c r="ES194" s="55"/>
      <c r="ET194" s="55"/>
      <c r="EU194" s="55"/>
      <c r="EV194" s="55"/>
      <c r="EW194" s="55"/>
      <c r="EX194" s="55"/>
      <c r="EY194" s="55"/>
      <c r="EZ194" s="55"/>
      <c r="FA194" s="55"/>
      <c r="FB194" s="55"/>
      <c r="FC194" s="55"/>
      <c r="FD194" s="55"/>
      <c r="FE194" s="55"/>
      <c r="FF194" s="55"/>
      <c r="FG194" s="55"/>
      <c r="FH194" s="55"/>
      <c r="FI194" s="55"/>
      <c r="FJ194" s="55"/>
      <c r="FK194" s="55"/>
      <c r="FL194" s="55"/>
      <c r="FM194" s="55"/>
      <c r="FN194" s="55"/>
      <c r="FO194" s="55"/>
      <c r="FP194" s="55"/>
      <c r="FQ194" s="55"/>
      <c r="FR194" s="55"/>
      <c r="FS194" s="55"/>
      <c r="FT194" s="55"/>
      <c r="FU194" s="55"/>
      <c r="FV194" s="55"/>
      <c r="FW194" s="55"/>
      <c r="FX194" s="55"/>
      <c r="FY194" s="55"/>
      <c r="FZ194" s="55"/>
      <c r="GA194" s="55"/>
      <c r="GB194" s="55"/>
      <c r="GC194" s="55"/>
      <c r="GD194" s="55"/>
      <c r="GE194" s="55"/>
      <c r="GF194" s="55"/>
      <c r="GG194" s="55"/>
      <c r="GH194" s="55"/>
      <c r="GI194" s="55"/>
      <c r="GJ194" s="55"/>
      <c r="GK194" s="55"/>
      <c r="GL194" s="55"/>
      <c r="GM194" s="55"/>
      <c r="GN194" s="55"/>
      <c r="GO194" s="55"/>
      <c r="GP194" s="55"/>
      <c r="GQ194" s="55"/>
      <c r="GR194" s="55"/>
      <c r="GS194" s="55"/>
      <c r="GT194" s="55"/>
      <c r="GU194" s="55"/>
      <c r="GV194" s="55"/>
      <c r="GW194" s="55"/>
      <c r="GX194" s="55"/>
      <c r="GY194" s="55"/>
      <c r="GZ194" s="55"/>
      <c r="HA194" s="55"/>
      <c r="HB194" s="55"/>
      <c r="HC194" s="55"/>
      <c r="HD194" s="55"/>
      <c r="HE194" s="55"/>
      <c r="HF194" s="55"/>
      <c r="HG194" s="55"/>
      <c r="HH194" s="55"/>
      <c r="HI194" s="55"/>
      <c r="HJ194" s="55"/>
      <c r="HK194" s="55"/>
      <c r="HL194" s="55"/>
      <c r="HM194" s="55"/>
      <c r="HN194" s="55"/>
      <c r="HO194" s="55"/>
      <c r="HP194" s="55"/>
      <c r="HQ194" s="55"/>
      <c r="HR194" s="55"/>
      <c r="HS194" s="55"/>
      <c r="HT194" s="55"/>
      <c r="HU194" s="55"/>
      <c r="HV194" s="55"/>
      <c r="HW194" s="55"/>
      <c r="HX194" s="55"/>
      <c r="HY194" s="55"/>
      <c r="HZ194" s="55"/>
      <c r="IA194" s="55"/>
      <c r="IB194" s="55"/>
    </row>
    <row r="195" spans="1:236" ht="15" customHeight="1" x14ac:dyDescent="0.2">
      <c r="A195" s="70" t="s">
        <v>397</v>
      </c>
      <c r="B195" s="44" t="s">
        <v>188</v>
      </c>
      <c r="C195" s="45" t="s">
        <v>161</v>
      </c>
      <c r="D195" s="454"/>
      <c r="E195" s="55"/>
      <c r="F195" s="55"/>
      <c r="G195" s="55"/>
      <c r="H195" s="55"/>
      <c r="I195" s="55"/>
      <c r="J195" s="55"/>
      <c r="K195" s="55"/>
      <c r="L195" s="55"/>
      <c r="M195" s="55"/>
      <c r="N195" s="55"/>
      <c r="O195" s="55"/>
      <c r="P195" s="55"/>
      <c r="Q195" s="55"/>
      <c r="R195" s="55"/>
      <c r="S195" s="55"/>
      <c r="T195" s="55"/>
      <c r="U195" s="55"/>
      <c r="V195" s="55"/>
      <c r="W195" s="55"/>
      <c r="X195" s="55"/>
      <c r="Y195" s="55"/>
      <c r="Z195" s="55"/>
      <c r="AA195" s="55"/>
      <c r="AB195" s="55"/>
      <c r="AC195" s="55"/>
      <c r="AD195" s="55"/>
      <c r="AE195" s="55"/>
      <c r="AF195" s="55"/>
      <c r="AG195" s="55"/>
      <c r="AH195" s="55"/>
      <c r="AI195" s="55"/>
      <c r="AJ195" s="55"/>
      <c r="AK195" s="55"/>
      <c r="AL195" s="55"/>
      <c r="AM195" s="55"/>
      <c r="AN195" s="55"/>
      <c r="AO195" s="55"/>
      <c r="AP195" s="55"/>
      <c r="AQ195" s="55"/>
      <c r="AR195" s="55"/>
      <c r="AS195" s="55"/>
      <c r="AT195" s="55"/>
      <c r="AU195" s="55"/>
      <c r="AV195" s="55"/>
      <c r="AW195" s="55"/>
      <c r="AX195" s="55"/>
      <c r="AY195" s="55"/>
      <c r="AZ195" s="55"/>
      <c r="BA195" s="55"/>
      <c r="BB195" s="55"/>
      <c r="BC195" s="55"/>
      <c r="BD195" s="55"/>
      <c r="BE195" s="55"/>
      <c r="BF195" s="55"/>
      <c r="BG195" s="55"/>
      <c r="BH195" s="55"/>
      <c r="BI195" s="55"/>
      <c r="BJ195" s="55"/>
      <c r="BK195" s="55"/>
      <c r="BL195" s="55"/>
      <c r="BM195" s="55"/>
      <c r="BN195" s="55"/>
      <c r="BO195" s="55"/>
      <c r="BP195" s="55"/>
      <c r="BQ195" s="55"/>
      <c r="BR195" s="55"/>
      <c r="BS195" s="55"/>
      <c r="BT195" s="55"/>
      <c r="BU195" s="55"/>
      <c r="BV195" s="55"/>
      <c r="BW195" s="55"/>
      <c r="BX195" s="55"/>
      <c r="BY195" s="55"/>
      <c r="BZ195" s="55"/>
      <c r="CA195" s="55"/>
      <c r="CB195" s="55"/>
      <c r="CC195" s="55"/>
      <c r="CD195" s="55"/>
      <c r="CE195" s="55"/>
      <c r="CF195" s="55"/>
      <c r="CG195" s="55"/>
      <c r="CH195" s="55"/>
      <c r="CI195" s="55"/>
      <c r="CJ195" s="55"/>
      <c r="CK195" s="55"/>
      <c r="CL195" s="55"/>
      <c r="CM195" s="55"/>
      <c r="CN195" s="55"/>
      <c r="CO195" s="55"/>
      <c r="CP195" s="55"/>
      <c r="CQ195" s="55"/>
      <c r="CR195" s="55"/>
      <c r="CS195" s="55"/>
      <c r="CT195" s="55"/>
      <c r="CU195" s="55"/>
      <c r="CV195" s="55"/>
      <c r="CW195" s="55"/>
      <c r="CX195" s="55"/>
      <c r="CY195" s="55"/>
      <c r="CZ195" s="55"/>
      <c r="DA195" s="55"/>
      <c r="DB195" s="55"/>
      <c r="DC195" s="55"/>
      <c r="DD195" s="55"/>
      <c r="DE195" s="55"/>
      <c r="DF195" s="55"/>
      <c r="DG195" s="55"/>
      <c r="DH195" s="55"/>
      <c r="DI195" s="55"/>
      <c r="DJ195" s="55"/>
      <c r="DK195" s="55"/>
      <c r="DL195" s="55"/>
      <c r="DM195" s="55"/>
      <c r="DN195" s="55"/>
      <c r="DO195" s="55"/>
      <c r="DP195" s="55"/>
      <c r="DQ195" s="55"/>
      <c r="DR195" s="55"/>
      <c r="DS195" s="55"/>
      <c r="DT195" s="55"/>
      <c r="DU195" s="55"/>
      <c r="DV195" s="55"/>
      <c r="DW195" s="55"/>
      <c r="DX195" s="55"/>
      <c r="DY195" s="55"/>
      <c r="DZ195" s="55"/>
      <c r="EA195" s="55"/>
      <c r="EB195" s="55"/>
      <c r="EC195" s="55"/>
      <c r="ED195" s="55"/>
      <c r="EE195" s="55"/>
      <c r="EF195" s="55"/>
      <c r="EG195" s="55"/>
      <c r="EH195" s="55"/>
      <c r="EI195" s="55"/>
      <c r="EJ195" s="55"/>
      <c r="EK195" s="55"/>
      <c r="EL195" s="55"/>
      <c r="EM195" s="55"/>
      <c r="EN195" s="55"/>
      <c r="EO195" s="55"/>
      <c r="EP195" s="55"/>
      <c r="EQ195" s="55"/>
      <c r="ER195" s="55"/>
      <c r="ES195" s="55"/>
      <c r="ET195" s="55"/>
      <c r="EU195" s="55"/>
      <c r="EV195" s="55"/>
      <c r="EW195" s="55"/>
      <c r="EX195" s="55"/>
      <c r="EY195" s="55"/>
      <c r="EZ195" s="55"/>
      <c r="FA195" s="55"/>
      <c r="FB195" s="55"/>
      <c r="FC195" s="55"/>
      <c r="FD195" s="55"/>
      <c r="FE195" s="55"/>
      <c r="FF195" s="55"/>
      <c r="FG195" s="55"/>
      <c r="FH195" s="55"/>
      <c r="FI195" s="55"/>
      <c r="FJ195" s="55"/>
      <c r="FK195" s="55"/>
      <c r="FL195" s="55"/>
      <c r="FM195" s="55"/>
      <c r="FN195" s="55"/>
      <c r="FO195" s="55"/>
      <c r="FP195" s="55"/>
      <c r="FQ195" s="55"/>
      <c r="FR195" s="55"/>
      <c r="FS195" s="55"/>
      <c r="FT195" s="55"/>
      <c r="FU195" s="55"/>
      <c r="FV195" s="55"/>
      <c r="FW195" s="55"/>
      <c r="FX195" s="55"/>
      <c r="FY195" s="55"/>
      <c r="FZ195" s="55"/>
      <c r="GA195" s="55"/>
      <c r="GB195" s="55"/>
      <c r="GC195" s="55"/>
      <c r="GD195" s="55"/>
      <c r="GE195" s="55"/>
      <c r="GF195" s="55"/>
      <c r="GG195" s="55"/>
      <c r="GH195" s="55"/>
      <c r="GI195" s="55"/>
      <c r="GJ195" s="55"/>
      <c r="GK195" s="55"/>
      <c r="GL195" s="55"/>
      <c r="GM195" s="55"/>
      <c r="GN195" s="55"/>
      <c r="GO195" s="55"/>
      <c r="GP195" s="55"/>
      <c r="GQ195" s="55"/>
      <c r="GR195" s="55"/>
      <c r="GS195" s="55"/>
      <c r="GT195" s="55"/>
      <c r="GU195" s="55"/>
      <c r="GV195" s="55"/>
      <c r="GW195" s="55"/>
      <c r="GX195" s="55"/>
      <c r="GY195" s="55"/>
      <c r="GZ195" s="55"/>
      <c r="HA195" s="55"/>
      <c r="HB195" s="55"/>
      <c r="HC195" s="55"/>
      <c r="HD195" s="55"/>
      <c r="HE195" s="55"/>
      <c r="HF195" s="55"/>
      <c r="HG195" s="55"/>
      <c r="HH195" s="55"/>
      <c r="HI195" s="55"/>
      <c r="HJ195" s="55"/>
      <c r="HK195" s="55"/>
      <c r="HL195" s="55"/>
      <c r="HM195" s="55"/>
      <c r="HN195" s="55"/>
      <c r="HO195" s="55"/>
      <c r="HP195" s="55"/>
      <c r="HQ195" s="55"/>
      <c r="HR195" s="55"/>
      <c r="HS195" s="55"/>
      <c r="HT195" s="55"/>
      <c r="HU195" s="55"/>
      <c r="HV195" s="55"/>
      <c r="HW195" s="55"/>
      <c r="HX195" s="55"/>
      <c r="HY195" s="55"/>
      <c r="HZ195" s="55"/>
      <c r="IA195" s="55"/>
      <c r="IB195" s="55"/>
    </row>
    <row r="196" spans="1:236" ht="15" customHeight="1" x14ac:dyDescent="0.2">
      <c r="A196" s="70" t="s">
        <v>398</v>
      </c>
      <c r="B196" s="44" t="s">
        <v>189</v>
      </c>
      <c r="C196" s="45" t="s">
        <v>161</v>
      </c>
      <c r="D196" s="454"/>
      <c r="E196" s="55"/>
      <c r="F196" s="55"/>
      <c r="G196" s="55"/>
      <c r="H196" s="55"/>
      <c r="I196" s="55"/>
      <c r="J196" s="55"/>
      <c r="K196" s="55"/>
      <c r="L196" s="55"/>
      <c r="M196" s="55"/>
      <c r="N196" s="55"/>
      <c r="O196" s="55"/>
      <c r="P196" s="55"/>
      <c r="Q196" s="55"/>
      <c r="R196" s="55"/>
      <c r="S196" s="55"/>
      <c r="T196" s="55"/>
      <c r="U196" s="55"/>
      <c r="V196" s="55"/>
      <c r="W196" s="55"/>
      <c r="X196" s="55"/>
      <c r="Y196" s="55"/>
      <c r="Z196" s="55"/>
      <c r="AA196" s="55"/>
      <c r="AB196" s="55"/>
      <c r="AC196" s="55"/>
      <c r="AD196" s="55"/>
      <c r="AE196" s="55"/>
      <c r="AF196" s="55"/>
      <c r="AG196" s="55"/>
      <c r="AH196" s="55"/>
      <c r="AI196" s="55"/>
      <c r="AJ196" s="55"/>
      <c r="AK196" s="55"/>
      <c r="AL196" s="55"/>
      <c r="AM196" s="55"/>
      <c r="AN196" s="55"/>
      <c r="AO196" s="55"/>
      <c r="AP196" s="55"/>
      <c r="AQ196" s="55"/>
      <c r="AR196" s="55"/>
      <c r="AS196" s="55"/>
      <c r="AT196" s="55"/>
      <c r="AU196" s="55"/>
      <c r="AV196" s="55"/>
      <c r="AW196" s="55"/>
      <c r="AX196" s="55"/>
      <c r="AY196" s="55"/>
      <c r="AZ196" s="55"/>
      <c r="BA196" s="55"/>
      <c r="BB196" s="55"/>
      <c r="BC196" s="55"/>
      <c r="BD196" s="55"/>
      <c r="BE196" s="55"/>
      <c r="BF196" s="55"/>
      <c r="BG196" s="55"/>
      <c r="BH196" s="55"/>
      <c r="BI196" s="55"/>
      <c r="BJ196" s="55"/>
      <c r="BK196" s="55"/>
      <c r="BL196" s="55"/>
      <c r="BM196" s="55"/>
      <c r="BN196" s="55"/>
      <c r="BO196" s="55"/>
      <c r="BP196" s="55"/>
      <c r="BQ196" s="55"/>
      <c r="BR196" s="55"/>
      <c r="BS196" s="55"/>
      <c r="BT196" s="55"/>
      <c r="BU196" s="55"/>
      <c r="BV196" s="55"/>
      <c r="BW196" s="55"/>
      <c r="BX196" s="55"/>
      <c r="BY196" s="55"/>
      <c r="BZ196" s="55"/>
      <c r="CA196" s="55"/>
      <c r="CB196" s="55"/>
      <c r="CC196" s="55"/>
      <c r="CD196" s="55"/>
      <c r="CE196" s="55"/>
      <c r="CF196" s="55"/>
      <c r="CG196" s="55"/>
      <c r="CH196" s="55"/>
      <c r="CI196" s="55"/>
      <c r="CJ196" s="55"/>
      <c r="CK196" s="55"/>
      <c r="CL196" s="55"/>
      <c r="CM196" s="55"/>
      <c r="CN196" s="55"/>
      <c r="CO196" s="55"/>
      <c r="CP196" s="55"/>
      <c r="CQ196" s="55"/>
      <c r="CR196" s="55"/>
      <c r="CS196" s="55"/>
      <c r="CT196" s="55"/>
      <c r="CU196" s="55"/>
      <c r="CV196" s="55"/>
      <c r="CW196" s="55"/>
      <c r="CX196" s="55"/>
      <c r="CY196" s="55"/>
      <c r="CZ196" s="55"/>
      <c r="DA196" s="55"/>
      <c r="DB196" s="55"/>
      <c r="DC196" s="55"/>
      <c r="DD196" s="55"/>
      <c r="DE196" s="55"/>
      <c r="DF196" s="55"/>
      <c r="DG196" s="55"/>
      <c r="DH196" s="55"/>
      <c r="DI196" s="55"/>
      <c r="DJ196" s="55"/>
      <c r="DK196" s="55"/>
      <c r="DL196" s="55"/>
      <c r="DM196" s="55"/>
      <c r="DN196" s="55"/>
      <c r="DO196" s="55"/>
      <c r="DP196" s="55"/>
      <c r="DQ196" s="55"/>
      <c r="DR196" s="55"/>
      <c r="DS196" s="55"/>
      <c r="DT196" s="55"/>
      <c r="DU196" s="55"/>
      <c r="DV196" s="55"/>
      <c r="DW196" s="55"/>
      <c r="DX196" s="55"/>
      <c r="DY196" s="55"/>
      <c r="DZ196" s="55"/>
      <c r="EA196" s="55"/>
      <c r="EB196" s="55"/>
      <c r="EC196" s="55"/>
      <c r="ED196" s="55"/>
      <c r="EE196" s="55"/>
      <c r="EF196" s="55"/>
      <c r="EG196" s="55"/>
      <c r="EH196" s="55"/>
      <c r="EI196" s="55"/>
      <c r="EJ196" s="55"/>
      <c r="EK196" s="55"/>
      <c r="EL196" s="55"/>
      <c r="EM196" s="55"/>
      <c r="EN196" s="55"/>
      <c r="EO196" s="55"/>
      <c r="EP196" s="55"/>
      <c r="EQ196" s="55"/>
      <c r="ER196" s="55"/>
      <c r="ES196" s="55"/>
      <c r="ET196" s="55"/>
      <c r="EU196" s="55"/>
      <c r="EV196" s="55"/>
      <c r="EW196" s="55"/>
      <c r="EX196" s="55"/>
      <c r="EY196" s="55"/>
      <c r="EZ196" s="55"/>
      <c r="FA196" s="55"/>
      <c r="FB196" s="55"/>
      <c r="FC196" s="55"/>
      <c r="FD196" s="55"/>
      <c r="FE196" s="55"/>
      <c r="FF196" s="55"/>
      <c r="FG196" s="55"/>
      <c r="FH196" s="55"/>
      <c r="FI196" s="55"/>
      <c r="FJ196" s="55"/>
      <c r="FK196" s="55"/>
      <c r="FL196" s="55"/>
      <c r="FM196" s="55"/>
      <c r="FN196" s="55"/>
      <c r="FO196" s="55"/>
      <c r="FP196" s="55"/>
      <c r="FQ196" s="55"/>
      <c r="FR196" s="55"/>
      <c r="FS196" s="55"/>
      <c r="FT196" s="55"/>
      <c r="FU196" s="55"/>
      <c r="FV196" s="55"/>
      <c r="FW196" s="55"/>
      <c r="FX196" s="55"/>
      <c r="FY196" s="55"/>
      <c r="FZ196" s="55"/>
      <c r="GA196" s="55"/>
      <c r="GB196" s="55"/>
      <c r="GC196" s="55"/>
      <c r="GD196" s="55"/>
      <c r="GE196" s="55"/>
      <c r="GF196" s="55"/>
      <c r="GG196" s="55"/>
      <c r="GH196" s="55"/>
      <c r="GI196" s="55"/>
      <c r="GJ196" s="55"/>
      <c r="GK196" s="55"/>
      <c r="GL196" s="55"/>
      <c r="GM196" s="55"/>
      <c r="GN196" s="55"/>
      <c r="GO196" s="55"/>
      <c r="GP196" s="55"/>
      <c r="GQ196" s="55"/>
      <c r="GR196" s="55"/>
      <c r="GS196" s="55"/>
      <c r="GT196" s="55"/>
      <c r="GU196" s="55"/>
      <c r="GV196" s="55"/>
      <c r="GW196" s="55"/>
      <c r="GX196" s="55"/>
      <c r="GY196" s="55"/>
      <c r="GZ196" s="55"/>
      <c r="HA196" s="55"/>
      <c r="HB196" s="55"/>
      <c r="HC196" s="55"/>
      <c r="HD196" s="55"/>
      <c r="HE196" s="55"/>
      <c r="HF196" s="55"/>
      <c r="HG196" s="55"/>
      <c r="HH196" s="55"/>
      <c r="HI196" s="55"/>
      <c r="HJ196" s="55"/>
      <c r="HK196" s="55"/>
      <c r="HL196" s="55"/>
      <c r="HM196" s="55"/>
      <c r="HN196" s="55"/>
      <c r="HO196" s="55"/>
      <c r="HP196" s="55"/>
      <c r="HQ196" s="55"/>
      <c r="HR196" s="55"/>
      <c r="HS196" s="55"/>
      <c r="HT196" s="55"/>
      <c r="HU196" s="55"/>
      <c r="HV196" s="55"/>
      <c r="HW196" s="55"/>
      <c r="HX196" s="55"/>
      <c r="HY196" s="55"/>
      <c r="HZ196" s="55"/>
      <c r="IA196" s="55"/>
      <c r="IB196" s="55"/>
    </row>
    <row r="197" spans="1:236" ht="15" customHeight="1" x14ac:dyDescent="0.2">
      <c r="A197" s="70" t="s">
        <v>399</v>
      </c>
      <c r="B197" s="44" t="s">
        <v>190</v>
      </c>
      <c r="C197" s="45" t="s">
        <v>161</v>
      </c>
      <c r="D197" s="454"/>
      <c r="E197" s="55"/>
      <c r="F197" s="55"/>
      <c r="G197" s="55"/>
      <c r="H197" s="55"/>
      <c r="I197" s="55"/>
      <c r="J197" s="55"/>
      <c r="K197" s="55"/>
      <c r="L197" s="55"/>
      <c r="M197" s="55"/>
      <c r="N197" s="55"/>
      <c r="O197" s="55"/>
      <c r="P197" s="55"/>
      <c r="Q197" s="55"/>
      <c r="R197" s="55"/>
      <c r="S197" s="55"/>
      <c r="T197" s="55"/>
      <c r="U197" s="55"/>
      <c r="V197" s="55"/>
      <c r="W197" s="55"/>
      <c r="X197" s="55"/>
      <c r="Y197" s="55"/>
      <c r="Z197" s="55"/>
      <c r="AA197" s="55"/>
      <c r="AB197" s="55"/>
      <c r="AC197" s="55"/>
      <c r="AD197" s="55"/>
      <c r="AE197" s="55"/>
      <c r="AF197" s="55"/>
      <c r="AG197" s="55"/>
      <c r="AH197" s="55"/>
      <c r="AI197" s="55"/>
      <c r="AJ197" s="55"/>
      <c r="AK197" s="55"/>
      <c r="AL197" s="55"/>
      <c r="AM197" s="55"/>
      <c r="AN197" s="55"/>
      <c r="AO197" s="55"/>
      <c r="AP197" s="55"/>
      <c r="AQ197" s="55"/>
      <c r="AR197" s="55"/>
      <c r="AS197" s="55"/>
      <c r="AT197" s="55"/>
      <c r="AU197" s="55"/>
      <c r="AV197" s="55"/>
      <c r="AW197" s="55"/>
      <c r="AX197" s="55"/>
      <c r="AY197" s="55"/>
      <c r="AZ197" s="55"/>
      <c r="BA197" s="55"/>
      <c r="BB197" s="55"/>
      <c r="BC197" s="55"/>
      <c r="BD197" s="55"/>
      <c r="BE197" s="55"/>
      <c r="BF197" s="55"/>
      <c r="BG197" s="55"/>
      <c r="BH197" s="55"/>
      <c r="BI197" s="55"/>
      <c r="BJ197" s="55"/>
      <c r="BK197" s="55"/>
      <c r="BL197" s="55"/>
      <c r="BM197" s="55"/>
      <c r="BN197" s="55"/>
      <c r="BO197" s="55"/>
      <c r="BP197" s="55"/>
      <c r="BQ197" s="55"/>
      <c r="BR197" s="55"/>
      <c r="BS197" s="55"/>
      <c r="BT197" s="55"/>
      <c r="BU197" s="55"/>
      <c r="BV197" s="55"/>
      <c r="BW197" s="55"/>
      <c r="BX197" s="55"/>
      <c r="BY197" s="55"/>
      <c r="BZ197" s="55"/>
      <c r="CA197" s="55"/>
      <c r="CB197" s="55"/>
      <c r="CC197" s="55"/>
      <c r="CD197" s="55"/>
      <c r="CE197" s="55"/>
      <c r="CF197" s="55"/>
      <c r="CG197" s="55"/>
      <c r="CH197" s="55"/>
      <c r="CI197" s="55"/>
      <c r="CJ197" s="55"/>
      <c r="CK197" s="55"/>
      <c r="CL197" s="55"/>
      <c r="CM197" s="55"/>
      <c r="CN197" s="55"/>
      <c r="CO197" s="55"/>
      <c r="CP197" s="55"/>
      <c r="CQ197" s="55"/>
      <c r="CR197" s="55"/>
      <c r="CS197" s="55"/>
      <c r="CT197" s="55"/>
      <c r="CU197" s="55"/>
      <c r="CV197" s="55"/>
      <c r="CW197" s="55"/>
      <c r="CX197" s="55"/>
      <c r="CY197" s="55"/>
      <c r="CZ197" s="55"/>
      <c r="DA197" s="55"/>
      <c r="DB197" s="55"/>
      <c r="DC197" s="55"/>
      <c r="DD197" s="55"/>
      <c r="DE197" s="55"/>
      <c r="DF197" s="55"/>
      <c r="DG197" s="55"/>
      <c r="DH197" s="55"/>
      <c r="DI197" s="55"/>
      <c r="DJ197" s="55"/>
      <c r="DK197" s="55"/>
      <c r="DL197" s="55"/>
      <c r="DM197" s="55"/>
      <c r="DN197" s="55"/>
      <c r="DO197" s="55"/>
      <c r="DP197" s="55"/>
      <c r="DQ197" s="55"/>
      <c r="DR197" s="55"/>
      <c r="DS197" s="55"/>
      <c r="DT197" s="55"/>
      <c r="DU197" s="55"/>
      <c r="DV197" s="55"/>
      <c r="DW197" s="55"/>
      <c r="DX197" s="55"/>
      <c r="DY197" s="55"/>
      <c r="DZ197" s="55"/>
      <c r="EA197" s="55"/>
      <c r="EB197" s="55"/>
      <c r="EC197" s="55"/>
      <c r="ED197" s="55"/>
      <c r="EE197" s="55"/>
      <c r="EF197" s="55"/>
      <c r="EG197" s="55"/>
      <c r="EH197" s="55"/>
      <c r="EI197" s="55"/>
      <c r="EJ197" s="55"/>
      <c r="EK197" s="55"/>
      <c r="EL197" s="55"/>
      <c r="EM197" s="55"/>
      <c r="EN197" s="55"/>
      <c r="EO197" s="55"/>
      <c r="EP197" s="55"/>
      <c r="EQ197" s="55"/>
      <c r="ER197" s="55"/>
      <c r="ES197" s="55"/>
      <c r="ET197" s="55"/>
      <c r="EU197" s="55"/>
      <c r="EV197" s="55"/>
      <c r="EW197" s="55"/>
      <c r="EX197" s="55"/>
      <c r="EY197" s="55"/>
      <c r="EZ197" s="55"/>
      <c r="FA197" s="55"/>
      <c r="FB197" s="55"/>
      <c r="FC197" s="55"/>
      <c r="FD197" s="55"/>
      <c r="FE197" s="55"/>
      <c r="FF197" s="55"/>
      <c r="FG197" s="55"/>
      <c r="FH197" s="55"/>
      <c r="FI197" s="55"/>
      <c r="FJ197" s="55"/>
      <c r="FK197" s="55"/>
      <c r="FL197" s="55"/>
      <c r="FM197" s="55"/>
      <c r="FN197" s="55"/>
      <c r="FO197" s="55"/>
      <c r="FP197" s="55"/>
      <c r="FQ197" s="55"/>
      <c r="FR197" s="55"/>
      <c r="FS197" s="55"/>
      <c r="FT197" s="55"/>
      <c r="FU197" s="55"/>
      <c r="FV197" s="55"/>
      <c r="FW197" s="55"/>
      <c r="FX197" s="55"/>
      <c r="FY197" s="55"/>
      <c r="FZ197" s="55"/>
      <c r="GA197" s="55"/>
      <c r="GB197" s="55"/>
      <c r="GC197" s="55"/>
      <c r="GD197" s="55"/>
      <c r="GE197" s="55"/>
      <c r="GF197" s="55"/>
      <c r="GG197" s="55"/>
      <c r="GH197" s="55"/>
      <c r="GI197" s="55"/>
      <c r="GJ197" s="55"/>
      <c r="GK197" s="55"/>
      <c r="GL197" s="55"/>
      <c r="GM197" s="55"/>
      <c r="GN197" s="55"/>
      <c r="GO197" s="55"/>
      <c r="GP197" s="55"/>
      <c r="GQ197" s="55"/>
      <c r="GR197" s="55"/>
      <c r="GS197" s="55"/>
      <c r="GT197" s="55"/>
      <c r="GU197" s="55"/>
      <c r="GV197" s="55"/>
      <c r="GW197" s="55"/>
      <c r="GX197" s="55"/>
      <c r="GY197" s="55"/>
      <c r="GZ197" s="55"/>
      <c r="HA197" s="55"/>
      <c r="HB197" s="55"/>
      <c r="HC197" s="55"/>
      <c r="HD197" s="55"/>
      <c r="HE197" s="55"/>
      <c r="HF197" s="55"/>
      <c r="HG197" s="55"/>
      <c r="HH197" s="55"/>
      <c r="HI197" s="55"/>
      <c r="HJ197" s="55"/>
      <c r="HK197" s="55"/>
      <c r="HL197" s="55"/>
      <c r="HM197" s="55"/>
      <c r="HN197" s="55"/>
      <c r="HO197" s="55"/>
      <c r="HP197" s="55"/>
      <c r="HQ197" s="55"/>
      <c r="HR197" s="55"/>
      <c r="HS197" s="55"/>
      <c r="HT197" s="55"/>
      <c r="HU197" s="55"/>
      <c r="HV197" s="55"/>
      <c r="HW197" s="55"/>
      <c r="HX197" s="55"/>
      <c r="HY197" s="55"/>
      <c r="HZ197" s="55"/>
      <c r="IA197" s="55"/>
      <c r="IB197" s="55"/>
    </row>
    <row r="198" spans="1:236" ht="15" customHeight="1" x14ac:dyDescent="0.2">
      <c r="A198" s="70" t="s">
        <v>400</v>
      </c>
      <c r="B198" s="44" t="s">
        <v>191</v>
      </c>
      <c r="C198" s="45" t="s">
        <v>161</v>
      </c>
      <c r="D198" s="454"/>
      <c r="E198" s="55"/>
      <c r="F198" s="55"/>
      <c r="G198" s="55"/>
      <c r="H198" s="55"/>
      <c r="I198" s="55"/>
      <c r="J198" s="55"/>
      <c r="K198" s="55"/>
      <c r="L198" s="55"/>
      <c r="M198" s="55"/>
      <c r="N198" s="55"/>
      <c r="O198" s="55"/>
      <c r="P198" s="55"/>
      <c r="Q198" s="55"/>
      <c r="R198" s="55"/>
      <c r="S198" s="55"/>
      <c r="T198" s="55"/>
      <c r="U198" s="55"/>
      <c r="V198" s="55"/>
      <c r="W198" s="55"/>
      <c r="X198" s="55"/>
      <c r="Y198" s="55"/>
      <c r="Z198" s="55"/>
      <c r="AA198" s="55"/>
      <c r="AB198" s="55"/>
      <c r="AC198" s="55"/>
      <c r="AD198" s="55"/>
      <c r="AE198" s="55"/>
      <c r="AF198" s="55"/>
      <c r="AG198" s="55"/>
      <c r="AH198" s="55"/>
      <c r="AI198" s="55"/>
      <c r="AJ198" s="55"/>
      <c r="AK198" s="55"/>
      <c r="AL198" s="55"/>
      <c r="AM198" s="55"/>
      <c r="AN198" s="55"/>
      <c r="AO198" s="55"/>
      <c r="AP198" s="55"/>
      <c r="AQ198" s="55"/>
      <c r="AR198" s="55"/>
      <c r="AS198" s="55"/>
      <c r="AT198" s="55"/>
      <c r="AU198" s="55"/>
      <c r="AV198" s="55"/>
      <c r="AW198" s="55"/>
      <c r="AX198" s="55"/>
      <c r="AY198" s="55"/>
      <c r="AZ198" s="55"/>
      <c r="BA198" s="55"/>
      <c r="BB198" s="55"/>
      <c r="BC198" s="55"/>
      <c r="BD198" s="55"/>
      <c r="BE198" s="55"/>
      <c r="BF198" s="55"/>
      <c r="BG198" s="55"/>
      <c r="BH198" s="55"/>
      <c r="BI198" s="55"/>
      <c r="BJ198" s="55"/>
      <c r="BK198" s="55"/>
      <c r="BL198" s="55"/>
      <c r="BM198" s="55"/>
      <c r="BN198" s="55"/>
      <c r="BO198" s="55"/>
      <c r="BP198" s="55"/>
      <c r="BQ198" s="55"/>
      <c r="BR198" s="55"/>
      <c r="BS198" s="55"/>
      <c r="BT198" s="55"/>
      <c r="BU198" s="55"/>
      <c r="BV198" s="55"/>
      <c r="BW198" s="55"/>
      <c r="BX198" s="55"/>
      <c r="BY198" s="55"/>
      <c r="BZ198" s="55"/>
      <c r="CA198" s="55"/>
      <c r="CB198" s="55"/>
      <c r="CC198" s="55"/>
      <c r="CD198" s="55"/>
      <c r="CE198" s="55"/>
      <c r="CF198" s="55"/>
      <c r="CG198" s="55"/>
      <c r="CH198" s="55"/>
      <c r="CI198" s="55"/>
      <c r="CJ198" s="55"/>
      <c r="CK198" s="55"/>
      <c r="CL198" s="55"/>
      <c r="CM198" s="55"/>
      <c r="CN198" s="55"/>
      <c r="CO198" s="55"/>
      <c r="CP198" s="55"/>
      <c r="CQ198" s="55"/>
      <c r="CR198" s="55"/>
      <c r="CS198" s="55"/>
      <c r="CT198" s="55"/>
      <c r="CU198" s="55"/>
      <c r="CV198" s="55"/>
      <c r="CW198" s="55"/>
      <c r="CX198" s="55"/>
      <c r="CY198" s="55"/>
      <c r="CZ198" s="55"/>
      <c r="DA198" s="55"/>
      <c r="DB198" s="55"/>
      <c r="DC198" s="55"/>
      <c r="DD198" s="55"/>
      <c r="DE198" s="55"/>
      <c r="DF198" s="55"/>
      <c r="DG198" s="55"/>
      <c r="DH198" s="55"/>
      <c r="DI198" s="55"/>
      <c r="DJ198" s="55"/>
      <c r="DK198" s="55"/>
      <c r="DL198" s="55"/>
      <c r="DM198" s="55"/>
      <c r="DN198" s="55"/>
      <c r="DO198" s="55"/>
      <c r="DP198" s="55"/>
      <c r="DQ198" s="55"/>
      <c r="DR198" s="55"/>
      <c r="DS198" s="55"/>
      <c r="DT198" s="55"/>
      <c r="DU198" s="55"/>
      <c r="DV198" s="55"/>
      <c r="DW198" s="55"/>
      <c r="DX198" s="55"/>
      <c r="DY198" s="55"/>
      <c r="DZ198" s="55"/>
      <c r="EA198" s="55"/>
      <c r="EB198" s="55"/>
      <c r="EC198" s="55"/>
      <c r="ED198" s="55"/>
      <c r="EE198" s="55"/>
      <c r="EF198" s="55"/>
      <c r="EG198" s="55"/>
      <c r="EH198" s="55"/>
      <c r="EI198" s="55"/>
      <c r="EJ198" s="55"/>
      <c r="EK198" s="55"/>
      <c r="EL198" s="55"/>
      <c r="EM198" s="55"/>
      <c r="EN198" s="55"/>
      <c r="EO198" s="55"/>
      <c r="EP198" s="55"/>
      <c r="EQ198" s="55"/>
      <c r="ER198" s="55"/>
      <c r="ES198" s="55"/>
      <c r="ET198" s="55"/>
      <c r="EU198" s="55"/>
      <c r="EV198" s="55"/>
      <c r="EW198" s="55"/>
      <c r="EX198" s="55"/>
      <c r="EY198" s="55"/>
      <c r="EZ198" s="55"/>
      <c r="FA198" s="55"/>
      <c r="FB198" s="55"/>
      <c r="FC198" s="55"/>
      <c r="FD198" s="55"/>
      <c r="FE198" s="55"/>
      <c r="FF198" s="55"/>
      <c r="FG198" s="55"/>
      <c r="FH198" s="55"/>
      <c r="FI198" s="55"/>
      <c r="FJ198" s="55"/>
      <c r="FK198" s="55"/>
      <c r="FL198" s="55"/>
      <c r="FM198" s="55"/>
      <c r="FN198" s="55"/>
      <c r="FO198" s="55"/>
      <c r="FP198" s="55"/>
      <c r="FQ198" s="55"/>
      <c r="FR198" s="55"/>
      <c r="FS198" s="55"/>
      <c r="FT198" s="55"/>
      <c r="FU198" s="55"/>
      <c r="FV198" s="55"/>
      <c r="FW198" s="55"/>
      <c r="FX198" s="55"/>
      <c r="FY198" s="55"/>
      <c r="FZ198" s="55"/>
      <c r="GA198" s="55"/>
      <c r="GB198" s="55"/>
      <c r="GC198" s="55"/>
      <c r="GD198" s="55"/>
      <c r="GE198" s="55"/>
      <c r="GF198" s="55"/>
      <c r="GG198" s="55"/>
      <c r="GH198" s="55"/>
      <c r="GI198" s="55"/>
      <c r="GJ198" s="55"/>
      <c r="GK198" s="55"/>
      <c r="GL198" s="55"/>
      <c r="GM198" s="55"/>
      <c r="GN198" s="55"/>
      <c r="GO198" s="55"/>
      <c r="GP198" s="55"/>
      <c r="GQ198" s="55"/>
      <c r="GR198" s="55"/>
      <c r="GS198" s="55"/>
      <c r="GT198" s="55"/>
      <c r="GU198" s="55"/>
      <c r="GV198" s="55"/>
      <c r="GW198" s="55"/>
      <c r="GX198" s="55"/>
      <c r="GY198" s="55"/>
      <c r="GZ198" s="55"/>
      <c r="HA198" s="55"/>
      <c r="HB198" s="55"/>
      <c r="HC198" s="55"/>
      <c r="HD198" s="55"/>
      <c r="HE198" s="55"/>
      <c r="HF198" s="55"/>
      <c r="HG198" s="55"/>
      <c r="HH198" s="55"/>
      <c r="HI198" s="55"/>
      <c r="HJ198" s="55"/>
      <c r="HK198" s="55"/>
      <c r="HL198" s="55"/>
      <c r="HM198" s="55"/>
      <c r="HN198" s="55"/>
      <c r="HO198" s="55"/>
      <c r="HP198" s="55"/>
      <c r="HQ198" s="55"/>
      <c r="HR198" s="55"/>
      <c r="HS198" s="55"/>
      <c r="HT198" s="55"/>
      <c r="HU198" s="55"/>
      <c r="HV198" s="55"/>
      <c r="HW198" s="55"/>
      <c r="HX198" s="55"/>
      <c r="HY198" s="55"/>
      <c r="HZ198" s="55"/>
      <c r="IA198" s="55"/>
      <c r="IB198" s="55"/>
    </row>
    <row r="199" spans="1:236" ht="15" customHeight="1" x14ac:dyDescent="0.2">
      <c r="A199" s="70" t="s">
        <v>401</v>
      </c>
      <c r="B199" s="44" t="s">
        <v>192</v>
      </c>
      <c r="C199" s="45" t="s">
        <v>161</v>
      </c>
      <c r="D199" s="454"/>
    </row>
    <row r="200" spans="1:236" ht="15" customHeight="1" thickBot="1" x14ac:dyDescent="0.25">
      <c r="A200" s="455" t="s">
        <v>402</v>
      </c>
      <c r="B200" s="68" t="s">
        <v>1099</v>
      </c>
      <c r="C200" s="48" t="s">
        <v>161</v>
      </c>
      <c r="D200" s="456"/>
    </row>
    <row r="201" spans="1:236" x14ac:dyDescent="0.2">
      <c r="B201" s="71"/>
    </row>
    <row r="202" spans="1:236" x14ac:dyDescent="0.2">
      <c r="A202" s="321" t="s">
        <v>883</v>
      </c>
      <c r="B202" s="322"/>
    </row>
    <row r="203" spans="1:236" x14ac:dyDescent="0.2">
      <c r="A203" s="321" t="s">
        <v>884</v>
      </c>
      <c r="B203" s="322"/>
    </row>
    <row r="204" spans="1:236" x14ac:dyDescent="0.2">
      <c r="A204" s="321"/>
      <c r="B204" s="322"/>
    </row>
    <row r="205" spans="1:236" x14ac:dyDescent="0.2">
      <c r="A205" s="321"/>
      <c r="B205" s="322"/>
    </row>
    <row r="206" spans="1:236" x14ac:dyDescent="0.2">
      <c r="A206" s="323"/>
      <c r="B206" s="324"/>
    </row>
    <row r="207" spans="1:236" x14ac:dyDescent="0.2">
      <c r="A207" s="323"/>
      <c r="B207" s="324"/>
    </row>
    <row r="208" spans="1:236" x14ac:dyDescent="0.2">
      <c r="A208" s="323"/>
      <c r="B208" s="324"/>
    </row>
    <row r="209" spans="1:236" x14ac:dyDescent="0.2">
      <c r="A209" s="323"/>
      <c r="B209" s="324"/>
    </row>
    <row r="210" spans="1:236" x14ac:dyDescent="0.2">
      <c r="A210" s="323"/>
      <c r="B210" s="324"/>
    </row>
    <row r="211" spans="1:236" x14ac:dyDescent="0.2">
      <c r="A211" s="323"/>
      <c r="B211" s="324"/>
    </row>
    <row r="212" spans="1:236" x14ac:dyDescent="0.2">
      <c r="A212" s="321"/>
      <c r="B212" s="322"/>
    </row>
    <row r="213" spans="1:236" x14ac:dyDescent="0.2">
      <c r="A213" s="321"/>
      <c r="B213" s="322"/>
      <c r="E213" s="55"/>
      <c r="F213" s="55"/>
      <c r="G213" s="55"/>
      <c r="H213" s="55"/>
      <c r="I213" s="55"/>
      <c r="J213" s="55"/>
      <c r="K213" s="55"/>
      <c r="L213" s="55"/>
      <c r="M213" s="55"/>
      <c r="N213" s="55"/>
      <c r="O213" s="55"/>
      <c r="P213" s="55"/>
      <c r="Q213" s="55"/>
      <c r="R213" s="55"/>
      <c r="S213" s="55"/>
      <c r="T213" s="55"/>
      <c r="U213" s="55"/>
      <c r="V213" s="55"/>
      <c r="W213" s="55"/>
      <c r="X213" s="55"/>
      <c r="Y213" s="55"/>
      <c r="Z213" s="55"/>
      <c r="AA213" s="55"/>
      <c r="AB213" s="55"/>
      <c r="AC213" s="55"/>
      <c r="AD213" s="55"/>
      <c r="AE213" s="55"/>
      <c r="AF213" s="55"/>
      <c r="AG213" s="55"/>
      <c r="AH213" s="55"/>
      <c r="AI213" s="55"/>
      <c r="AJ213" s="55"/>
      <c r="AK213" s="55"/>
      <c r="AL213" s="55"/>
      <c r="AM213" s="55"/>
      <c r="AN213" s="55"/>
      <c r="AO213" s="55"/>
      <c r="AP213" s="55"/>
      <c r="AQ213" s="55"/>
      <c r="AR213" s="55"/>
      <c r="AS213" s="55"/>
      <c r="AT213" s="55"/>
      <c r="AU213" s="55"/>
      <c r="AV213" s="55"/>
      <c r="AW213" s="55"/>
      <c r="AX213" s="55"/>
      <c r="AY213" s="55"/>
      <c r="AZ213" s="55"/>
      <c r="BA213" s="55"/>
      <c r="BB213" s="55"/>
      <c r="BC213" s="55"/>
      <c r="BD213" s="55"/>
      <c r="BE213" s="55"/>
      <c r="BF213" s="55"/>
      <c r="BG213" s="55"/>
      <c r="BH213" s="55"/>
      <c r="BI213" s="55"/>
      <c r="BJ213" s="55"/>
      <c r="BK213" s="55"/>
      <c r="BL213" s="55"/>
      <c r="BM213" s="55"/>
      <c r="BN213" s="55"/>
      <c r="BO213" s="55"/>
      <c r="BP213" s="55"/>
      <c r="BQ213" s="55"/>
      <c r="BR213" s="55"/>
      <c r="BS213" s="55"/>
      <c r="BT213" s="55"/>
      <c r="BU213" s="55"/>
      <c r="BV213" s="55"/>
      <c r="BW213" s="55"/>
      <c r="BX213" s="55"/>
      <c r="BY213" s="55"/>
      <c r="BZ213" s="55"/>
      <c r="CA213" s="55"/>
      <c r="CB213" s="55"/>
      <c r="CC213" s="55"/>
      <c r="CD213" s="55"/>
      <c r="CE213" s="55"/>
      <c r="CF213" s="55"/>
      <c r="CG213" s="55"/>
      <c r="CH213" s="55"/>
      <c r="CI213" s="55"/>
      <c r="CJ213" s="55"/>
      <c r="CK213" s="55"/>
      <c r="CL213" s="55"/>
      <c r="CM213" s="55"/>
      <c r="CN213" s="55"/>
      <c r="CO213" s="55"/>
      <c r="CP213" s="55"/>
      <c r="CQ213" s="55"/>
      <c r="CR213" s="55"/>
      <c r="CS213" s="55"/>
      <c r="CT213" s="55"/>
      <c r="CU213" s="55"/>
      <c r="CV213" s="55"/>
      <c r="CW213" s="55"/>
      <c r="CX213" s="55"/>
      <c r="CY213" s="55"/>
      <c r="CZ213" s="55"/>
      <c r="DA213" s="55"/>
      <c r="DB213" s="55"/>
      <c r="DC213" s="55"/>
      <c r="DD213" s="55"/>
      <c r="DE213" s="55"/>
      <c r="DF213" s="55"/>
      <c r="DG213" s="55"/>
      <c r="DH213" s="55"/>
      <c r="DI213" s="55"/>
      <c r="DJ213" s="55"/>
      <c r="DK213" s="55"/>
      <c r="DL213" s="55"/>
      <c r="DM213" s="55"/>
      <c r="DN213" s="55"/>
      <c r="DO213" s="55"/>
      <c r="DP213" s="55"/>
      <c r="DQ213" s="55"/>
      <c r="DR213" s="55"/>
      <c r="DS213" s="55"/>
      <c r="DT213" s="55"/>
      <c r="DU213" s="55"/>
      <c r="DV213" s="55"/>
      <c r="DW213" s="55"/>
      <c r="DX213" s="55"/>
      <c r="DY213" s="55"/>
      <c r="DZ213" s="55"/>
      <c r="EA213" s="55"/>
      <c r="EB213" s="55"/>
      <c r="EC213" s="55"/>
      <c r="ED213" s="55"/>
      <c r="EE213" s="55"/>
      <c r="EF213" s="55"/>
      <c r="EG213" s="55"/>
      <c r="EH213" s="55"/>
      <c r="EI213" s="55"/>
      <c r="EJ213" s="55"/>
      <c r="EK213" s="55"/>
      <c r="EL213" s="55"/>
      <c r="EM213" s="55"/>
      <c r="EN213" s="55"/>
      <c r="EO213" s="55"/>
      <c r="EP213" s="55"/>
      <c r="EQ213" s="55"/>
      <c r="ER213" s="55"/>
      <c r="ES213" s="55"/>
      <c r="ET213" s="55"/>
      <c r="EU213" s="55"/>
      <c r="EV213" s="55"/>
      <c r="EW213" s="55"/>
      <c r="EX213" s="55"/>
      <c r="EY213" s="55"/>
      <c r="EZ213" s="55"/>
      <c r="FA213" s="55"/>
      <c r="FB213" s="55"/>
      <c r="FC213" s="55"/>
      <c r="FD213" s="55"/>
      <c r="FE213" s="55"/>
      <c r="FF213" s="55"/>
      <c r="FG213" s="55"/>
      <c r="FH213" s="55"/>
      <c r="FI213" s="55"/>
      <c r="FJ213" s="55"/>
      <c r="FK213" s="55"/>
      <c r="FL213" s="55"/>
      <c r="FM213" s="55"/>
      <c r="FN213" s="55"/>
      <c r="FO213" s="55"/>
      <c r="FP213" s="55"/>
      <c r="FQ213" s="55"/>
      <c r="FR213" s="55"/>
      <c r="FS213" s="55"/>
      <c r="FT213" s="55"/>
      <c r="FU213" s="55"/>
      <c r="FV213" s="55"/>
      <c r="FW213" s="55"/>
      <c r="FX213" s="55"/>
      <c r="FY213" s="55"/>
      <c r="FZ213" s="55"/>
      <c r="GA213" s="55"/>
      <c r="GB213" s="55"/>
      <c r="GC213" s="55"/>
      <c r="GD213" s="55"/>
      <c r="GE213" s="55"/>
      <c r="GF213" s="55"/>
      <c r="GG213" s="55"/>
      <c r="GH213" s="55"/>
      <c r="GI213" s="55"/>
      <c r="GJ213" s="55"/>
      <c r="GK213" s="55"/>
      <c r="GL213" s="55"/>
      <c r="GM213" s="55"/>
      <c r="GN213" s="55"/>
      <c r="GO213" s="55"/>
      <c r="GP213" s="55"/>
      <c r="GQ213" s="55"/>
      <c r="GR213" s="55"/>
      <c r="GS213" s="55"/>
      <c r="GT213" s="55"/>
      <c r="GU213" s="55"/>
      <c r="GV213" s="55"/>
      <c r="GW213" s="55"/>
      <c r="GX213" s="55"/>
      <c r="GY213" s="55"/>
      <c r="GZ213" s="55"/>
      <c r="HA213" s="55"/>
      <c r="HB213" s="55"/>
      <c r="HC213" s="55"/>
      <c r="HD213" s="55"/>
      <c r="HE213" s="55"/>
      <c r="HF213" s="55"/>
      <c r="HG213" s="55"/>
      <c r="HH213" s="55"/>
      <c r="HI213" s="55"/>
      <c r="HJ213" s="55"/>
      <c r="HK213" s="55"/>
      <c r="HL213" s="55"/>
      <c r="HM213" s="55"/>
      <c r="HN213" s="55"/>
      <c r="HO213" s="55"/>
      <c r="HP213" s="55"/>
      <c r="HQ213" s="55"/>
      <c r="HR213" s="55"/>
      <c r="HS213" s="55"/>
      <c r="HT213" s="55"/>
      <c r="HU213" s="55"/>
      <c r="HV213" s="55"/>
      <c r="HW213" s="55"/>
      <c r="HX213" s="55"/>
      <c r="HY213" s="55"/>
      <c r="HZ213" s="55"/>
      <c r="IA213" s="55"/>
      <c r="IB213" s="55"/>
    </row>
    <row r="214" spans="1:236" x14ac:dyDescent="0.2">
      <c r="A214" s="323"/>
      <c r="B214" s="324"/>
    </row>
    <row r="215" spans="1:236" x14ac:dyDescent="0.2">
      <c r="A215" s="323"/>
      <c r="B215" s="324"/>
    </row>
    <row r="216" spans="1:236" x14ac:dyDescent="0.2">
      <c r="A216" s="323"/>
      <c r="B216" s="324"/>
    </row>
    <row r="217" spans="1:236" x14ac:dyDescent="0.2">
      <c r="A217" s="323"/>
      <c r="B217" s="324"/>
    </row>
    <row r="218" spans="1:236" x14ac:dyDescent="0.2">
      <c r="A218" s="323"/>
      <c r="B218" s="324"/>
    </row>
    <row r="219" spans="1:236" x14ac:dyDescent="0.2">
      <c r="A219" s="323"/>
      <c r="B219" s="324"/>
    </row>
  </sheetData>
  <sheetProtection algorithmName="SHA-512" hashValue="7DMOtqabExii2DQ1TaTp01uqgBBTfYuBUIK+acXPaAdWqaxwY2qdSOW0BgX6oaTjOUJXkEwqD2w2ebt7XbdX5A==" saltValue="n+aSxtZI4YPvmGCetAkX5w==" spinCount="100000" sheet="1" objects="1" scenarios="1" selectLockedCells="1"/>
  <mergeCells count="5">
    <mergeCell ref="A141:D141"/>
    <mergeCell ref="B4:D4"/>
    <mergeCell ref="A5:D8"/>
    <mergeCell ref="A1:D1"/>
    <mergeCell ref="A2:D2"/>
  </mergeCells>
  <phoneticPr fontId="26" type="noConversion"/>
  <printOptions horizontalCentered="1"/>
  <pageMargins left="0.59055118110236227" right="0.51181102362204722" top="0.78740157480314965" bottom="0.78740157480314965" header="0.51181102362204722" footer="0.51181102362204722"/>
  <pageSetup paperSize="9" scale="71" firstPageNumber="0" fitToHeight="0" orientation="portrait" r:id="rId1"/>
  <headerFooter>
    <oddFooter>&amp;L&amp;G&amp;C&amp;"Arial,Negrito itálico"&amp;12Página &amp;P de &amp;N&amp;R&amp;G</oddFooter>
  </headerFooter>
  <rowBreaks count="3" manualBreakCount="3">
    <brk id="63" max="6" man="1"/>
    <brk id="112" max="6" man="1"/>
    <brk id="159" max="6" man="1"/>
  </rowBreaks>
  <colBreaks count="1" manualBreakCount="1">
    <brk id="1" max="1048575" man="1"/>
  </col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35D3A-6829-47EA-A577-2D18B58EC338}">
  <sheetPr>
    <tabColor theme="0"/>
  </sheetPr>
  <dimension ref="A1:H46"/>
  <sheetViews>
    <sheetView view="pageBreakPreview" zoomScale="90" zoomScaleSheetLayoutView="90" workbookViewId="0">
      <selection activeCell="C7" sqref="C7"/>
    </sheetView>
  </sheetViews>
  <sheetFormatPr defaultColWidth="9.140625" defaultRowHeight="12.75" x14ac:dyDescent="0.2"/>
  <cols>
    <col min="1" max="1" width="14.140625" style="386" customWidth="1"/>
    <col min="2" max="2" width="52.7109375" style="384" customWidth="1"/>
    <col min="3" max="3" width="19.28515625" style="386" customWidth="1"/>
    <col min="4" max="16384" width="9.140625" style="384"/>
  </cols>
  <sheetData>
    <row r="1" spans="1:8" s="379" customFormat="1" ht="20.100000000000001" customHeight="1" x14ac:dyDescent="0.2">
      <c r="A1" s="565" t="str">
        <f>'A IV.A'!A1</f>
        <v>(TIMBRE DA LICITANTE)</v>
      </c>
      <c r="B1" s="565"/>
      <c r="C1" s="565"/>
      <c r="D1" s="380"/>
      <c r="E1" s="380"/>
      <c r="F1" s="380"/>
      <c r="G1" s="381"/>
      <c r="H1" s="380"/>
    </row>
    <row r="2" spans="1:8" s="379" customFormat="1" ht="20.100000000000001" customHeight="1" x14ac:dyDescent="0.2">
      <c r="A2" s="565" t="str">
        <f>'A IV.A'!A3</f>
        <v xml:space="preserve">  </v>
      </c>
      <c r="B2" s="565"/>
      <c r="C2" s="565"/>
      <c r="D2" s="380"/>
      <c r="E2" s="380"/>
      <c r="F2" s="380"/>
      <c r="G2" s="380"/>
      <c r="H2" s="380"/>
    </row>
    <row r="3" spans="1:8" s="379" customFormat="1" ht="18.75" customHeight="1" x14ac:dyDescent="0.2">
      <c r="A3" s="382"/>
      <c r="B3" s="566"/>
      <c r="C3" s="566"/>
      <c r="D3" s="383"/>
      <c r="E3" s="383"/>
      <c r="F3" s="383"/>
      <c r="G3" s="383"/>
      <c r="H3" s="383"/>
    </row>
    <row r="4" spans="1:8" ht="28.5" customHeight="1" thickBot="1" x14ac:dyDescent="0.25">
      <c r="A4" s="567" t="s">
        <v>1230</v>
      </c>
      <c r="B4" s="567"/>
      <c r="C4" s="567"/>
    </row>
    <row r="5" spans="1:8" ht="30" customHeight="1" thickBot="1" x14ac:dyDescent="0.25">
      <c r="A5" s="568" t="s">
        <v>59</v>
      </c>
      <c r="B5" s="569"/>
      <c r="C5" s="570"/>
    </row>
    <row r="6" spans="1:8" ht="9.9499999999999993" customHeight="1" thickBot="1" x14ac:dyDescent="0.25">
      <c r="B6" s="387"/>
      <c r="C6" s="387"/>
    </row>
    <row r="7" spans="1:8" s="389" customFormat="1" ht="24.95" customHeight="1" thickBot="1" x14ac:dyDescent="0.25">
      <c r="A7" s="385" t="s">
        <v>165</v>
      </c>
      <c r="B7" s="388" t="s">
        <v>44</v>
      </c>
      <c r="C7" s="755"/>
    </row>
    <row r="8" spans="1:8" ht="9.9499999999999993" customHeight="1" thickBot="1" x14ac:dyDescent="0.25">
      <c r="A8" s="563"/>
      <c r="B8" s="563"/>
      <c r="C8" s="563"/>
    </row>
    <row r="9" spans="1:8" s="389" customFormat="1" ht="24.95" customHeight="1" thickBot="1" x14ac:dyDescent="0.25">
      <c r="A9" s="385" t="s">
        <v>166</v>
      </c>
      <c r="B9" s="388" t="s">
        <v>167</v>
      </c>
      <c r="C9" s="755"/>
    </row>
    <row r="10" spans="1:8" ht="9.9499999999999993" customHeight="1" thickBot="1" x14ac:dyDescent="0.25">
      <c r="A10" s="563"/>
      <c r="B10" s="563"/>
      <c r="C10" s="563"/>
    </row>
    <row r="11" spans="1:8" s="389" customFormat="1" ht="24.95" customHeight="1" thickBot="1" x14ac:dyDescent="0.25">
      <c r="A11" s="385" t="s">
        <v>168</v>
      </c>
      <c r="B11" s="388" t="s">
        <v>169</v>
      </c>
      <c r="C11" s="405"/>
    </row>
    <row r="12" spans="1:8" ht="9.9499999999999993" customHeight="1" thickBot="1" x14ac:dyDescent="0.25">
      <c r="A12" s="563" t="s">
        <v>1098</v>
      </c>
      <c r="B12" s="563"/>
      <c r="C12" s="563"/>
    </row>
    <row r="13" spans="1:8" s="389" customFormat="1" ht="24.95" customHeight="1" thickBot="1" x14ac:dyDescent="0.25">
      <c r="A13" s="385" t="s">
        <v>48</v>
      </c>
      <c r="B13" s="388" t="s">
        <v>170</v>
      </c>
      <c r="C13" s="755"/>
    </row>
    <row r="14" spans="1:8" ht="9.9499999999999993" customHeight="1" thickBot="1" x14ac:dyDescent="0.25">
      <c r="A14" s="563"/>
      <c r="B14" s="563"/>
      <c r="C14" s="563"/>
    </row>
    <row r="15" spans="1:8" s="389" customFormat="1" ht="24.95" customHeight="1" thickBot="1" x14ac:dyDescent="0.25">
      <c r="A15" s="385" t="s">
        <v>171</v>
      </c>
      <c r="B15" s="388" t="s">
        <v>68</v>
      </c>
      <c r="C15" s="755"/>
    </row>
    <row r="16" spans="1:8" ht="9.9499999999999993" customHeight="1" thickBot="1" x14ac:dyDescent="0.25">
      <c r="A16" s="563"/>
      <c r="B16" s="563"/>
      <c r="C16" s="563"/>
    </row>
    <row r="17" spans="1:6" s="389" customFormat="1" ht="24.95" customHeight="1" thickBot="1" x14ac:dyDescent="0.25">
      <c r="A17" s="385" t="s">
        <v>160</v>
      </c>
      <c r="B17" s="388" t="s">
        <v>69</v>
      </c>
      <c r="C17" s="405"/>
    </row>
    <row r="18" spans="1:6" s="389" customFormat="1" ht="9.9499999999999993" customHeight="1" thickBot="1" x14ac:dyDescent="0.25">
      <c r="A18" s="563"/>
      <c r="B18" s="563"/>
      <c r="C18" s="563"/>
    </row>
    <row r="19" spans="1:6" s="389" customFormat="1" ht="24.95" customHeight="1" thickBot="1" x14ac:dyDescent="0.25">
      <c r="A19" s="385" t="s">
        <v>1086</v>
      </c>
      <c r="B19" s="388" t="s">
        <v>1087</v>
      </c>
      <c r="C19" s="390">
        <f>ROUND(SUM(C20:C21),5)</f>
        <v>0</v>
      </c>
    </row>
    <row r="20" spans="1:6" s="389" customFormat="1" ht="20.100000000000001" customHeight="1" x14ac:dyDescent="0.2">
      <c r="A20" s="391"/>
      <c r="B20" s="392" t="s">
        <v>1088</v>
      </c>
      <c r="C20" s="406"/>
    </row>
    <row r="21" spans="1:6" s="389" customFormat="1" ht="20.100000000000001" customHeight="1" thickBot="1" x14ac:dyDescent="0.25">
      <c r="A21" s="393"/>
      <c r="B21" s="394" t="s">
        <v>1089</v>
      </c>
      <c r="C21" s="407"/>
    </row>
    <row r="22" spans="1:6" s="389" customFormat="1" ht="9.9499999999999993" customHeight="1" thickBot="1" x14ac:dyDescent="0.25">
      <c r="A22" s="563"/>
      <c r="B22" s="563"/>
      <c r="C22" s="563"/>
    </row>
    <row r="23" spans="1:6" s="389" customFormat="1" ht="24.95" customHeight="1" thickBot="1" x14ac:dyDescent="0.25">
      <c r="A23" s="385" t="s">
        <v>1090</v>
      </c>
      <c r="B23" s="388" t="s">
        <v>1091</v>
      </c>
      <c r="C23" s="390">
        <f>ROUND(SUM(C24:C24),5)</f>
        <v>0</v>
      </c>
    </row>
    <row r="24" spans="1:6" s="389" customFormat="1" ht="20.100000000000001" customHeight="1" thickBot="1" x14ac:dyDescent="0.25">
      <c r="A24" s="395"/>
      <c r="B24" s="396" t="s">
        <v>1092</v>
      </c>
      <c r="C24" s="407"/>
    </row>
    <row r="25" spans="1:6" s="389" customFormat="1" ht="9.9499999999999993" customHeight="1" thickBot="1" x14ac:dyDescent="0.25">
      <c r="A25" s="563"/>
      <c r="B25" s="563"/>
      <c r="C25" s="563"/>
    </row>
    <row r="26" spans="1:6" s="389" customFormat="1" ht="24.95" customHeight="1" thickBot="1" x14ac:dyDescent="0.25">
      <c r="A26" s="385" t="s">
        <v>1093</v>
      </c>
      <c r="B26" s="397" t="s">
        <v>1094</v>
      </c>
      <c r="C26" s="390">
        <f>ROUND(SUM(C27:C27),5)</f>
        <v>0</v>
      </c>
    </row>
    <row r="27" spans="1:6" s="389" customFormat="1" ht="20.100000000000001" customHeight="1" thickBot="1" x14ac:dyDescent="0.25">
      <c r="A27" s="395"/>
      <c r="B27" s="396" t="s">
        <v>1095</v>
      </c>
      <c r="C27" s="407"/>
    </row>
    <row r="28" spans="1:6" ht="9.9499999999999993" customHeight="1" thickBot="1" x14ac:dyDescent="0.25">
      <c r="A28" s="563"/>
      <c r="B28" s="563"/>
      <c r="C28" s="563"/>
    </row>
    <row r="29" spans="1:6" s="389" customFormat="1" ht="30" customHeight="1" thickBot="1" x14ac:dyDescent="0.25">
      <c r="A29" s="385"/>
      <c r="B29" s="388" t="s">
        <v>172</v>
      </c>
      <c r="C29" s="398">
        <f>ROUND((((1+($C$7+$C$9+$C$11+$C$13))*(1+$C$15)*(1+$C$17))/(1-$C$19-$C$23-$C$26))-1,4)</f>
        <v>0</v>
      </c>
      <c r="D29" s="399"/>
      <c r="E29" s="400"/>
      <c r="F29" s="400"/>
    </row>
    <row r="30" spans="1:6" x14ac:dyDescent="0.2">
      <c r="A30" s="401"/>
      <c r="B30" s="402"/>
      <c r="C30" s="403"/>
    </row>
    <row r="31" spans="1:6" x14ac:dyDescent="0.2">
      <c r="A31" s="403"/>
      <c r="B31" s="402"/>
      <c r="C31" s="403"/>
    </row>
    <row r="32" spans="1:6" x14ac:dyDescent="0.2">
      <c r="A32" s="403"/>
      <c r="B32" s="402"/>
      <c r="C32" s="403"/>
    </row>
    <row r="33" spans="1:8" x14ac:dyDescent="0.2">
      <c r="A33" s="403"/>
      <c r="B33" s="402"/>
      <c r="C33" s="403"/>
    </row>
    <row r="34" spans="1:8" s="386" customFormat="1" ht="12.75" customHeight="1" x14ac:dyDescent="0.2">
      <c r="A34" s="564" t="s">
        <v>1096</v>
      </c>
      <c r="B34" s="564"/>
      <c r="C34" s="564"/>
      <c r="D34" s="404"/>
      <c r="E34" s="384"/>
      <c r="F34" s="384"/>
      <c r="G34" s="384"/>
      <c r="H34" s="384"/>
    </row>
    <row r="35" spans="1:8" s="386" customFormat="1" ht="12.75" customHeight="1" x14ac:dyDescent="0.2">
      <c r="A35" s="564"/>
      <c r="B35" s="564"/>
      <c r="C35" s="564"/>
      <c r="D35" s="404"/>
      <c r="E35" s="384"/>
      <c r="F35" s="384"/>
      <c r="G35" s="384"/>
      <c r="H35" s="384"/>
    </row>
    <row r="36" spans="1:8" s="386" customFormat="1" ht="12.75" customHeight="1" x14ac:dyDescent="0.2">
      <c r="A36" s="564"/>
      <c r="B36" s="564"/>
      <c r="C36" s="564"/>
      <c r="D36" s="404"/>
      <c r="E36" s="384"/>
      <c r="F36" s="384"/>
      <c r="G36" s="384"/>
      <c r="H36" s="384"/>
    </row>
    <row r="37" spans="1:8" s="386" customFormat="1" ht="12.75" customHeight="1" x14ac:dyDescent="0.2">
      <c r="A37" s="564"/>
      <c r="B37" s="564"/>
      <c r="C37" s="564"/>
      <c r="D37" s="404"/>
      <c r="E37" s="384"/>
      <c r="F37" s="384"/>
      <c r="G37" s="384"/>
      <c r="H37" s="384"/>
    </row>
    <row r="38" spans="1:8" ht="12.75" customHeight="1" x14ac:dyDescent="0.2">
      <c r="A38" s="564"/>
      <c r="B38" s="564"/>
      <c r="C38" s="564"/>
      <c r="D38" s="404"/>
    </row>
    <row r="39" spans="1:8" ht="12.75" customHeight="1" x14ac:dyDescent="0.2">
      <c r="A39" s="564"/>
      <c r="B39" s="564"/>
      <c r="C39" s="564"/>
      <c r="D39" s="404"/>
    </row>
    <row r="40" spans="1:8" ht="12.75" customHeight="1" x14ac:dyDescent="0.2">
      <c r="A40" s="564"/>
      <c r="B40" s="564"/>
      <c r="C40" s="564"/>
      <c r="D40" s="404"/>
    </row>
    <row r="41" spans="1:8" ht="12.75" customHeight="1" x14ac:dyDescent="0.2">
      <c r="A41" s="564"/>
      <c r="B41" s="564"/>
      <c r="C41" s="564"/>
      <c r="D41" s="404"/>
    </row>
    <row r="42" spans="1:8" ht="12.75" customHeight="1" x14ac:dyDescent="0.2">
      <c r="A42" s="564"/>
      <c r="B42" s="564"/>
      <c r="C42" s="564"/>
      <c r="D42" s="404"/>
    </row>
    <row r="43" spans="1:8" ht="12.75" customHeight="1" x14ac:dyDescent="0.2">
      <c r="A43" s="564"/>
      <c r="B43" s="564"/>
      <c r="C43" s="564"/>
      <c r="D43" s="404"/>
    </row>
    <row r="44" spans="1:8" ht="12.75" customHeight="1" x14ac:dyDescent="0.2">
      <c r="A44" s="564"/>
      <c r="B44" s="564"/>
      <c r="C44" s="564"/>
      <c r="D44" s="404"/>
    </row>
    <row r="45" spans="1:8" ht="12.75" customHeight="1" x14ac:dyDescent="0.2">
      <c r="A45" s="564"/>
      <c r="B45" s="564"/>
      <c r="C45" s="564"/>
      <c r="D45" s="404"/>
    </row>
    <row r="46" spans="1:8" ht="12.75" customHeight="1" x14ac:dyDescent="0.2">
      <c r="A46" s="564"/>
      <c r="B46" s="564"/>
      <c r="C46" s="564"/>
      <c r="D46" s="404"/>
    </row>
  </sheetData>
  <sheetProtection algorithmName="SHA-512" hashValue="QcEfXZ/P8TqVcvr//F3ZXO5p6Qgfq+ZMgait4B5CaBctHtg6Dmc9zv8IyPmECMWJ5bDKwDrTV7xFZhy8mk6MEw==" saltValue="cZNuk5oeFmPAhM9ex4XwjA==" spinCount="100000" sheet="1" objects="1" scenarios="1"/>
  <mergeCells count="15">
    <mergeCell ref="A1:C1"/>
    <mergeCell ref="A2:C2"/>
    <mergeCell ref="A8:C8"/>
    <mergeCell ref="B3:C3"/>
    <mergeCell ref="A4:C4"/>
    <mergeCell ref="A5:C5"/>
    <mergeCell ref="A25:C25"/>
    <mergeCell ref="A28:C28"/>
    <mergeCell ref="A34:C46"/>
    <mergeCell ref="A10:C10"/>
    <mergeCell ref="A12:C12"/>
    <mergeCell ref="A14:C14"/>
    <mergeCell ref="A16:C16"/>
    <mergeCell ref="A18:C18"/>
    <mergeCell ref="A22:C22"/>
  </mergeCells>
  <printOptions horizontalCentered="1"/>
  <pageMargins left="0.51181102362204722" right="0.51181102362204722" top="0.43307086614173229" bottom="0.59055118110236227" header="0.31496062992125984" footer="0.31496062992125984"/>
  <pageSetup paperSize="9" orientation="portrait" r:id="rId1"/>
  <headerFooter>
    <oddFooter>&amp;L&amp;G&amp;C&amp;"Arial,Negrito itálico"Página &amp;P&amp;R&amp;G</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T52"/>
  <sheetViews>
    <sheetView view="pageBreakPreview" zoomScaleNormal="100" zoomScaleSheetLayoutView="100" workbookViewId="0">
      <selection activeCell="C27" sqref="C27"/>
    </sheetView>
  </sheetViews>
  <sheetFormatPr defaultRowHeight="12.75" x14ac:dyDescent="0.2"/>
  <cols>
    <col min="1" max="1" width="10.5703125" style="112" customWidth="1"/>
    <col min="2" max="2" width="73.140625" style="112" customWidth="1"/>
    <col min="3" max="3" width="12.85546875" style="112" customWidth="1"/>
    <col min="4" max="4" width="13.28515625" style="112" customWidth="1"/>
    <col min="5" max="254" width="9.140625" style="112"/>
  </cols>
  <sheetData>
    <row r="1" spans="1:4" s="4" customFormat="1" ht="12.75" customHeight="1" x14ac:dyDescent="0.2">
      <c r="A1" s="581" t="str">
        <f>'A IV.A'!A1</f>
        <v>(TIMBRE DA LICITANTE)</v>
      </c>
      <c r="B1" s="581"/>
      <c r="C1" s="581"/>
      <c r="D1" s="581"/>
    </row>
    <row r="2" spans="1:4" s="4" customFormat="1" ht="12.75" customHeight="1" x14ac:dyDescent="0.2">
      <c r="A2" s="581"/>
      <c r="B2" s="581"/>
      <c r="C2" s="581"/>
      <c r="D2" s="581"/>
    </row>
    <row r="3" spans="1:4" s="4" customFormat="1" ht="12.75" customHeight="1" x14ac:dyDescent="0.2">
      <c r="A3" s="581"/>
      <c r="B3" s="581"/>
      <c r="C3" s="581"/>
      <c r="D3" s="581"/>
    </row>
    <row r="4" spans="1:4" s="4" customFormat="1" ht="12.75" customHeight="1" x14ac:dyDescent="0.2">
      <c r="A4" s="581"/>
      <c r="B4" s="581"/>
      <c r="C4" s="581"/>
      <c r="D4" s="581"/>
    </row>
    <row r="5" spans="1:4" s="4" customFormat="1" ht="3" customHeight="1" x14ac:dyDescent="0.2">
      <c r="A5" s="580"/>
      <c r="B5" s="580"/>
      <c r="C5" s="580"/>
      <c r="D5" s="320"/>
    </row>
    <row r="6" spans="1:4" s="4" customFormat="1" ht="7.5" customHeight="1" x14ac:dyDescent="0.2">
      <c r="A6" s="582" t="str">
        <f>'A IV.A'!A3</f>
        <v xml:space="preserve">  </v>
      </c>
      <c r="B6" s="582"/>
      <c r="C6" s="582"/>
      <c r="D6" s="582"/>
    </row>
    <row r="7" spans="1:4" s="4" customFormat="1" ht="6.75" customHeight="1" x14ac:dyDescent="0.2">
      <c r="A7" s="582"/>
      <c r="B7" s="582"/>
      <c r="C7" s="582"/>
      <c r="D7" s="582"/>
    </row>
    <row r="8" spans="1:4" s="4" customFormat="1" x14ac:dyDescent="0.2">
      <c r="A8" s="49"/>
      <c r="B8" s="50"/>
      <c r="C8" s="49"/>
      <c r="D8" s="49"/>
    </row>
    <row r="9" spans="1:4" s="4" customFormat="1" ht="9" customHeight="1" x14ac:dyDescent="0.2">
      <c r="A9" s="583" t="s">
        <v>1229</v>
      </c>
      <c r="B9" s="583"/>
      <c r="C9" s="583"/>
      <c r="D9" s="583"/>
    </row>
    <row r="10" spans="1:4" s="4" customFormat="1" x14ac:dyDescent="0.2">
      <c r="A10" s="49"/>
      <c r="B10" s="50"/>
      <c r="C10" s="49"/>
      <c r="D10" s="49"/>
    </row>
    <row r="11" spans="1:4" s="4" customFormat="1" ht="28.5" customHeight="1" thickBot="1" x14ac:dyDescent="0.25">
      <c r="A11" s="584" t="str">
        <f>'A IV.A'!A7</f>
        <v>EXECUÇÃO DE SERVIÇO DE REFORMA CIVIL, CONSTRUÇÕES E MANUTENÇÕES GERAIS  PARA MELHORIAS NAS ÁREAS DE PROPRIEDADE E/OU DE RESPONSABILIDADE DO SEMAE.</v>
      </c>
      <c r="B11" s="584"/>
      <c r="C11" s="584"/>
      <c r="D11" s="584"/>
    </row>
    <row r="12" spans="1:4" ht="13.5" customHeight="1" x14ac:dyDescent="0.2">
      <c r="A12" s="585" t="s">
        <v>49</v>
      </c>
      <c r="B12" s="588" t="s">
        <v>50</v>
      </c>
      <c r="C12" s="594" t="s">
        <v>51</v>
      </c>
      <c r="D12" s="595"/>
    </row>
    <row r="13" spans="1:4" ht="14.25" x14ac:dyDescent="0.2">
      <c r="A13" s="586"/>
      <c r="B13" s="589"/>
      <c r="C13" s="21" t="s">
        <v>52</v>
      </c>
      <c r="D13" s="22" t="s">
        <v>52</v>
      </c>
    </row>
    <row r="14" spans="1:4" ht="13.5" thickBot="1" x14ac:dyDescent="0.25">
      <c r="A14" s="587"/>
      <c r="B14" s="590"/>
      <c r="C14" s="23" t="s">
        <v>906</v>
      </c>
      <c r="D14" s="24" t="s">
        <v>907</v>
      </c>
    </row>
    <row r="15" spans="1:4" ht="20.100000000000001" customHeight="1" x14ac:dyDescent="0.2">
      <c r="A15" s="591" t="s">
        <v>43</v>
      </c>
      <c r="B15" s="25" t="s">
        <v>908</v>
      </c>
      <c r="C15" s="245"/>
      <c r="D15" s="26"/>
    </row>
    <row r="16" spans="1:4" ht="20.100000000000001" customHeight="1" x14ac:dyDescent="0.2">
      <c r="A16" s="592"/>
      <c r="B16" s="27" t="s">
        <v>909</v>
      </c>
      <c r="C16" s="246"/>
      <c r="D16" s="26"/>
    </row>
    <row r="17" spans="1:4" ht="20.100000000000001" customHeight="1" x14ac:dyDescent="0.2">
      <c r="A17" s="592"/>
      <c r="B17" s="27" t="s">
        <v>910</v>
      </c>
      <c r="C17" s="246"/>
      <c r="D17" s="26"/>
    </row>
    <row r="18" spans="1:4" ht="20.100000000000001" customHeight="1" x14ac:dyDescent="0.2">
      <c r="A18" s="592"/>
      <c r="B18" s="27" t="s">
        <v>911</v>
      </c>
      <c r="C18" s="246"/>
      <c r="D18" s="26"/>
    </row>
    <row r="19" spans="1:4" ht="20.100000000000001" customHeight="1" x14ac:dyDescent="0.2">
      <c r="A19" s="592"/>
      <c r="B19" s="27" t="s">
        <v>912</v>
      </c>
      <c r="C19" s="246"/>
      <c r="D19" s="26"/>
    </row>
    <row r="20" spans="1:4" ht="20.100000000000001" customHeight="1" x14ac:dyDescent="0.2">
      <c r="A20" s="592"/>
      <c r="B20" s="27" t="s">
        <v>913</v>
      </c>
      <c r="C20" s="246"/>
      <c r="D20" s="26"/>
    </row>
    <row r="21" spans="1:4" ht="20.100000000000001" customHeight="1" x14ac:dyDescent="0.2">
      <c r="A21" s="592"/>
      <c r="B21" s="27" t="s">
        <v>914</v>
      </c>
      <c r="C21" s="246"/>
      <c r="D21" s="26"/>
    </row>
    <row r="22" spans="1:4" ht="20.100000000000001" customHeight="1" x14ac:dyDescent="0.2">
      <c r="A22" s="592"/>
      <c r="B22" s="27" t="s">
        <v>915</v>
      </c>
      <c r="C22" s="246"/>
      <c r="D22" s="26"/>
    </row>
    <row r="23" spans="1:4" ht="20.100000000000001" customHeight="1" x14ac:dyDescent="0.2">
      <c r="A23" s="592"/>
      <c r="B23" s="27" t="s">
        <v>916</v>
      </c>
      <c r="C23" s="246"/>
      <c r="D23" s="26"/>
    </row>
    <row r="24" spans="1:4" ht="20.100000000000001" customHeight="1" thickBot="1" x14ac:dyDescent="0.25">
      <c r="A24" s="593"/>
      <c r="B24" s="28" t="s">
        <v>917</v>
      </c>
      <c r="C24" s="247">
        <f>ROUND(SUM(C15:C23),4)</f>
        <v>0</v>
      </c>
      <c r="D24" s="29">
        <f>ROUND(SUM(D15:D23),4)</f>
        <v>0</v>
      </c>
    </row>
    <row r="25" spans="1:4" ht="20.100000000000001" customHeight="1" x14ac:dyDescent="0.2">
      <c r="A25" s="591" t="s">
        <v>45</v>
      </c>
      <c r="B25" s="30" t="s">
        <v>918</v>
      </c>
      <c r="C25" s="245"/>
      <c r="D25" s="31"/>
    </row>
    <row r="26" spans="1:4" ht="20.100000000000001" customHeight="1" x14ac:dyDescent="0.2">
      <c r="A26" s="592"/>
      <c r="B26" s="32" t="s">
        <v>919</v>
      </c>
      <c r="C26" s="246"/>
      <c r="D26" s="33"/>
    </row>
    <row r="27" spans="1:4" ht="20.100000000000001" customHeight="1" x14ac:dyDescent="0.2">
      <c r="A27" s="592"/>
      <c r="B27" s="32" t="s">
        <v>920</v>
      </c>
      <c r="C27" s="246"/>
      <c r="D27" s="26"/>
    </row>
    <row r="28" spans="1:4" ht="20.100000000000001" customHeight="1" x14ac:dyDescent="0.2">
      <c r="A28" s="592"/>
      <c r="B28" s="32" t="s">
        <v>921</v>
      </c>
      <c r="C28" s="246"/>
      <c r="D28" s="26"/>
    </row>
    <row r="29" spans="1:4" ht="20.100000000000001" customHeight="1" x14ac:dyDescent="0.2">
      <c r="A29" s="592"/>
      <c r="B29" s="32" t="s">
        <v>922</v>
      </c>
      <c r="C29" s="246"/>
      <c r="D29" s="26"/>
    </row>
    <row r="30" spans="1:4" ht="20.100000000000001" customHeight="1" x14ac:dyDescent="0.2">
      <c r="A30" s="592"/>
      <c r="B30" s="32" t="s">
        <v>923</v>
      </c>
      <c r="C30" s="246"/>
      <c r="D30" s="26"/>
    </row>
    <row r="31" spans="1:4" ht="20.100000000000001" customHeight="1" x14ac:dyDescent="0.2">
      <c r="A31" s="592"/>
      <c r="B31" s="32" t="s">
        <v>924</v>
      </c>
      <c r="C31" s="246"/>
      <c r="D31" s="33"/>
    </row>
    <row r="32" spans="1:4" ht="20.100000000000001" customHeight="1" x14ac:dyDescent="0.2">
      <c r="A32" s="592"/>
      <c r="B32" s="32" t="s">
        <v>925</v>
      </c>
      <c r="C32" s="246"/>
      <c r="D32" s="26"/>
    </row>
    <row r="33" spans="1:4" ht="20.100000000000001" customHeight="1" x14ac:dyDescent="0.2">
      <c r="A33" s="592"/>
      <c r="B33" s="32" t="s">
        <v>926</v>
      </c>
      <c r="C33" s="246"/>
      <c r="D33" s="26"/>
    </row>
    <row r="34" spans="1:4" ht="20.100000000000001" customHeight="1" x14ac:dyDescent="0.2">
      <c r="A34" s="592"/>
      <c r="B34" s="32" t="s">
        <v>927</v>
      </c>
      <c r="C34" s="246"/>
      <c r="D34" s="26"/>
    </row>
    <row r="35" spans="1:4" ht="20.100000000000001" customHeight="1" thickBot="1" x14ac:dyDescent="0.25">
      <c r="A35" s="593"/>
      <c r="B35" s="34" t="s">
        <v>928</v>
      </c>
      <c r="C35" s="248">
        <f>SUM(C25:C34)</f>
        <v>0</v>
      </c>
      <c r="D35" s="35">
        <f>SUM(D25:D34)</f>
        <v>0</v>
      </c>
    </row>
    <row r="36" spans="1:4" ht="20.100000000000001" customHeight="1" x14ac:dyDescent="0.2">
      <c r="A36" s="591" t="s">
        <v>46</v>
      </c>
      <c r="B36" s="30" t="s">
        <v>929</v>
      </c>
      <c r="C36" s="245"/>
      <c r="D36" s="36"/>
    </row>
    <row r="37" spans="1:4" ht="20.100000000000001" customHeight="1" x14ac:dyDescent="0.2">
      <c r="A37" s="592"/>
      <c r="B37" s="32" t="s">
        <v>930</v>
      </c>
      <c r="C37" s="246"/>
      <c r="D37" s="26"/>
    </row>
    <row r="38" spans="1:4" ht="20.100000000000001" customHeight="1" x14ac:dyDescent="0.2">
      <c r="A38" s="592"/>
      <c r="B38" s="32" t="s">
        <v>931</v>
      </c>
      <c r="C38" s="246"/>
      <c r="D38" s="26"/>
    </row>
    <row r="39" spans="1:4" ht="20.100000000000001" customHeight="1" x14ac:dyDescent="0.2">
      <c r="A39" s="592"/>
      <c r="B39" s="32" t="s">
        <v>932</v>
      </c>
      <c r="C39" s="246"/>
      <c r="D39" s="26"/>
    </row>
    <row r="40" spans="1:4" ht="20.100000000000001" customHeight="1" x14ac:dyDescent="0.2">
      <c r="A40" s="592"/>
      <c r="B40" s="32" t="s">
        <v>933</v>
      </c>
      <c r="C40" s="246"/>
      <c r="D40" s="26"/>
    </row>
    <row r="41" spans="1:4" ht="20.100000000000001" customHeight="1" thickBot="1" x14ac:dyDescent="0.25">
      <c r="A41" s="593"/>
      <c r="B41" s="34" t="s">
        <v>934</v>
      </c>
      <c r="C41" s="247">
        <f>SUM(C36:C40)</f>
        <v>0</v>
      </c>
      <c r="D41" s="29">
        <f>SUM(D36:D40)</f>
        <v>0</v>
      </c>
    </row>
    <row r="42" spans="1:4" ht="22.5" customHeight="1" x14ac:dyDescent="0.2">
      <c r="A42" s="591" t="s">
        <v>47</v>
      </c>
      <c r="B42" s="32" t="s">
        <v>935</v>
      </c>
      <c r="C42" s="246"/>
      <c r="D42" s="26"/>
    </row>
    <row r="43" spans="1:4" ht="28.5" customHeight="1" x14ac:dyDescent="0.2">
      <c r="A43" s="592"/>
      <c r="B43" s="38" t="s">
        <v>936</v>
      </c>
      <c r="C43" s="246"/>
      <c r="D43" s="26"/>
    </row>
    <row r="44" spans="1:4" ht="20.100000000000001" customHeight="1" thickBot="1" x14ac:dyDescent="0.25">
      <c r="A44" s="593"/>
      <c r="B44" s="34" t="s">
        <v>937</v>
      </c>
      <c r="C44" s="247">
        <f>SUM(C42:C43)</f>
        <v>0</v>
      </c>
      <c r="D44" s="29">
        <f>SUM(D42:D43)</f>
        <v>0</v>
      </c>
    </row>
    <row r="45" spans="1:4" ht="30" customHeight="1" thickBot="1" x14ac:dyDescent="0.25">
      <c r="A45" s="448"/>
      <c r="B45" s="448" t="s">
        <v>938</v>
      </c>
      <c r="C45" s="251">
        <f>ROUND(C24+C35+C41+C44,5)</f>
        <v>0</v>
      </c>
      <c r="D45" s="40">
        <f>ROUND(D24+D35+D41+D44,5)</f>
        <v>0</v>
      </c>
    </row>
    <row r="46" spans="1:4" x14ac:dyDescent="0.2">
      <c r="A46" s="41"/>
      <c r="B46" s="42"/>
      <c r="C46" s="42"/>
      <c r="D46" s="43"/>
    </row>
    <row r="47" spans="1:4" s="4" customFormat="1" ht="12.75" customHeight="1" x14ac:dyDescent="0.2">
      <c r="A47" s="577" t="s">
        <v>1204</v>
      </c>
      <c r="B47" s="578"/>
      <c r="C47" s="578"/>
      <c r="D47" s="579"/>
    </row>
    <row r="48" spans="1:4" s="4" customFormat="1" x14ac:dyDescent="0.2">
      <c r="A48" s="577"/>
      <c r="B48" s="578"/>
      <c r="C48" s="578"/>
      <c r="D48" s="579"/>
    </row>
    <row r="49" spans="1:4" s="4" customFormat="1" x14ac:dyDescent="0.2">
      <c r="A49" s="571" t="s">
        <v>939</v>
      </c>
      <c r="B49" s="572"/>
      <c r="C49" s="572"/>
      <c r="D49" s="573"/>
    </row>
    <row r="50" spans="1:4" s="4" customFormat="1" ht="13.5" thickBot="1" x14ac:dyDescent="0.25">
      <c r="A50" s="574"/>
      <c r="B50" s="575"/>
      <c r="C50" s="575"/>
      <c r="D50" s="576"/>
    </row>
    <row r="51" spans="1:4" ht="13.5" customHeight="1" x14ac:dyDescent="0.2">
      <c r="B51" s="115"/>
      <c r="C51" s="113"/>
      <c r="D51" s="75"/>
    </row>
    <row r="52" spans="1:4" ht="16.5" x14ac:dyDescent="0.2">
      <c r="B52" s="115"/>
      <c r="C52" s="113"/>
      <c r="D52" s="75"/>
    </row>
  </sheetData>
  <sheetProtection algorithmName="SHA-512" hashValue="nTpprvph8MvImEoOSIY23BCwjzbO31jTqkoG09HClKEXZVOr4bWQLW4N6xemRVZLmtl2Iu4cnS4JA2NbLnVsjQ==" saltValue="6Gmoay7a+g7OxX9JPGGZ+g==" spinCount="100000" sheet="1" selectLockedCells="1"/>
  <mergeCells count="14">
    <mergeCell ref="A49:D50"/>
    <mergeCell ref="A47:D48"/>
    <mergeCell ref="A5:C5"/>
    <mergeCell ref="A1:D4"/>
    <mergeCell ref="A6:D7"/>
    <mergeCell ref="A9:D9"/>
    <mergeCell ref="A11:D11"/>
    <mergeCell ref="A12:A14"/>
    <mergeCell ref="B12:B14"/>
    <mergeCell ref="A15:A24"/>
    <mergeCell ref="C12:D12"/>
    <mergeCell ref="A25:A35"/>
    <mergeCell ref="A36:A41"/>
    <mergeCell ref="A42:A44"/>
  </mergeCells>
  <phoneticPr fontId="26" type="noConversion"/>
  <printOptions horizontalCentered="1"/>
  <pageMargins left="0.51181102362204722" right="0.51181102362204722" top="0.43307086614173229" bottom="0.59055118110236215" header="0.31496062992125984" footer="0.31496062992125984"/>
  <pageSetup paperSize="9" scale="85" firstPageNumber="0" fitToHeight="0" orientation="portrait" r:id="rId1"/>
  <headerFooter>
    <oddFooter>&amp;L&amp;G&amp;CPágina &amp;P de &amp;N&amp;R&amp;G</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5655"/>
  <sheetViews>
    <sheetView view="pageBreakPreview" zoomScale="90" zoomScaleSheetLayoutView="90" workbookViewId="0">
      <selection activeCell="E19" sqref="E19"/>
    </sheetView>
  </sheetViews>
  <sheetFormatPr defaultRowHeight="12.75" x14ac:dyDescent="0.2"/>
  <cols>
    <col min="1" max="1" width="7.7109375" style="208" customWidth="1"/>
    <col min="2" max="2" width="7.7109375" style="134" customWidth="1"/>
    <col min="3" max="3" width="5.7109375" style="209" customWidth="1"/>
    <col min="4" max="4" width="6.7109375" style="209" customWidth="1"/>
    <col min="5" max="5" width="11.7109375" style="209" customWidth="1"/>
    <col min="6" max="6" width="11.85546875" style="209" customWidth="1"/>
    <col min="7" max="8" width="10.7109375" style="209" customWidth="1"/>
    <col min="9" max="9" width="11.7109375" style="209" customWidth="1"/>
    <col min="10" max="10" width="15.7109375" style="134" customWidth="1"/>
    <col min="11" max="11" width="13.7109375" style="217" customWidth="1"/>
    <col min="12" max="12" width="9.140625" style="218"/>
    <col min="13" max="15" width="9.140625" style="134"/>
    <col min="16" max="16384" width="9.140625" style="56"/>
  </cols>
  <sheetData>
    <row r="1" spans="1:14" s="125" customFormat="1" ht="19.5" customHeight="1" x14ac:dyDescent="0.2">
      <c r="A1" s="697"/>
      <c r="B1" s="698"/>
      <c r="C1" s="703" t="s">
        <v>1205</v>
      </c>
      <c r="D1" s="704"/>
      <c r="E1" s="704"/>
      <c r="F1" s="704"/>
      <c r="G1" s="704"/>
      <c r="H1" s="704"/>
      <c r="I1" s="705"/>
      <c r="J1" s="122"/>
      <c r="K1" s="123"/>
      <c r="L1" s="124"/>
      <c r="M1" s="124"/>
    </row>
    <row r="2" spans="1:14" s="125" customFormat="1" ht="12.75" customHeight="1" x14ac:dyDescent="0.2">
      <c r="A2" s="699"/>
      <c r="B2" s="700"/>
      <c r="C2" s="706" t="s">
        <v>71</v>
      </c>
      <c r="D2" s="707"/>
      <c r="E2" s="707"/>
      <c r="F2" s="707"/>
      <c r="G2" s="707"/>
      <c r="H2" s="707"/>
      <c r="I2" s="708"/>
      <c r="J2" s="126"/>
      <c r="K2" s="123"/>
      <c r="L2" s="127">
        <f>COUNT('A IV.A'!#REF!)</f>
        <v>0</v>
      </c>
      <c r="M2" s="127">
        <f>COUNTA(K3:K7115)</f>
        <v>123</v>
      </c>
      <c r="N2" s="124" t="str">
        <f>IF(L2=M2,"SIM","NÃO")</f>
        <v>NÃO</v>
      </c>
    </row>
    <row r="3" spans="1:14" s="125" customFormat="1" ht="12.75" customHeight="1" x14ac:dyDescent="0.2">
      <c r="A3" s="699"/>
      <c r="B3" s="700"/>
      <c r="C3" s="706"/>
      <c r="D3" s="707"/>
      <c r="E3" s="707"/>
      <c r="F3" s="707"/>
      <c r="G3" s="707"/>
      <c r="H3" s="707"/>
      <c r="I3" s="708"/>
      <c r="J3" s="126"/>
      <c r="K3" s="123"/>
      <c r="L3" s="124"/>
      <c r="M3" s="124"/>
    </row>
    <row r="4" spans="1:14" s="125" customFormat="1" ht="12.75" customHeight="1" thickBot="1" x14ac:dyDescent="0.25">
      <c r="A4" s="701"/>
      <c r="B4" s="702"/>
      <c r="C4" s="709"/>
      <c r="D4" s="710"/>
      <c r="E4" s="710"/>
      <c r="F4" s="710"/>
      <c r="G4" s="710"/>
      <c r="H4" s="710"/>
      <c r="I4" s="711"/>
      <c r="J4" s="128"/>
      <c r="K4" s="123"/>
      <c r="L4" s="124"/>
      <c r="M4" s="124"/>
    </row>
    <row r="5" spans="1:14" s="125" customFormat="1" ht="13.5" thickBot="1" x14ac:dyDescent="0.25">
      <c r="A5" s="129"/>
      <c r="B5" s="129"/>
      <c r="C5" s="130"/>
      <c r="D5" s="130"/>
      <c r="E5" s="130"/>
      <c r="F5" s="130"/>
      <c r="G5" s="130"/>
      <c r="H5" s="130"/>
      <c r="I5" s="130"/>
      <c r="J5" s="129"/>
      <c r="K5" s="123"/>
      <c r="L5" s="124"/>
      <c r="M5" s="124"/>
    </row>
    <row r="6" spans="1:14" s="125" customFormat="1" ht="15.75" x14ac:dyDescent="0.2">
      <c r="A6" s="602" t="s">
        <v>4</v>
      </c>
      <c r="B6" s="603"/>
      <c r="C6" s="639" t="str">
        <f>'A IV.A'!$B$14</f>
        <v>CANTEIRO DE OBRAS</v>
      </c>
      <c r="D6" s="640"/>
      <c r="E6" s="640"/>
      <c r="F6" s="640"/>
      <c r="G6" s="640"/>
      <c r="H6" s="640"/>
      <c r="I6" s="640"/>
      <c r="J6" s="641"/>
      <c r="K6" s="123"/>
      <c r="L6" s="124"/>
      <c r="M6" s="124"/>
    </row>
    <row r="7" spans="1:14" s="125" customFormat="1" x14ac:dyDescent="0.2">
      <c r="A7" s="609" t="str">
        <f>'A IV.A'!$A$14</f>
        <v>1.0</v>
      </c>
      <c r="B7" s="610"/>
      <c r="C7" s="642"/>
      <c r="D7" s="643"/>
      <c r="E7" s="643"/>
      <c r="F7" s="643"/>
      <c r="G7" s="643"/>
      <c r="H7" s="643"/>
      <c r="I7" s="643"/>
      <c r="J7" s="644"/>
      <c r="K7" s="123"/>
      <c r="L7" s="124"/>
      <c r="M7" s="124"/>
    </row>
    <row r="8" spans="1:14" s="125" customFormat="1" ht="13.5" thickBot="1" x14ac:dyDescent="0.25">
      <c r="A8" s="611"/>
      <c r="B8" s="612"/>
      <c r="C8" s="645"/>
      <c r="D8" s="646"/>
      <c r="E8" s="646"/>
      <c r="F8" s="646"/>
      <c r="G8" s="646"/>
      <c r="H8" s="646"/>
      <c r="I8" s="646"/>
      <c r="J8" s="647"/>
      <c r="K8" s="123"/>
      <c r="L8" s="124"/>
      <c r="M8" s="124"/>
    </row>
    <row r="9" spans="1:14" ht="13.5" thickBot="1" x14ac:dyDescent="0.25">
      <c r="A9" s="131"/>
      <c r="B9" s="131"/>
      <c r="C9" s="712"/>
      <c r="D9" s="712"/>
      <c r="E9" s="712"/>
      <c r="F9" s="712"/>
      <c r="G9" s="712"/>
      <c r="H9" s="712"/>
      <c r="I9" s="712"/>
      <c r="J9" s="131"/>
      <c r="K9" s="132"/>
      <c r="L9" s="133"/>
    </row>
    <row r="10" spans="1:14" ht="13.5" thickBot="1" x14ac:dyDescent="0.25">
      <c r="A10" s="632" t="s">
        <v>60</v>
      </c>
      <c r="B10" s="633"/>
      <c r="C10" s="656" t="s">
        <v>61</v>
      </c>
      <c r="D10" s="656"/>
      <c r="E10" s="656"/>
      <c r="F10" s="656"/>
      <c r="G10" s="656"/>
      <c r="H10" s="656"/>
      <c r="I10" s="656"/>
      <c r="J10" s="260" t="s">
        <v>0</v>
      </c>
      <c r="K10" s="132"/>
      <c r="L10" s="133"/>
    </row>
    <row r="11" spans="1:14" x14ac:dyDescent="0.2">
      <c r="A11" s="136"/>
      <c r="B11" s="137"/>
      <c r="C11" s="619"/>
      <c r="D11" s="620"/>
      <c r="E11" s="621"/>
      <c r="F11" s="621"/>
      <c r="G11" s="621"/>
      <c r="H11" s="621"/>
      <c r="I11" s="622"/>
      <c r="J11" s="138"/>
      <c r="K11" s="132"/>
      <c r="L11" s="133"/>
    </row>
    <row r="12" spans="1:14" x14ac:dyDescent="0.2">
      <c r="A12" s="625" t="str">
        <f>'A IV.A'!$A$16</f>
        <v>1.1</v>
      </c>
      <c r="B12" s="624"/>
      <c r="C12" s="626" t="str">
        <f>'A IV.A'!$B$16</f>
        <v>CANTEIRO DE OBRAS (ITEM 6.0 DO TERMO DE REFERÊNCIA)</v>
      </c>
      <c r="D12" s="627"/>
      <c r="E12" s="627"/>
      <c r="F12" s="627"/>
      <c r="G12" s="627"/>
      <c r="H12" s="627"/>
      <c r="I12" s="628"/>
      <c r="J12" s="629" t="str">
        <f>'A IV.A'!$C$16</f>
        <v>GB</v>
      </c>
      <c r="K12" s="630" t="str">
        <f>VLOOKUP(A12,'A IV.A'!$A$14:$M$233,2,FALSE)</f>
        <v>CANTEIRO DE OBRAS (ITEM 6.0 DO TERMO DE REFERÊNCIA)</v>
      </c>
      <c r="L12" s="631" t="str">
        <f>IF(C12=K12,"sim","nao")</f>
        <v>sim</v>
      </c>
      <c r="M12" s="631" t="str">
        <f>VLOOKUP(A12,'A IV.A'!$A$14:$M$233,3,FALSE)</f>
        <v>GB</v>
      </c>
      <c r="N12" s="631" t="str">
        <f>IF(J12=M12,"sim","nao")</f>
        <v>sim</v>
      </c>
    </row>
    <row r="13" spans="1:14" x14ac:dyDescent="0.2">
      <c r="A13" s="625"/>
      <c r="B13" s="624"/>
      <c r="C13" s="626"/>
      <c r="D13" s="627"/>
      <c r="E13" s="627"/>
      <c r="F13" s="627"/>
      <c r="G13" s="627"/>
      <c r="H13" s="627"/>
      <c r="I13" s="628"/>
      <c r="J13" s="629"/>
      <c r="K13" s="630"/>
      <c r="L13" s="631"/>
      <c r="M13" s="631"/>
      <c r="N13" s="631"/>
    </row>
    <row r="14" spans="1:14" x14ac:dyDescent="0.2">
      <c r="A14" s="139"/>
      <c r="B14" s="140"/>
      <c r="C14" s="141"/>
      <c r="D14" s="142"/>
      <c r="E14" s="142"/>
      <c r="F14" s="142"/>
      <c r="G14" s="142"/>
      <c r="H14" s="142"/>
      <c r="I14" s="143"/>
      <c r="J14" s="144"/>
      <c r="K14" s="132"/>
      <c r="L14" s="133"/>
    </row>
    <row r="15" spans="1:14" x14ac:dyDescent="0.2">
      <c r="A15" s="145"/>
      <c r="B15" s="146"/>
      <c r="C15" s="147"/>
      <c r="D15" s="147"/>
      <c r="E15" s="147"/>
      <c r="F15" s="147"/>
      <c r="G15" s="147"/>
      <c r="H15" s="147"/>
      <c r="I15" s="147"/>
      <c r="J15" s="148"/>
      <c r="K15" s="132"/>
      <c r="L15" s="133"/>
    </row>
    <row r="16" spans="1:14" x14ac:dyDescent="0.2">
      <c r="A16" s="145"/>
      <c r="B16" s="146"/>
      <c r="C16" s="147"/>
      <c r="D16" s="147"/>
      <c r="E16" s="147"/>
      <c r="F16" s="147"/>
      <c r="G16" s="147"/>
      <c r="H16" s="147"/>
      <c r="I16" s="147"/>
      <c r="J16" s="148"/>
      <c r="K16" s="132"/>
      <c r="L16" s="133"/>
    </row>
    <row r="17" spans="1:12" x14ac:dyDescent="0.2">
      <c r="A17" s="145"/>
      <c r="B17" s="146"/>
      <c r="C17" s="147"/>
      <c r="D17" s="147"/>
      <c r="E17" s="147"/>
      <c r="F17" s="147"/>
      <c r="G17" s="147"/>
      <c r="H17" s="147"/>
      <c r="I17" s="147"/>
      <c r="J17" s="148"/>
      <c r="K17" s="132"/>
      <c r="L17" s="133"/>
    </row>
    <row r="18" spans="1:12" x14ac:dyDescent="0.2">
      <c r="A18" s="145"/>
      <c r="B18" s="146"/>
      <c r="C18" s="147"/>
      <c r="D18" s="147"/>
      <c r="E18" s="147"/>
      <c r="F18" s="147"/>
      <c r="G18" s="147"/>
      <c r="H18" s="147"/>
      <c r="I18" s="147"/>
      <c r="J18" s="148"/>
      <c r="K18" s="132"/>
      <c r="L18" s="133"/>
    </row>
    <row r="19" spans="1:12" x14ac:dyDescent="0.2">
      <c r="A19" s="145"/>
      <c r="B19" s="146"/>
      <c r="C19" s="147"/>
      <c r="D19" s="147"/>
      <c r="E19" s="147"/>
      <c r="F19" s="147"/>
      <c r="G19" s="147"/>
      <c r="H19" s="147"/>
      <c r="I19" s="147"/>
      <c r="J19" s="148"/>
      <c r="K19" s="132"/>
      <c r="L19" s="133"/>
    </row>
    <row r="20" spans="1:12" x14ac:dyDescent="0.2">
      <c r="A20" s="145"/>
      <c r="B20" s="146"/>
      <c r="C20" s="147"/>
      <c r="D20" s="147"/>
      <c r="E20" s="147"/>
      <c r="F20" s="147"/>
      <c r="G20" s="147"/>
      <c r="H20" s="147"/>
      <c r="I20" s="147"/>
      <c r="J20" s="148"/>
      <c r="K20" s="132"/>
      <c r="L20" s="133"/>
    </row>
    <row r="21" spans="1:12" x14ac:dyDescent="0.2">
      <c r="A21" s="145"/>
      <c r="B21" s="146"/>
      <c r="C21" s="147"/>
      <c r="D21" s="147"/>
      <c r="E21" s="147"/>
      <c r="F21" s="147"/>
      <c r="G21" s="147"/>
      <c r="H21" s="147"/>
      <c r="I21" s="147"/>
      <c r="J21" s="148"/>
      <c r="K21" s="132"/>
      <c r="L21" s="133"/>
    </row>
    <row r="22" spans="1:12" x14ac:dyDescent="0.2">
      <c r="A22" s="145"/>
      <c r="B22" s="146"/>
      <c r="C22" s="147"/>
      <c r="D22" s="147"/>
      <c r="E22" s="147"/>
      <c r="F22" s="147"/>
      <c r="G22" s="147"/>
      <c r="H22" s="147"/>
      <c r="I22" s="147"/>
      <c r="J22" s="148"/>
      <c r="K22" s="132"/>
      <c r="L22" s="133"/>
    </row>
    <row r="23" spans="1:12" x14ac:dyDescent="0.2">
      <c r="A23" s="145"/>
      <c r="B23" s="146"/>
      <c r="C23" s="147"/>
      <c r="D23" s="147"/>
      <c r="E23" s="147"/>
      <c r="F23" s="147"/>
      <c r="G23" s="147"/>
      <c r="H23" s="147"/>
      <c r="I23" s="147"/>
      <c r="J23" s="148"/>
      <c r="K23" s="132"/>
      <c r="L23" s="133"/>
    </row>
    <row r="24" spans="1:12" x14ac:dyDescent="0.2">
      <c r="A24" s="145"/>
      <c r="B24" s="146"/>
      <c r="C24" s="147"/>
      <c r="D24" s="147"/>
      <c r="E24" s="147"/>
      <c r="F24" s="147"/>
      <c r="G24" s="147"/>
      <c r="H24" s="147"/>
      <c r="I24" s="147"/>
      <c r="J24" s="148"/>
      <c r="K24" s="132"/>
      <c r="L24" s="133"/>
    </row>
    <row r="25" spans="1:12" x14ac:dyDescent="0.2">
      <c r="A25" s="145"/>
      <c r="B25" s="146"/>
      <c r="C25" s="147"/>
      <c r="D25" s="147"/>
      <c r="E25" s="147"/>
      <c r="F25" s="147"/>
      <c r="G25" s="147"/>
      <c r="H25" s="147"/>
      <c r="I25" s="147"/>
      <c r="J25" s="148"/>
      <c r="K25" s="132"/>
      <c r="L25" s="133"/>
    </row>
    <row r="26" spans="1:12" x14ac:dyDescent="0.2">
      <c r="A26" s="145"/>
      <c r="B26" s="146"/>
      <c r="C26" s="147"/>
      <c r="D26" s="147"/>
      <c r="E26" s="147"/>
      <c r="F26" s="147"/>
      <c r="G26" s="147"/>
      <c r="H26" s="147"/>
      <c r="I26" s="147"/>
      <c r="J26" s="148"/>
      <c r="K26" s="132"/>
      <c r="L26" s="133"/>
    </row>
    <row r="27" spans="1:12" x14ac:dyDescent="0.2">
      <c r="A27" s="145"/>
      <c r="B27" s="146"/>
      <c r="C27" s="147"/>
      <c r="D27" s="147"/>
      <c r="E27" s="147"/>
      <c r="F27" s="147"/>
      <c r="G27" s="147"/>
      <c r="H27" s="147"/>
      <c r="I27" s="147"/>
      <c r="J27" s="148"/>
      <c r="K27" s="132"/>
      <c r="L27" s="133"/>
    </row>
    <row r="28" spans="1:12" x14ac:dyDescent="0.2">
      <c r="A28" s="145"/>
      <c r="B28" s="146"/>
      <c r="C28" s="147"/>
      <c r="D28" s="147"/>
      <c r="E28" s="147"/>
      <c r="F28" s="147"/>
      <c r="G28" s="147"/>
      <c r="H28" s="147"/>
      <c r="I28" s="147"/>
      <c r="J28" s="148"/>
      <c r="K28" s="132"/>
      <c r="L28" s="133"/>
    </row>
    <row r="29" spans="1:12" x14ac:dyDescent="0.2">
      <c r="A29" s="145"/>
      <c r="B29" s="146"/>
      <c r="C29" s="147"/>
      <c r="D29" s="147"/>
      <c r="E29" s="147"/>
      <c r="F29" s="147"/>
      <c r="G29" s="147"/>
      <c r="H29" s="147"/>
      <c r="I29" s="147"/>
      <c r="J29" s="148"/>
      <c r="K29" s="132"/>
      <c r="L29" s="133"/>
    </row>
    <row r="30" spans="1:12" x14ac:dyDescent="0.2">
      <c r="A30" s="145"/>
      <c r="B30" s="146"/>
      <c r="C30" s="147"/>
      <c r="D30" s="147"/>
      <c r="E30" s="147"/>
      <c r="F30" s="147"/>
      <c r="G30" s="147"/>
      <c r="H30" s="147"/>
      <c r="I30" s="147"/>
      <c r="J30" s="148"/>
      <c r="K30" s="132"/>
      <c r="L30" s="133"/>
    </row>
    <row r="31" spans="1:12" x14ac:dyDescent="0.2">
      <c r="A31" s="145"/>
      <c r="B31" s="146"/>
      <c r="C31" s="147"/>
      <c r="D31" s="147"/>
      <c r="E31" s="147"/>
      <c r="F31" s="147"/>
      <c r="G31" s="147"/>
      <c r="H31" s="147"/>
      <c r="I31" s="147"/>
      <c r="J31" s="148"/>
      <c r="K31" s="132"/>
      <c r="L31" s="133"/>
    </row>
    <row r="32" spans="1:12" x14ac:dyDescent="0.2">
      <c r="A32" s="145"/>
      <c r="B32" s="146"/>
      <c r="C32" s="147"/>
      <c r="D32" s="147"/>
      <c r="E32" s="147"/>
      <c r="F32" s="147"/>
      <c r="G32" s="147"/>
      <c r="H32" s="147"/>
      <c r="I32" s="147"/>
      <c r="J32" s="148"/>
      <c r="K32" s="132"/>
      <c r="L32" s="133"/>
    </row>
    <row r="33" spans="1:12" ht="13.5" thickBot="1" x14ac:dyDescent="0.25">
      <c r="A33" s="149"/>
      <c r="B33" s="150"/>
      <c r="C33" s="151"/>
      <c r="D33" s="151"/>
      <c r="E33" s="151"/>
      <c r="F33" s="151"/>
      <c r="G33" s="151"/>
      <c r="H33" s="151"/>
      <c r="I33" s="151"/>
      <c r="J33" s="152"/>
      <c r="K33" s="132"/>
      <c r="L33" s="133"/>
    </row>
    <row r="34" spans="1:12" ht="13.5" thickBot="1" x14ac:dyDescent="0.25">
      <c r="A34" s="153"/>
      <c r="B34" s="153"/>
      <c r="C34" s="154"/>
      <c r="D34" s="154"/>
      <c r="E34" s="154"/>
      <c r="F34" s="154"/>
      <c r="G34" s="154"/>
      <c r="H34" s="154"/>
      <c r="I34" s="154"/>
      <c r="J34" s="153"/>
      <c r="K34" s="132"/>
      <c r="L34" s="133"/>
    </row>
    <row r="35" spans="1:12" ht="13.5" thickBot="1" x14ac:dyDescent="0.25">
      <c r="A35" s="614" t="s">
        <v>62</v>
      </c>
      <c r="B35" s="648"/>
      <c r="C35" s="648"/>
      <c r="D35" s="648"/>
      <c r="E35" s="648"/>
      <c r="F35" s="648"/>
      <c r="G35" s="648"/>
      <c r="H35" s="648"/>
      <c r="I35" s="648"/>
      <c r="J35" s="649"/>
      <c r="K35" s="132"/>
      <c r="L35" s="133"/>
    </row>
    <row r="36" spans="1:12" x14ac:dyDescent="0.2">
      <c r="A36" s="136"/>
      <c r="B36" s="155"/>
      <c r="C36" s="156"/>
      <c r="D36" s="156"/>
      <c r="E36" s="156"/>
      <c r="F36" s="156"/>
      <c r="G36" s="156"/>
      <c r="H36" s="156"/>
      <c r="I36" s="156"/>
      <c r="J36" s="157"/>
      <c r="K36" s="132"/>
      <c r="L36" s="133"/>
    </row>
    <row r="37" spans="1:12" ht="12.75" customHeight="1" x14ac:dyDescent="0.2">
      <c r="A37" s="158" t="s">
        <v>63</v>
      </c>
      <c r="B37" s="55"/>
      <c r="C37" s="634" t="s">
        <v>1155</v>
      </c>
      <c r="D37" s="634"/>
      <c r="E37" s="634"/>
      <c r="F37" s="634"/>
      <c r="G37" s="634"/>
      <c r="H37" s="634"/>
      <c r="I37" s="634"/>
      <c r="J37" s="635"/>
      <c r="K37" s="132"/>
      <c r="L37" s="133"/>
    </row>
    <row r="38" spans="1:12" x14ac:dyDescent="0.2">
      <c r="A38" s="158"/>
      <c r="B38" s="55"/>
      <c r="C38" s="634"/>
      <c r="D38" s="634"/>
      <c r="E38" s="634"/>
      <c r="F38" s="634"/>
      <c r="G38" s="634"/>
      <c r="H38" s="634"/>
      <c r="I38" s="634"/>
      <c r="J38" s="635"/>
      <c r="K38" s="132"/>
      <c r="L38" s="133"/>
    </row>
    <row r="39" spans="1:12" x14ac:dyDescent="0.2">
      <c r="A39" s="158"/>
      <c r="B39" s="55"/>
      <c r="C39" s="634"/>
      <c r="D39" s="634"/>
      <c r="E39" s="634"/>
      <c r="F39" s="634"/>
      <c r="G39" s="634"/>
      <c r="H39" s="634"/>
      <c r="I39" s="634"/>
      <c r="J39" s="635"/>
      <c r="K39" s="132"/>
      <c r="L39" s="133"/>
    </row>
    <row r="40" spans="1:12" ht="12.75" customHeight="1" x14ac:dyDescent="0.2">
      <c r="A40" s="158"/>
      <c r="B40" s="55"/>
      <c r="C40" s="634"/>
      <c r="D40" s="634"/>
      <c r="E40" s="634"/>
      <c r="F40" s="634"/>
      <c r="G40" s="634"/>
      <c r="H40" s="634"/>
      <c r="I40" s="634"/>
      <c r="J40" s="635"/>
      <c r="K40" s="132"/>
      <c r="L40" s="133"/>
    </row>
    <row r="41" spans="1:12" ht="13.5" customHeight="1" x14ac:dyDescent="0.2">
      <c r="A41" s="158"/>
      <c r="B41" s="55"/>
      <c r="C41" s="634"/>
      <c r="D41" s="634"/>
      <c r="E41" s="634"/>
      <c r="F41" s="634"/>
      <c r="G41" s="634"/>
      <c r="H41" s="634"/>
      <c r="I41" s="634"/>
      <c r="J41" s="635"/>
      <c r="K41" s="132"/>
      <c r="L41" s="133"/>
    </row>
    <row r="42" spans="1:12" x14ac:dyDescent="0.2">
      <c r="A42" s="158"/>
      <c r="B42" s="55"/>
      <c r="C42" s="159"/>
      <c r="D42" s="159"/>
      <c r="E42" s="159"/>
      <c r="F42" s="159"/>
      <c r="G42" s="159"/>
      <c r="H42" s="159"/>
      <c r="I42" s="159"/>
      <c r="J42" s="160"/>
      <c r="K42" s="132"/>
      <c r="L42" s="133"/>
    </row>
    <row r="43" spans="1:12" ht="12.75" customHeight="1" x14ac:dyDescent="0.2">
      <c r="A43" s="158" t="s">
        <v>64</v>
      </c>
      <c r="B43" s="55"/>
      <c r="C43" s="662" t="s">
        <v>143</v>
      </c>
      <c r="D43" s="662"/>
      <c r="E43" s="662"/>
      <c r="F43" s="662"/>
      <c r="G43" s="662"/>
      <c r="H43" s="662"/>
      <c r="I43" s="662"/>
      <c r="J43" s="663"/>
      <c r="K43" s="132"/>
      <c r="L43" s="133"/>
    </row>
    <row r="44" spans="1:12" ht="12.75" customHeight="1" x14ac:dyDescent="0.2">
      <c r="A44" s="158"/>
      <c r="B44" s="55"/>
      <c r="C44" s="662"/>
      <c r="D44" s="662"/>
      <c r="E44" s="662"/>
      <c r="F44" s="662"/>
      <c r="G44" s="662"/>
      <c r="H44" s="662"/>
      <c r="I44" s="662"/>
      <c r="J44" s="663"/>
      <c r="K44" s="132"/>
      <c r="L44" s="133"/>
    </row>
    <row r="45" spans="1:12" x14ac:dyDescent="0.2">
      <c r="A45" s="161"/>
      <c r="B45" s="2"/>
      <c r="C45" s="159"/>
      <c r="D45" s="159"/>
      <c r="E45" s="159"/>
      <c r="F45" s="159"/>
      <c r="G45" s="159"/>
      <c r="H45" s="159"/>
      <c r="I45" s="159"/>
      <c r="J45" s="160"/>
      <c r="K45" s="132"/>
      <c r="L45" s="133"/>
    </row>
    <row r="46" spans="1:12" ht="12.75" customHeight="1" x14ac:dyDescent="0.2">
      <c r="A46" s="161" t="s">
        <v>65</v>
      </c>
      <c r="B46" s="2"/>
      <c r="C46" s="662" t="s">
        <v>1118</v>
      </c>
      <c r="D46" s="662"/>
      <c r="E46" s="662"/>
      <c r="F46" s="662"/>
      <c r="G46" s="662"/>
      <c r="H46" s="662"/>
      <c r="I46" s="662"/>
      <c r="J46" s="663"/>
      <c r="K46" s="132"/>
      <c r="L46" s="133"/>
    </row>
    <row r="47" spans="1:12" x14ac:dyDescent="0.2">
      <c r="A47" s="161"/>
      <c r="B47" s="2"/>
      <c r="C47" s="662"/>
      <c r="D47" s="662"/>
      <c r="E47" s="662"/>
      <c r="F47" s="662"/>
      <c r="G47" s="662"/>
      <c r="H47" s="662"/>
      <c r="I47" s="662"/>
      <c r="J47" s="663"/>
      <c r="K47" s="132"/>
      <c r="L47" s="133"/>
    </row>
    <row r="48" spans="1:12" ht="12.75" customHeight="1" x14ac:dyDescent="0.2">
      <c r="A48" s="161"/>
      <c r="B48" s="2"/>
      <c r="C48" s="662"/>
      <c r="D48" s="662"/>
      <c r="E48" s="662"/>
      <c r="F48" s="662"/>
      <c r="G48" s="662"/>
      <c r="H48" s="662"/>
      <c r="I48" s="662"/>
      <c r="J48" s="663"/>
      <c r="K48" s="132"/>
      <c r="L48" s="133"/>
    </row>
    <row r="49" spans="1:12" x14ac:dyDescent="0.2">
      <c r="A49" s="161"/>
      <c r="B49" s="2"/>
      <c r="C49" s="662"/>
      <c r="D49" s="662"/>
      <c r="E49" s="662"/>
      <c r="F49" s="662"/>
      <c r="G49" s="662"/>
      <c r="H49" s="662"/>
      <c r="I49" s="662"/>
      <c r="J49" s="663"/>
      <c r="K49" s="132"/>
      <c r="L49" s="133"/>
    </row>
    <row r="50" spans="1:12" x14ac:dyDescent="0.2">
      <c r="A50" s="161"/>
      <c r="B50" s="2"/>
      <c r="C50" s="662" t="s">
        <v>1156</v>
      </c>
      <c r="D50" s="662"/>
      <c r="E50" s="662"/>
      <c r="F50" s="662"/>
      <c r="G50" s="662"/>
      <c r="H50" s="662"/>
      <c r="I50" s="662"/>
      <c r="J50" s="663"/>
      <c r="K50" s="132"/>
      <c r="L50" s="133"/>
    </row>
    <row r="51" spans="1:12" x14ac:dyDescent="0.2">
      <c r="A51" s="161"/>
      <c r="B51" s="2"/>
      <c r="C51" s="162"/>
      <c r="D51" s="162"/>
      <c r="E51" s="162"/>
      <c r="F51" s="162"/>
      <c r="G51" s="162"/>
      <c r="H51" s="162"/>
      <c r="I51" s="162"/>
      <c r="J51" s="163"/>
      <c r="K51" s="132"/>
      <c r="L51" s="133"/>
    </row>
    <row r="52" spans="1:12" x14ac:dyDescent="0.2">
      <c r="A52" s="161"/>
      <c r="B52" s="2"/>
      <c r="C52" s="162"/>
      <c r="D52" s="162"/>
      <c r="E52" s="162"/>
      <c r="F52" s="162"/>
      <c r="G52" s="162"/>
      <c r="H52" s="162"/>
      <c r="I52" s="162"/>
      <c r="J52" s="163"/>
      <c r="K52" s="132"/>
      <c r="L52" s="133"/>
    </row>
    <row r="53" spans="1:12" x14ac:dyDescent="0.2">
      <c r="A53" s="161"/>
      <c r="B53" s="2"/>
      <c r="C53" s="162"/>
      <c r="D53" s="162"/>
      <c r="E53" s="162"/>
      <c r="F53" s="162"/>
      <c r="G53" s="162"/>
      <c r="H53" s="162"/>
      <c r="I53" s="162"/>
      <c r="J53" s="163"/>
      <c r="K53" s="132"/>
      <c r="L53" s="133"/>
    </row>
    <row r="54" spans="1:12" x14ac:dyDescent="0.2">
      <c r="A54" s="161"/>
      <c r="B54" s="2"/>
      <c r="C54" s="162"/>
      <c r="D54" s="162"/>
      <c r="E54" s="162"/>
      <c r="F54" s="162"/>
      <c r="G54" s="162"/>
      <c r="H54" s="162"/>
      <c r="I54" s="162"/>
      <c r="J54" s="163"/>
      <c r="K54" s="132"/>
      <c r="L54" s="133"/>
    </row>
    <row r="55" spans="1:12" x14ac:dyDescent="0.2">
      <c r="A55" s="161"/>
      <c r="B55" s="2"/>
      <c r="C55" s="162"/>
      <c r="D55" s="162"/>
      <c r="E55" s="162"/>
      <c r="F55" s="162"/>
      <c r="G55" s="162"/>
      <c r="H55" s="162"/>
      <c r="I55" s="162"/>
      <c r="J55" s="163"/>
      <c r="K55" s="132"/>
      <c r="L55" s="133"/>
    </row>
    <row r="56" spans="1:12" x14ac:dyDescent="0.2">
      <c r="A56" s="161"/>
      <c r="B56" s="2"/>
      <c r="C56" s="162"/>
      <c r="D56" s="162"/>
      <c r="E56" s="162"/>
      <c r="F56" s="162"/>
      <c r="G56" s="162"/>
      <c r="H56" s="162"/>
      <c r="I56" s="162"/>
      <c r="J56" s="163"/>
      <c r="K56" s="132"/>
      <c r="L56" s="133"/>
    </row>
    <row r="57" spans="1:12" x14ac:dyDescent="0.2">
      <c r="A57" s="161"/>
      <c r="B57" s="2"/>
      <c r="C57" s="162"/>
      <c r="D57" s="162"/>
      <c r="E57" s="162"/>
      <c r="F57" s="162"/>
      <c r="G57" s="162"/>
      <c r="H57" s="162"/>
      <c r="I57" s="162"/>
      <c r="J57" s="163"/>
      <c r="K57" s="132"/>
      <c r="L57" s="133"/>
    </row>
    <row r="58" spans="1:12" x14ac:dyDescent="0.2">
      <c r="A58" s="161"/>
      <c r="B58" s="2"/>
      <c r="C58" s="164"/>
      <c r="D58" s="164"/>
      <c r="E58" s="165"/>
      <c r="F58" s="165"/>
      <c r="G58" s="165"/>
      <c r="H58" s="165"/>
      <c r="I58" s="165"/>
      <c r="J58" s="166"/>
      <c r="K58" s="132"/>
      <c r="L58" s="133"/>
    </row>
    <row r="59" spans="1:12" x14ac:dyDescent="0.2">
      <c r="A59" s="161"/>
      <c r="B59" s="2"/>
      <c r="C59" s="165"/>
      <c r="D59" s="165"/>
      <c r="E59" s="165"/>
      <c r="F59" s="165"/>
      <c r="G59" s="165"/>
      <c r="H59" s="165"/>
      <c r="I59" s="165"/>
      <c r="J59" s="166"/>
      <c r="K59" s="132"/>
      <c r="L59" s="133"/>
    </row>
    <row r="60" spans="1:12" ht="13.5" thickBot="1" x14ac:dyDescent="0.25">
      <c r="A60" s="149"/>
      <c r="B60" s="167"/>
      <c r="C60" s="151"/>
      <c r="D60" s="151"/>
      <c r="E60" s="151"/>
      <c r="F60" s="151"/>
      <c r="G60" s="151"/>
      <c r="H60" s="151"/>
      <c r="I60" s="151"/>
      <c r="J60" s="168"/>
      <c r="K60" s="132"/>
      <c r="L60" s="133"/>
    </row>
    <row r="61" spans="1:12" ht="15.75" x14ac:dyDescent="0.2">
      <c r="A61" s="602" t="s">
        <v>4</v>
      </c>
      <c r="B61" s="603"/>
      <c r="C61" s="639" t="str">
        <f>'A IV.A'!$B$14</f>
        <v>CANTEIRO DE OBRAS</v>
      </c>
      <c r="D61" s="640"/>
      <c r="E61" s="640"/>
      <c r="F61" s="640"/>
      <c r="G61" s="640"/>
      <c r="H61" s="640"/>
      <c r="I61" s="640"/>
      <c r="J61" s="641"/>
      <c r="K61" s="132"/>
      <c r="L61" s="133"/>
    </row>
    <row r="62" spans="1:12" x14ac:dyDescent="0.2">
      <c r="A62" s="609" t="str">
        <f>'A IV.A'!$A$14</f>
        <v>1.0</v>
      </c>
      <c r="B62" s="610"/>
      <c r="C62" s="642"/>
      <c r="D62" s="643"/>
      <c r="E62" s="643"/>
      <c r="F62" s="643"/>
      <c r="G62" s="643"/>
      <c r="H62" s="643"/>
      <c r="I62" s="643"/>
      <c r="J62" s="644"/>
      <c r="K62" s="132"/>
      <c r="L62" s="133"/>
    </row>
    <row r="63" spans="1:12" ht="13.5" thickBot="1" x14ac:dyDescent="0.25">
      <c r="A63" s="611"/>
      <c r="B63" s="612"/>
      <c r="C63" s="645"/>
      <c r="D63" s="646"/>
      <c r="E63" s="646"/>
      <c r="F63" s="646"/>
      <c r="G63" s="646"/>
      <c r="H63" s="646"/>
      <c r="I63" s="646"/>
      <c r="J63" s="647"/>
      <c r="K63" s="132"/>
      <c r="L63" s="133"/>
    </row>
    <row r="64" spans="1:12" ht="13.5" thickBot="1" x14ac:dyDescent="0.25">
      <c r="A64" s="169"/>
      <c r="B64" s="169"/>
      <c r="C64" s="613"/>
      <c r="D64" s="613"/>
      <c r="E64" s="613"/>
      <c r="F64" s="613"/>
      <c r="G64" s="613"/>
      <c r="H64" s="613"/>
      <c r="I64" s="613"/>
      <c r="J64" s="169"/>
      <c r="K64" s="132"/>
      <c r="L64" s="133"/>
    </row>
    <row r="65" spans="1:14" ht="13.5" thickBot="1" x14ac:dyDescent="0.25">
      <c r="A65" s="614" t="s">
        <v>60</v>
      </c>
      <c r="B65" s="615"/>
      <c r="C65" s="616" t="s">
        <v>61</v>
      </c>
      <c r="D65" s="617"/>
      <c r="E65" s="617"/>
      <c r="F65" s="617"/>
      <c r="G65" s="617"/>
      <c r="H65" s="617"/>
      <c r="I65" s="618"/>
      <c r="J65" s="260" t="s">
        <v>0</v>
      </c>
      <c r="K65" s="132"/>
      <c r="L65" s="133"/>
    </row>
    <row r="66" spans="1:14" x14ac:dyDescent="0.2">
      <c r="A66" s="136"/>
      <c r="B66" s="137"/>
      <c r="C66" s="619"/>
      <c r="D66" s="620"/>
      <c r="E66" s="621"/>
      <c r="F66" s="621"/>
      <c r="G66" s="621"/>
      <c r="H66" s="621"/>
      <c r="I66" s="622"/>
      <c r="J66" s="138"/>
      <c r="K66" s="132"/>
      <c r="L66" s="133"/>
    </row>
    <row r="67" spans="1:14" x14ac:dyDescent="0.2">
      <c r="A67" s="625" t="str">
        <f>'A IV.A'!$A$17</f>
        <v>1.2</v>
      </c>
      <c r="B67" s="624"/>
      <c r="C67" s="626" t="str">
        <f>'A IV.A'!$B$17</f>
        <v>PLACA DE IDENTIFICAÇÃO DE OBRA, CONFORME PADRÃO SEMAE (ITEM 6.8 DO TERMO DE REFERÊNCIA)</v>
      </c>
      <c r="D67" s="627"/>
      <c r="E67" s="627"/>
      <c r="F67" s="627"/>
      <c r="G67" s="627"/>
      <c r="H67" s="627"/>
      <c r="I67" s="628"/>
      <c r="J67" s="629" t="str">
        <f>'A IV.A'!$C$17</f>
        <v>M2</v>
      </c>
      <c r="K67" s="630" t="str">
        <f>VLOOKUP(A67,'A IV.A'!$A$14:$M$233,2,FALSE)</f>
        <v>PLACA DE IDENTIFICAÇÃO DE OBRA, CONFORME PADRÃO SEMAE (ITEM 6.8 DO TERMO DE REFERÊNCIA)</v>
      </c>
      <c r="L67" s="631" t="str">
        <f>IF(C67=K67,"sim","nao")</f>
        <v>sim</v>
      </c>
      <c r="M67" s="631" t="str">
        <f>VLOOKUP(A67,'A IV.A'!$A$14:$M$233,3,FALSE)</f>
        <v>M2</v>
      </c>
      <c r="N67" s="631" t="str">
        <f>IF(J67=M67,"sim","nao")</f>
        <v>sim</v>
      </c>
    </row>
    <row r="68" spans="1:14" x14ac:dyDescent="0.2">
      <c r="A68" s="625"/>
      <c r="B68" s="624"/>
      <c r="C68" s="626"/>
      <c r="D68" s="627"/>
      <c r="E68" s="627"/>
      <c r="F68" s="627"/>
      <c r="G68" s="627"/>
      <c r="H68" s="627"/>
      <c r="I68" s="628"/>
      <c r="J68" s="629"/>
      <c r="K68" s="630"/>
      <c r="L68" s="631"/>
      <c r="M68" s="631"/>
      <c r="N68" s="631"/>
    </row>
    <row r="69" spans="1:14" x14ac:dyDescent="0.2">
      <c r="A69" s="139"/>
      <c r="B69" s="140"/>
      <c r="C69" s="141"/>
      <c r="D69" s="142"/>
      <c r="E69" s="142"/>
      <c r="F69" s="142"/>
      <c r="G69" s="142"/>
      <c r="H69" s="142"/>
      <c r="I69" s="143"/>
      <c r="J69" s="144"/>
      <c r="K69" s="132"/>
      <c r="L69" s="133"/>
    </row>
    <row r="70" spans="1:14" x14ac:dyDescent="0.2">
      <c r="A70" s="145"/>
      <c r="B70" s="146"/>
      <c r="C70" s="147"/>
      <c r="D70" s="147"/>
      <c r="E70" s="147"/>
      <c r="F70" s="147"/>
      <c r="G70" s="147"/>
      <c r="H70" s="147"/>
      <c r="I70" s="147"/>
      <c r="J70" s="148"/>
      <c r="K70" s="132"/>
      <c r="L70" s="133"/>
    </row>
    <row r="71" spans="1:14" x14ac:dyDescent="0.2">
      <c r="A71" s="145"/>
      <c r="B71" s="146"/>
      <c r="C71" s="147"/>
      <c r="D71" s="147"/>
      <c r="E71" s="147"/>
      <c r="F71" s="147"/>
      <c r="G71" s="147"/>
      <c r="H71" s="147"/>
      <c r="I71" s="147"/>
      <c r="J71" s="148"/>
      <c r="K71" s="132"/>
      <c r="L71" s="133"/>
    </row>
    <row r="72" spans="1:14" x14ac:dyDescent="0.2">
      <c r="A72" s="145"/>
      <c r="B72" s="146"/>
      <c r="C72" s="147"/>
      <c r="D72" s="147"/>
      <c r="E72" s="147"/>
      <c r="F72" s="147"/>
      <c r="G72" s="147"/>
      <c r="H72" s="147"/>
      <c r="I72" s="147"/>
      <c r="J72" s="148"/>
      <c r="K72" s="132"/>
      <c r="L72" s="133"/>
    </row>
    <row r="73" spans="1:14" x14ac:dyDescent="0.2">
      <c r="A73" s="145"/>
      <c r="B73" s="146"/>
      <c r="C73" s="147"/>
      <c r="D73" s="147"/>
      <c r="E73" s="147"/>
      <c r="F73" s="147"/>
      <c r="G73" s="147"/>
      <c r="H73" s="147"/>
      <c r="I73" s="147"/>
      <c r="J73" s="148"/>
      <c r="K73" s="132"/>
      <c r="L73" s="133"/>
    </row>
    <row r="74" spans="1:14" x14ac:dyDescent="0.2">
      <c r="A74" s="145"/>
      <c r="B74" s="146"/>
      <c r="C74" s="147"/>
      <c r="D74" s="147"/>
      <c r="E74" s="147"/>
      <c r="F74" s="147"/>
      <c r="G74" s="147"/>
      <c r="H74" s="147"/>
      <c r="I74" s="147"/>
      <c r="J74" s="148"/>
      <c r="K74" s="132"/>
      <c r="L74" s="133"/>
    </row>
    <row r="75" spans="1:14" x14ac:dyDescent="0.2">
      <c r="A75" s="145"/>
      <c r="B75" s="146"/>
      <c r="C75" s="147"/>
      <c r="D75" s="147"/>
      <c r="E75" s="147"/>
      <c r="F75" s="147"/>
      <c r="G75" s="147"/>
      <c r="H75" s="147"/>
      <c r="I75" s="147"/>
      <c r="J75" s="148"/>
      <c r="K75" s="132"/>
      <c r="L75" s="133"/>
    </row>
    <row r="76" spans="1:14" x14ac:dyDescent="0.2">
      <c r="A76" s="145"/>
      <c r="B76" s="146"/>
      <c r="C76" s="147"/>
      <c r="D76" s="147"/>
      <c r="E76" s="147"/>
      <c r="F76" s="147"/>
      <c r="G76" s="147"/>
      <c r="H76" s="147"/>
      <c r="I76" s="147"/>
      <c r="J76" s="148"/>
      <c r="K76" s="132"/>
      <c r="L76" s="133"/>
    </row>
    <row r="77" spans="1:14" x14ac:dyDescent="0.2">
      <c r="A77" s="145"/>
      <c r="B77" s="146"/>
      <c r="C77" s="147"/>
      <c r="D77" s="147"/>
      <c r="E77" s="147"/>
      <c r="F77" s="147"/>
      <c r="G77" s="147"/>
      <c r="H77" s="147"/>
      <c r="I77" s="147"/>
      <c r="J77" s="148"/>
      <c r="K77" s="132"/>
      <c r="L77" s="133"/>
    </row>
    <row r="78" spans="1:14" x14ac:dyDescent="0.2">
      <c r="A78" s="145"/>
      <c r="B78" s="146"/>
      <c r="C78" s="147"/>
      <c r="D78" s="147"/>
      <c r="E78" s="147"/>
      <c r="F78" s="147"/>
      <c r="G78" s="147"/>
      <c r="H78" s="147"/>
      <c r="I78" s="147"/>
      <c r="J78" s="148"/>
      <c r="K78" s="132"/>
      <c r="L78" s="133"/>
    </row>
    <row r="79" spans="1:14" x14ac:dyDescent="0.2">
      <c r="A79" s="145"/>
      <c r="B79" s="146"/>
      <c r="C79" s="147"/>
      <c r="D79" s="147"/>
      <c r="E79" s="147"/>
      <c r="F79" s="147"/>
      <c r="G79" s="147"/>
      <c r="H79" s="147"/>
      <c r="I79" s="147"/>
      <c r="J79" s="148"/>
      <c r="K79" s="132"/>
      <c r="L79" s="133"/>
    </row>
    <row r="80" spans="1:14" x14ac:dyDescent="0.2">
      <c r="A80" s="145"/>
      <c r="B80" s="146"/>
      <c r="C80" s="147"/>
      <c r="D80" s="147"/>
      <c r="E80" s="147"/>
      <c r="F80" s="147"/>
      <c r="G80" s="147"/>
      <c r="H80" s="147"/>
      <c r="I80" s="147"/>
      <c r="J80" s="148"/>
      <c r="K80" s="132"/>
      <c r="L80" s="133"/>
    </row>
    <row r="81" spans="1:12" x14ac:dyDescent="0.2">
      <c r="A81" s="145"/>
      <c r="B81" s="146"/>
      <c r="C81" s="147"/>
      <c r="D81" s="147"/>
      <c r="E81" s="147"/>
      <c r="F81" s="147"/>
      <c r="G81" s="147"/>
      <c r="H81" s="147"/>
      <c r="I81" s="147"/>
      <c r="J81" s="148"/>
      <c r="K81" s="132"/>
      <c r="L81" s="133"/>
    </row>
    <row r="82" spans="1:12" x14ac:dyDescent="0.2">
      <c r="A82" s="145"/>
      <c r="B82" s="146"/>
      <c r="C82" s="147"/>
      <c r="D82" s="147"/>
      <c r="E82" s="147"/>
      <c r="F82" s="147"/>
      <c r="G82" s="147"/>
      <c r="H82" s="147"/>
      <c r="I82" s="147"/>
      <c r="J82" s="148"/>
      <c r="K82" s="132"/>
      <c r="L82" s="133"/>
    </row>
    <row r="83" spans="1:12" x14ac:dyDescent="0.2">
      <c r="A83" s="145"/>
      <c r="B83" s="146"/>
      <c r="C83" s="147"/>
      <c r="D83" s="147"/>
      <c r="E83" s="147"/>
      <c r="F83" s="147"/>
      <c r="G83" s="147"/>
      <c r="H83" s="147"/>
      <c r="I83" s="147"/>
      <c r="J83" s="148"/>
      <c r="K83" s="132"/>
      <c r="L83" s="133"/>
    </row>
    <row r="84" spans="1:12" x14ac:dyDescent="0.2">
      <c r="A84" s="145"/>
      <c r="B84" s="146"/>
      <c r="C84" s="147"/>
      <c r="D84" s="147"/>
      <c r="E84" s="147"/>
      <c r="F84" s="147"/>
      <c r="G84" s="147"/>
      <c r="H84" s="147"/>
      <c r="I84" s="147"/>
      <c r="J84" s="148"/>
      <c r="K84" s="132"/>
      <c r="L84" s="133"/>
    </row>
    <row r="85" spans="1:12" x14ac:dyDescent="0.2">
      <c r="A85" s="145"/>
      <c r="B85" s="146"/>
      <c r="C85" s="147"/>
      <c r="D85" s="147"/>
      <c r="E85" s="147"/>
      <c r="F85" s="147"/>
      <c r="G85" s="147"/>
      <c r="H85" s="147"/>
      <c r="I85" s="147"/>
      <c r="J85" s="148"/>
      <c r="K85" s="132"/>
      <c r="L85" s="133"/>
    </row>
    <row r="86" spans="1:12" x14ac:dyDescent="0.2">
      <c r="A86" s="145"/>
      <c r="B86" s="146"/>
      <c r="C86" s="147"/>
      <c r="D86" s="147"/>
      <c r="E86" s="147"/>
      <c r="F86" s="147"/>
      <c r="G86" s="147"/>
      <c r="H86" s="147"/>
      <c r="I86" s="147"/>
      <c r="J86" s="148"/>
      <c r="K86" s="132"/>
      <c r="L86" s="133"/>
    </row>
    <row r="87" spans="1:12" x14ac:dyDescent="0.2">
      <c r="A87" s="145"/>
      <c r="B87" s="146"/>
      <c r="C87" s="147"/>
      <c r="D87" s="147"/>
      <c r="E87" s="147"/>
      <c r="F87" s="147"/>
      <c r="G87" s="147"/>
      <c r="H87" s="147"/>
      <c r="I87" s="147"/>
      <c r="J87" s="148"/>
      <c r="K87" s="132"/>
      <c r="L87" s="133"/>
    </row>
    <row r="88" spans="1:12" ht="13.5" thickBot="1" x14ac:dyDescent="0.25">
      <c r="A88" s="149"/>
      <c r="B88" s="150"/>
      <c r="C88" s="151"/>
      <c r="D88" s="151"/>
      <c r="E88" s="151"/>
      <c r="F88" s="151"/>
      <c r="G88" s="151"/>
      <c r="H88" s="151"/>
      <c r="I88" s="151"/>
      <c r="J88" s="152"/>
      <c r="K88" s="132"/>
      <c r="L88" s="133"/>
    </row>
    <row r="89" spans="1:12" ht="13.5" thickBot="1" x14ac:dyDescent="0.25">
      <c r="A89" s="153"/>
      <c r="B89" s="153"/>
      <c r="C89" s="154"/>
      <c r="D89" s="154"/>
      <c r="E89" s="154"/>
      <c r="F89" s="154"/>
      <c r="G89" s="154"/>
      <c r="H89" s="154"/>
      <c r="I89" s="154"/>
      <c r="J89" s="153"/>
      <c r="K89" s="132"/>
      <c r="L89" s="133"/>
    </row>
    <row r="90" spans="1:12" ht="13.5" thickBot="1" x14ac:dyDescent="0.25">
      <c r="A90" s="614" t="s">
        <v>62</v>
      </c>
      <c r="B90" s="648"/>
      <c r="C90" s="648"/>
      <c r="D90" s="648"/>
      <c r="E90" s="648"/>
      <c r="F90" s="648"/>
      <c r="G90" s="648"/>
      <c r="H90" s="648"/>
      <c r="I90" s="648"/>
      <c r="J90" s="649"/>
      <c r="K90" s="132"/>
      <c r="L90" s="133"/>
    </row>
    <row r="91" spans="1:12" x14ac:dyDescent="0.2">
      <c r="A91" s="136"/>
      <c r="B91" s="155"/>
      <c r="C91" s="156"/>
      <c r="D91" s="156"/>
      <c r="E91" s="156"/>
      <c r="F91" s="156"/>
      <c r="G91" s="156"/>
      <c r="H91" s="156"/>
      <c r="I91" s="156"/>
      <c r="J91" s="157"/>
      <c r="K91" s="132"/>
      <c r="L91" s="133"/>
    </row>
    <row r="92" spans="1:12" x14ac:dyDescent="0.2">
      <c r="A92" s="158" t="s">
        <v>63</v>
      </c>
      <c r="B92" s="55"/>
      <c r="C92" s="652" t="s">
        <v>1045</v>
      </c>
      <c r="D92" s="652"/>
      <c r="E92" s="652"/>
      <c r="F92" s="652"/>
      <c r="G92" s="652"/>
      <c r="H92" s="652"/>
      <c r="I92" s="652"/>
      <c r="J92" s="653"/>
      <c r="K92" s="132"/>
      <c r="L92" s="133"/>
    </row>
    <row r="93" spans="1:12" x14ac:dyDescent="0.2">
      <c r="A93" s="158"/>
      <c r="B93" s="55"/>
      <c r="C93" s="652"/>
      <c r="D93" s="652"/>
      <c r="E93" s="652"/>
      <c r="F93" s="652"/>
      <c r="G93" s="652"/>
      <c r="H93" s="652"/>
      <c r="I93" s="652"/>
      <c r="J93" s="653"/>
      <c r="K93" s="132"/>
      <c r="L93" s="133"/>
    </row>
    <row r="94" spans="1:12" x14ac:dyDescent="0.2">
      <c r="A94" s="158"/>
      <c r="B94" s="55"/>
      <c r="C94" s="652"/>
      <c r="D94" s="652"/>
      <c r="E94" s="652"/>
      <c r="F94" s="652"/>
      <c r="G94" s="652"/>
      <c r="H94" s="652"/>
      <c r="I94" s="652"/>
      <c r="J94" s="653"/>
      <c r="K94" s="132"/>
      <c r="L94" s="133"/>
    </row>
    <row r="95" spans="1:12" x14ac:dyDescent="0.2">
      <c r="A95" s="170"/>
      <c r="B95" s="171"/>
      <c r="C95" s="159"/>
      <c r="D95" s="159"/>
      <c r="E95" s="159"/>
      <c r="F95" s="159"/>
      <c r="G95" s="159"/>
      <c r="H95" s="159"/>
      <c r="I95" s="159"/>
      <c r="J95" s="160"/>
      <c r="K95" s="132"/>
      <c r="L95" s="133"/>
    </row>
    <row r="96" spans="1:12" x14ac:dyDescent="0.2">
      <c r="A96" s="630" t="s">
        <v>64</v>
      </c>
      <c r="B96" s="657"/>
      <c r="C96" s="652" t="s">
        <v>439</v>
      </c>
      <c r="D96" s="652"/>
      <c r="E96" s="652"/>
      <c r="F96" s="652"/>
      <c r="G96" s="652"/>
      <c r="H96" s="652"/>
      <c r="I96" s="652"/>
      <c r="J96" s="653"/>
      <c r="K96" s="132"/>
      <c r="L96" s="133"/>
    </row>
    <row r="97" spans="1:12" x14ac:dyDescent="0.2">
      <c r="A97" s="158"/>
      <c r="B97" s="55"/>
      <c r="C97" s="159"/>
      <c r="D97" s="159"/>
      <c r="E97" s="159"/>
      <c r="F97" s="159"/>
      <c r="G97" s="159"/>
      <c r="H97" s="159"/>
      <c r="I97" s="159"/>
      <c r="J97" s="160"/>
      <c r="K97" s="132"/>
      <c r="L97" s="133"/>
    </row>
    <row r="98" spans="1:12" x14ac:dyDescent="0.2">
      <c r="A98" s="158"/>
      <c r="B98" s="55"/>
      <c r="C98" s="159"/>
      <c r="D98" s="159"/>
      <c r="E98" s="159"/>
      <c r="F98" s="159"/>
      <c r="G98" s="159"/>
      <c r="H98" s="159"/>
      <c r="I98" s="159"/>
      <c r="J98" s="160"/>
      <c r="K98" s="132"/>
      <c r="L98" s="133"/>
    </row>
    <row r="99" spans="1:12" x14ac:dyDescent="0.2">
      <c r="A99" s="158"/>
      <c r="B99" s="55"/>
      <c r="C99" s="159"/>
      <c r="D99" s="159"/>
      <c r="E99" s="159"/>
      <c r="F99" s="159"/>
      <c r="G99" s="159"/>
      <c r="H99" s="159"/>
      <c r="I99" s="159"/>
      <c r="J99" s="160"/>
      <c r="K99" s="132"/>
      <c r="L99" s="133"/>
    </row>
    <row r="100" spans="1:12" x14ac:dyDescent="0.2">
      <c r="A100" s="158"/>
      <c r="B100" s="55"/>
      <c r="C100" s="159"/>
      <c r="D100" s="159"/>
      <c r="E100" s="159"/>
      <c r="F100" s="159"/>
      <c r="G100" s="159"/>
      <c r="H100" s="159"/>
      <c r="I100" s="159"/>
      <c r="J100" s="160"/>
      <c r="K100" s="132"/>
      <c r="L100" s="133"/>
    </row>
    <row r="101" spans="1:12" x14ac:dyDescent="0.2">
      <c r="A101" s="158"/>
      <c r="B101" s="55"/>
      <c r="C101" s="159"/>
      <c r="D101" s="159"/>
      <c r="E101" s="159"/>
      <c r="F101" s="159"/>
      <c r="G101" s="159"/>
      <c r="H101" s="159"/>
      <c r="I101" s="159"/>
      <c r="J101" s="160"/>
      <c r="K101" s="132"/>
      <c r="L101" s="133"/>
    </row>
    <row r="102" spans="1:12" x14ac:dyDescent="0.2">
      <c r="A102" s="158"/>
      <c r="B102" s="55"/>
      <c r="C102" s="159"/>
      <c r="D102" s="159"/>
      <c r="E102" s="159"/>
      <c r="F102" s="159"/>
      <c r="G102" s="159"/>
      <c r="H102" s="159"/>
      <c r="I102" s="159"/>
      <c r="J102" s="160"/>
      <c r="K102" s="132"/>
      <c r="L102" s="133"/>
    </row>
    <row r="103" spans="1:12" x14ac:dyDescent="0.2">
      <c r="A103" s="158"/>
      <c r="B103" s="55"/>
      <c r="C103" s="159"/>
      <c r="D103" s="159"/>
      <c r="E103" s="159"/>
      <c r="F103" s="159"/>
      <c r="G103" s="159"/>
      <c r="H103" s="159"/>
      <c r="I103" s="159"/>
      <c r="J103" s="160"/>
      <c r="K103" s="132"/>
      <c r="L103" s="133"/>
    </row>
    <row r="104" spans="1:12" x14ac:dyDescent="0.2">
      <c r="A104" s="158"/>
      <c r="B104" s="55"/>
      <c r="C104" s="159"/>
      <c r="D104" s="159"/>
      <c r="E104" s="159"/>
      <c r="F104" s="159"/>
      <c r="G104" s="159"/>
      <c r="H104" s="159"/>
      <c r="I104" s="159"/>
      <c r="J104" s="160"/>
      <c r="K104" s="132"/>
      <c r="L104" s="133"/>
    </row>
    <row r="105" spans="1:12" x14ac:dyDescent="0.2">
      <c r="A105" s="158"/>
      <c r="B105" s="55"/>
      <c r="C105" s="159"/>
      <c r="D105" s="159"/>
      <c r="E105" s="159"/>
      <c r="F105" s="159"/>
      <c r="G105" s="159"/>
      <c r="H105" s="159"/>
      <c r="I105" s="159"/>
      <c r="J105" s="160"/>
      <c r="K105" s="132"/>
      <c r="L105" s="133"/>
    </row>
    <row r="106" spans="1:12" x14ac:dyDescent="0.2">
      <c r="A106" s="158"/>
      <c r="B106" s="55"/>
      <c r="C106" s="159"/>
      <c r="D106" s="159"/>
      <c r="E106" s="159"/>
      <c r="F106" s="159"/>
      <c r="G106" s="159"/>
      <c r="H106" s="159"/>
      <c r="I106" s="159"/>
      <c r="J106" s="160"/>
      <c r="K106" s="132"/>
      <c r="L106" s="133"/>
    </row>
    <row r="107" spans="1:12" x14ac:dyDescent="0.2">
      <c r="A107" s="158"/>
      <c r="B107" s="55"/>
      <c r="C107" s="159"/>
      <c r="D107" s="159"/>
      <c r="E107" s="159"/>
      <c r="F107" s="159"/>
      <c r="G107" s="159"/>
      <c r="H107" s="159"/>
      <c r="I107" s="159"/>
      <c r="J107" s="160"/>
      <c r="K107" s="132"/>
      <c r="L107" s="133"/>
    </row>
    <row r="108" spans="1:12" x14ac:dyDescent="0.2">
      <c r="A108" s="158"/>
      <c r="B108" s="55"/>
      <c r="C108" s="159"/>
      <c r="D108" s="159"/>
      <c r="E108" s="159"/>
      <c r="F108" s="159"/>
      <c r="G108" s="159"/>
      <c r="H108" s="159"/>
      <c r="I108" s="159"/>
      <c r="J108" s="160"/>
      <c r="K108" s="132"/>
      <c r="L108" s="133"/>
    </row>
    <row r="109" spans="1:12" x14ac:dyDescent="0.2">
      <c r="A109" s="158"/>
      <c r="B109" s="55"/>
      <c r="C109" s="159"/>
      <c r="D109" s="159"/>
      <c r="E109" s="159"/>
      <c r="F109" s="159"/>
      <c r="G109" s="159"/>
      <c r="H109" s="159"/>
      <c r="I109" s="159"/>
      <c r="J109" s="160"/>
      <c r="K109" s="132"/>
      <c r="L109" s="133"/>
    </row>
    <row r="110" spans="1:12" x14ac:dyDescent="0.2">
      <c r="A110" s="158"/>
      <c r="B110" s="55"/>
      <c r="C110" s="159"/>
      <c r="D110" s="159"/>
      <c r="E110" s="159"/>
      <c r="F110" s="159"/>
      <c r="G110" s="159"/>
      <c r="H110" s="159"/>
      <c r="I110" s="159"/>
      <c r="J110" s="160"/>
      <c r="K110" s="132"/>
      <c r="L110" s="133"/>
    </row>
    <row r="111" spans="1:12" x14ac:dyDescent="0.2">
      <c r="A111" s="158"/>
      <c r="B111" s="55"/>
      <c r="C111" s="159"/>
      <c r="D111" s="159"/>
      <c r="E111" s="159"/>
      <c r="F111" s="159"/>
      <c r="G111" s="159"/>
      <c r="H111" s="159"/>
      <c r="I111" s="159"/>
      <c r="J111" s="160"/>
      <c r="K111" s="132"/>
      <c r="L111" s="133"/>
    </row>
    <row r="112" spans="1:12" x14ac:dyDescent="0.2">
      <c r="A112" s="158"/>
      <c r="B112" s="55"/>
      <c r="C112" s="159"/>
      <c r="D112" s="159"/>
      <c r="E112" s="159"/>
      <c r="F112" s="159"/>
      <c r="G112" s="159"/>
      <c r="H112" s="159"/>
      <c r="I112" s="159"/>
      <c r="J112" s="160"/>
      <c r="K112" s="132"/>
      <c r="L112" s="133"/>
    </row>
    <row r="113" spans="1:14" x14ac:dyDescent="0.2">
      <c r="A113" s="158"/>
      <c r="B113" s="55"/>
      <c r="C113" s="159"/>
      <c r="D113" s="159"/>
      <c r="E113" s="159"/>
      <c r="F113" s="159"/>
      <c r="G113" s="159"/>
      <c r="H113" s="159"/>
      <c r="I113" s="159"/>
      <c r="J113" s="160"/>
      <c r="K113" s="132"/>
      <c r="L113" s="133"/>
    </row>
    <row r="114" spans="1:14" x14ac:dyDescent="0.2">
      <c r="A114" s="158"/>
      <c r="B114" s="55"/>
      <c r="C114" s="159"/>
      <c r="D114" s="159"/>
      <c r="E114" s="159"/>
      <c r="F114" s="159"/>
      <c r="G114" s="159"/>
      <c r="H114" s="159"/>
      <c r="I114" s="159"/>
      <c r="J114" s="160"/>
      <c r="K114" s="132"/>
      <c r="L114" s="133"/>
    </row>
    <row r="115" spans="1:14" ht="13.5" thickBot="1" x14ac:dyDescent="0.25">
      <c r="A115" s="149"/>
      <c r="B115" s="167"/>
      <c r="C115" s="151"/>
      <c r="D115" s="151"/>
      <c r="E115" s="151"/>
      <c r="F115" s="151"/>
      <c r="G115" s="151"/>
      <c r="H115" s="151"/>
      <c r="I115" s="151"/>
      <c r="J115" s="168"/>
      <c r="K115" s="132"/>
      <c r="L115" s="133"/>
    </row>
    <row r="116" spans="1:14" ht="15.75" x14ac:dyDescent="0.2">
      <c r="A116" s="602" t="s">
        <v>4</v>
      </c>
      <c r="B116" s="603"/>
      <c r="C116" s="639" t="str">
        <f>'A IV.A'!$B$14</f>
        <v>CANTEIRO DE OBRAS</v>
      </c>
      <c r="D116" s="640"/>
      <c r="E116" s="640"/>
      <c r="F116" s="640"/>
      <c r="G116" s="640"/>
      <c r="H116" s="640"/>
      <c r="I116" s="640"/>
      <c r="J116" s="641"/>
      <c r="K116" s="132"/>
      <c r="L116" s="133"/>
    </row>
    <row r="117" spans="1:14" x14ac:dyDescent="0.2">
      <c r="A117" s="609" t="str">
        <f>'A IV.A'!$A$14</f>
        <v>1.0</v>
      </c>
      <c r="B117" s="610"/>
      <c r="C117" s="642"/>
      <c r="D117" s="643"/>
      <c r="E117" s="643"/>
      <c r="F117" s="643"/>
      <c r="G117" s="643"/>
      <c r="H117" s="643"/>
      <c r="I117" s="643"/>
      <c r="J117" s="644"/>
      <c r="K117" s="132"/>
      <c r="L117" s="133"/>
    </row>
    <row r="118" spans="1:14" ht="13.5" thickBot="1" x14ac:dyDescent="0.25">
      <c r="A118" s="611"/>
      <c r="B118" s="612"/>
      <c r="C118" s="645"/>
      <c r="D118" s="646"/>
      <c r="E118" s="646"/>
      <c r="F118" s="646"/>
      <c r="G118" s="646"/>
      <c r="H118" s="646"/>
      <c r="I118" s="646"/>
      <c r="J118" s="647"/>
      <c r="K118" s="132"/>
      <c r="L118" s="133"/>
    </row>
    <row r="119" spans="1:14" ht="13.5" thickBot="1" x14ac:dyDescent="0.25">
      <c r="A119" s="169"/>
      <c r="B119" s="169"/>
      <c r="C119" s="613"/>
      <c r="D119" s="613"/>
      <c r="E119" s="613"/>
      <c r="F119" s="613"/>
      <c r="G119" s="613"/>
      <c r="H119" s="613"/>
      <c r="I119" s="613"/>
      <c r="J119" s="169"/>
      <c r="K119" s="132"/>
      <c r="L119" s="133"/>
    </row>
    <row r="120" spans="1:14" ht="13.5" thickBot="1" x14ac:dyDescent="0.25">
      <c r="A120" s="614" t="s">
        <v>60</v>
      </c>
      <c r="B120" s="615"/>
      <c r="C120" s="616" t="s">
        <v>61</v>
      </c>
      <c r="D120" s="617"/>
      <c r="E120" s="617"/>
      <c r="F120" s="617"/>
      <c r="G120" s="617"/>
      <c r="H120" s="617"/>
      <c r="I120" s="618"/>
      <c r="J120" s="260" t="s">
        <v>0</v>
      </c>
      <c r="K120" s="132"/>
      <c r="L120" s="133"/>
    </row>
    <row r="121" spans="1:14" x14ac:dyDescent="0.2">
      <c r="A121" s="136"/>
      <c r="B121" s="137"/>
      <c r="C121" s="619"/>
      <c r="D121" s="620"/>
      <c r="E121" s="621"/>
      <c r="F121" s="621"/>
      <c r="G121" s="621"/>
      <c r="H121" s="621"/>
      <c r="I121" s="622"/>
      <c r="J121" s="138"/>
      <c r="K121" s="132"/>
      <c r="L121" s="133"/>
    </row>
    <row r="122" spans="1:14" x14ac:dyDescent="0.2">
      <c r="A122" s="625" t="s">
        <v>270</v>
      </c>
      <c r="B122" s="624"/>
      <c r="C122" s="626" t="str">
        <f>'A IV.A'!B18</f>
        <v>VIGILANTE PARA ÁREAS EM OBRA</v>
      </c>
      <c r="D122" s="627"/>
      <c r="E122" s="627"/>
      <c r="F122" s="627"/>
      <c r="G122" s="627"/>
      <c r="H122" s="627"/>
      <c r="I122" s="628"/>
      <c r="J122" s="629" t="str">
        <f>'A IV.A'!C18</f>
        <v>H</v>
      </c>
      <c r="K122" s="630" t="str">
        <f>VLOOKUP(A122,'A IV.A'!$A$14:$M$233,2,FALSE)</f>
        <v>VIGILANTE PARA ÁREAS EM OBRA</v>
      </c>
      <c r="L122" s="631" t="str">
        <f>IF(C122=K122,"sim","nao")</f>
        <v>sim</v>
      </c>
      <c r="M122" s="631" t="str">
        <f>VLOOKUP(A122,'A IV.A'!$A$14:$M$233,3,FALSE)</f>
        <v>H</v>
      </c>
      <c r="N122" s="631" t="str">
        <f>IF(J122=M122,"sim","nao")</f>
        <v>sim</v>
      </c>
    </row>
    <row r="123" spans="1:14" x14ac:dyDescent="0.2">
      <c r="A123" s="625"/>
      <c r="B123" s="624"/>
      <c r="C123" s="626"/>
      <c r="D123" s="627"/>
      <c r="E123" s="627"/>
      <c r="F123" s="627"/>
      <c r="G123" s="627"/>
      <c r="H123" s="627"/>
      <c r="I123" s="628"/>
      <c r="J123" s="629"/>
      <c r="K123" s="630"/>
      <c r="L123" s="631"/>
      <c r="M123" s="631"/>
      <c r="N123" s="631"/>
    </row>
    <row r="124" spans="1:14" x14ac:dyDescent="0.2">
      <c r="A124" s="139"/>
      <c r="B124" s="140"/>
      <c r="C124" s="141"/>
      <c r="D124" s="142"/>
      <c r="E124" s="142"/>
      <c r="F124" s="142"/>
      <c r="G124" s="142"/>
      <c r="H124" s="142"/>
      <c r="I124" s="143"/>
      <c r="J124" s="144"/>
      <c r="K124" s="132"/>
      <c r="L124" s="133"/>
    </row>
    <row r="125" spans="1:14" x14ac:dyDescent="0.2">
      <c r="A125" s="145"/>
      <c r="B125" s="146"/>
      <c r="C125" s="147"/>
      <c r="D125" s="147"/>
      <c r="E125" s="147"/>
      <c r="F125" s="147"/>
      <c r="G125" s="147"/>
      <c r="H125" s="147"/>
      <c r="I125" s="147"/>
      <c r="J125" s="148"/>
      <c r="K125" s="132"/>
      <c r="L125" s="133"/>
    </row>
    <row r="126" spans="1:14" x14ac:dyDescent="0.2">
      <c r="A126" s="145"/>
      <c r="B126" s="146"/>
      <c r="C126" s="147"/>
      <c r="D126" s="147"/>
      <c r="E126" s="147"/>
      <c r="F126" s="147"/>
      <c r="G126" s="147"/>
      <c r="H126" s="147"/>
      <c r="I126" s="147"/>
      <c r="J126" s="148"/>
      <c r="K126" s="132"/>
      <c r="L126" s="133"/>
    </row>
    <row r="127" spans="1:14" x14ac:dyDescent="0.2">
      <c r="A127" s="145"/>
      <c r="B127" s="146"/>
      <c r="C127" s="147"/>
      <c r="D127" s="147"/>
      <c r="E127" s="147"/>
      <c r="F127" s="147"/>
      <c r="G127" s="147"/>
      <c r="H127" s="147"/>
      <c r="I127" s="147"/>
      <c r="J127" s="148"/>
      <c r="K127" s="132"/>
      <c r="L127" s="133"/>
    </row>
    <row r="128" spans="1:14" x14ac:dyDescent="0.2">
      <c r="A128" s="145"/>
      <c r="B128" s="146"/>
      <c r="C128" s="147"/>
      <c r="D128" s="147"/>
      <c r="E128" s="147"/>
      <c r="F128" s="147"/>
      <c r="G128" s="147"/>
      <c r="H128" s="147"/>
      <c r="I128" s="147"/>
      <c r="J128" s="148"/>
      <c r="K128" s="132"/>
      <c r="L128" s="133"/>
    </row>
    <row r="129" spans="1:12" x14ac:dyDescent="0.2">
      <c r="A129" s="145"/>
      <c r="B129" s="146"/>
      <c r="C129" s="147"/>
      <c r="D129" s="147"/>
      <c r="E129" s="147"/>
      <c r="F129" s="147"/>
      <c r="G129" s="147"/>
      <c r="H129" s="147"/>
      <c r="I129" s="147"/>
      <c r="J129" s="148"/>
      <c r="K129" s="132"/>
      <c r="L129" s="133"/>
    </row>
    <row r="130" spans="1:12" x14ac:dyDescent="0.2">
      <c r="A130" s="145"/>
      <c r="B130" s="146"/>
      <c r="C130" s="147"/>
      <c r="D130" s="147"/>
      <c r="E130" s="147"/>
      <c r="F130" s="147"/>
      <c r="G130" s="147"/>
      <c r="H130" s="147"/>
      <c r="I130" s="147"/>
      <c r="J130" s="148"/>
      <c r="K130" s="132"/>
      <c r="L130" s="133"/>
    </row>
    <row r="131" spans="1:12" x14ac:dyDescent="0.2">
      <c r="A131" s="145"/>
      <c r="B131" s="146"/>
      <c r="C131" s="147"/>
      <c r="D131" s="147"/>
      <c r="E131" s="147"/>
      <c r="F131" s="147"/>
      <c r="G131" s="147"/>
      <c r="H131" s="147"/>
      <c r="I131" s="147"/>
      <c r="J131" s="148"/>
      <c r="K131" s="132"/>
      <c r="L131" s="133"/>
    </row>
    <row r="132" spans="1:12" x14ac:dyDescent="0.2">
      <c r="A132" s="145"/>
      <c r="B132" s="146"/>
      <c r="C132" s="147"/>
      <c r="D132" s="147"/>
      <c r="E132" s="147"/>
      <c r="F132" s="147"/>
      <c r="G132" s="147"/>
      <c r="H132" s="147"/>
      <c r="I132" s="147"/>
      <c r="J132" s="148"/>
      <c r="K132" s="132"/>
      <c r="L132" s="133"/>
    </row>
    <row r="133" spans="1:12" x14ac:dyDescent="0.2">
      <c r="A133" s="145"/>
      <c r="B133" s="146"/>
      <c r="C133" s="147"/>
      <c r="D133" s="147"/>
      <c r="E133" s="147"/>
      <c r="F133" s="147"/>
      <c r="G133" s="147"/>
      <c r="H133" s="147"/>
      <c r="I133" s="147"/>
      <c r="J133" s="148"/>
      <c r="K133" s="132"/>
      <c r="L133" s="133"/>
    </row>
    <row r="134" spans="1:12" x14ac:dyDescent="0.2">
      <c r="A134" s="145"/>
      <c r="B134" s="146"/>
      <c r="C134" s="147"/>
      <c r="D134" s="147"/>
      <c r="E134" s="147"/>
      <c r="F134" s="147"/>
      <c r="G134" s="147"/>
      <c r="H134" s="147"/>
      <c r="I134" s="147"/>
      <c r="J134" s="148"/>
      <c r="K134" s="132"/>
      <c r="L134" s="133"/>
    </row>
    <row r="135" spans="1:12" x14ac:dyDescent="0.2">
      <c r="A135" s="145"/>
      <c r="B135" s="146"/>
      <c r="C135" s="147"/>
      <c r="D135" s="147"/>
      <c r="E135" s="147"/>
      <c r="F135" s="147"/>
      <c r="G135" s="147"/>
      <c r="H135" s="147"/>
      <c r="I135" s="147"/>
      <c r="J135" s="148"/>
      <c r="K135" s="132"/>
      <c r="L135" s="133"/>
    </row>
    <row r="136" spans="1:12" x14ac:dyDescent="0.2">
      <c r="A136" s="145"/>
      <c r="B136" s="146"/>
      <c r="C136" s="147"/>
      <c r="D136" s="147"/>
      <c r="E136" s="147"/>
      <c r="F136" s="147"/>
      <c r="G136" s="147"/>
      <c r="H136" s="147"/>
      <c r="I136" s="147"/>
      <c r="J136" s="148"/>
      <c r="K136" s="132"/>
      <c r="L136" s="133"/>
    </row>
    <row r="137" spans="1:12" x14ac:dyDescent="0.2">
      <c r="A137" s="145"/>
      <c r="B137" s="146"/>
      <c r="C137" s="147"/>
      <c r="D137" s="147"/>
      <c r="E137" s="147"/>
      <c r="F137" s="147"/>
      <c r="G137" s="147"/>
      <c r="H137" s="147"/>
      <c r="I137" s="147"/>
      <c r="J137" s="148"/>
      <c r="K137" s="132"/>
      <c r="L137" s="133"/>
    </row>
    <row r="138" spans="1:12" x14ac:dyDescent="0.2">
      <c r="A138" s="145"/>
      <c r="B138" s="146"/>
      <c r="C138" s="147"/>
      <c r="D138" s="147"/>
      <c r="E138" s="147"/>
      <c r="F138" s="147"/>
      <c r="G138" s="147"/>
      <c r="H138" s="147"/>
      <c r="I138" s="147"/>
      <c r="J138" s="148"/>
      <c r="K138" s="132"/>
      <c r="L138" s="133"/>
    </row>
    <row r="139" spans="1:12" x14ac:dyDescent="0.2">
      <c r="A139" s="145"/>
      <c r="B139" s="146"/>
      <c r="C139" s="147"/>
      <c r="D139" s="147"/>
      <c r="E139" s="147"/>
      <c r="F139" s="147"/>
      <c r="G139" s="147"/>
      <c r="H139" s="147"/>
      <c r="I139" s="147"/>
      <c r="J139" s="148"/>
      <c r="K139" s="132"/>
      <c r="L139" s="133"/>
    </row>
    <row r="140" spans="1:12" x14ac:dyDescent="0.2">
      <c r="A140" s="145"/>
      <c r="B140" s="146"/>
      <c r="C140" s="147"/>
      <c r="D140" s="147"/>
      <c r="E140" s="147"/>
      <c r="F140" s="147"/>
      <c r="G140" s="147"/>
      <c r="H140" s="147"/>
      <c r="I140" s="147"/>
      <c r="J140" s="148"/>
      <c r="K140" s="132"/>
      <c r="L140" s="133"/>
    </row>
    <row r="141" spans="1:12" x14ac:dyDescent="0.2">
      <c r="A141" s="145"/>
      <c r="B141" s="146"/>
      <c r="C141" s="147"/>
      <c r="D141" s="147"/>
      <c r="E141" s="147"/>
      <c r="F141" s="147"/>
      <c r="G141" s="147"/>
      <c r="H141" s="147"/>
      <c r="I141" s="147"/>
      <c r="J141" s="148"/>
      <c r="K141" s="132"/>
      <c r="L141" s="133"/>
    </row>
    <row r="142" spans="1:12" x14ac:dyDescent="0.2">
      <c r="A142" s="145"/>
      <c r="B142" s="146"/>
      <c r="C142" s="147"/>
      <c r="D142" s="147"/>
      <c r="E142" s="147"/>
      <c r="F142" s="147"/>
      <c r="G142" s="147"/>
      <c r="H142" s="147"/>
      <c r="I142" s="147"/>
      <c r="J142" s="148"/>
      <c r="K142" s="132"/>
      <c r="L142" s="133"/>
    </row>
    <row r="143" spans="1:12" ht="13.5" thickBot="1" x14ac:dyDescent="0.25">
      <c r="A143" s="149"/>
      <c r="B143" s="150"/>
      <c r="C143" s="151"/>
      <c r="D143" s="151"/>
      <c r="E143" s="151"/>
      <c r="F143" s="151"/>
      <c r="G143" s="151"/>
      <c r="H143" s="151"/>
      <c r="I143" s="151"/>
      <c r="J143" s="152"/>
      <c r="K143" s="132"/>
      <c r="L143" s="133"/>
    </row>
    <row r="144" spans="1:12" ht="13.5" thickBot="1" x14ac:dyDescent="0.25">
      <c r="A144" s="153"/>
      <c r="B144" s="153"/>
      <c r="C144" s="154"/>
      <c r="D144" s="154"/>
      <c r="E144" s="154"/>
      <c r="F144" s="154"/>
      <c r="G144" s="154"/>
      <c r="H144" s="154"/>
      <c r="I144" s="154"/>
      <c r="J144" s="153"/>
      <c r="K144" s="132"/>
      <c r="L144" s="133"/>
    </row>
    <row r="145" spans="1:12" ht="13.5" thickBot="1" x14ac:dyDescent="0.25">
      <c r="A145" s="614" t="s">
        <v>62</v>
      </c>
      <c r="B145" s="648"/>
      <c r="C145" s="648"/>
      <c r="D145" s="648"/>
      <c r="E145" s="648"/>
      <c r="F145" s="648"/>
      <c r="G145" s="648"/>
      <c r="H145" s="648"/>
      <c r="I145" s="648"/>
      <c r="J145" s="649"/>
      <c r="K145" s="132"/>
      <c r="L145" s="133"/>
    </row>
    <row r="146" spans="1:12" x14ac:dyDescent="0.2">
      <c r="A146" s="136"/>
      <c r="B146" s="155"/>
      <c r="C146" s="156"/>
      <c r="D146" s="156"/>
      <c r="E146" s="156"/>
      <c r="F146" s="156"/>
      <c r="G146" s="156"/>
      <c r="H146" s="156"/>
      <c r="I146" s="156"/>
      <c r="J146" s="157"/>
      <c r="K146" s="132"/>
      <c r="L146" s="133"/>
    </row>
    <row r="147" spans="1:12" ht="12.75" customHeight="1" x14ac:dyDescent="0.2">
      <c r="A147" s="158" t="s">
        <v>63</v>
      </c>
      <c r="B147" s="55"/>
      <c r="C147" s="634" t="s">
        <v>1116</v>
      </c>
      <c r="D147" s="634"/>
      <c r="E147" s="634"/>
      <c r="F147" s="634"/>
      <c r="G147" s="634"/>
      <c r="H147" s="634"/>
      <c r="I147" s="634"/>
      <c r="J147" s="635"/>
      <c r="K147" s="132"/>
      <c r="L147" s="133"/>
    </row>
    <row r="148" spans="1:12" x14ac:dyDescent="0.2">
      <c r="A148" s="158"/>
      <c r="B148" s="55"/>
      <c r="C148" s="634"/>
      <c r="D148" s="634"/>
      <c r="E148" s="634"/>
      <c r="F148" s="634"/>
      <c r="G148" s="634"/>
      <c r="H148" s="634"/>
      <c r="I148" s="634"/>
      <c r="J148" s="635"/>
      <c r="K148" s="132"/>
      <c r="L148" s="133"/>
    </row>
    <row r="149" spans="1:12" x14ac:dyDescent="0.2">
      <c r="A149" s="158"/>
      <c r="B149" s="55"/>
      <c r="C149" s="634"/>
      <c r="D149" s="634"/>
      <c r="E149" s="634"/>
      <c r="F149" s="634"/>
      <c r="G149" s="634"/>
      <c r="H149" s="634"/>
      <c r="I149" s="634"/>
      <c r="J149" s="635"/>
      <c r="K149" s="132"/>
      <c r="L149" s="133"/>
    </row>
    <row r="150" spans="1:12" x14ac:dyDescent="0.2">
      <c r="A150" s="170"/>
      <c r="B150" s="171"/>
      <c r="C150" s="634"/>
      <c r="D150" s="634"/>
      <c r="E150" s="634"/>
      <c r="F150" s="634"/>
      <c r="G150" s="634"/>
      <c r="H150" s="634"/>
      <c r="I150" s="634"/>
      <c r="J150" s="635"/>
      <c r="K150" s="132"/>
      <c r="L150" s="133"/>
    </row>
    <row r="151" spans="1:12" x14ac:dyDescent="0.2">
      <c r="A151" s="170"/>
      <c r="B151" s="171"/>
      <c r="C151" s="634"/>
      <c r="D151" s="634"/>
      <c r="E151" s="634"/>
      <c r="F151" s="634"/>
      <c r="G151" s="634"/>
      <c r="H151" s="634"/>
      <c r="I151" s="634"/>
      <c r="J151" s="635"/>
      <c r="K151" s="132"/>
      <c r="L151" s="133"/>
    </row>
    <row r="152" spans="1:12" x14ac:dyDescent="0.2">
      <c r="A152" s="170"/>
      <c r="B152" s="171"/>
      <c r="C152" s="159"/>
      <c r="D152" s="159"/>
      <c r="E152" s="159"/>
      <c r="F152" s="159"/>
      <c r="G152" s="159"/>
      <c r="H152" s="159"/>
      <c r="I152" s="159"/>
      <c r="J152" s="160"/>
      <c r="K152" s="132"/>
      <c r="L152" s="133"/>
    </row>
    <row r="153" spans="1:12" x14ac:dyDescent="0.2">
      <c r="A153" s="630" t="s">
        <v>64</v>
      </c>
      <c r="B153" s="657"/>
      <c r="C153" s="652" t="s">
        <v>1117</v>
      </c>
      <c r="D153" s="652"/>
      <c r="E153" s="652"/>
      <c r="F153" s="652"/>
      <c r="G153" s="652"/>
      <c r="H153" s="652"/>
      <c r="I153" s="652"/>
      <c r="J153" s="653"/>
      <c r="K153" s="132"/>
      <c r="L153" s="133"/>
    </row>
    <row r="154" spans="1:12" x14ac:dyDescent="0.2">
      <c r="A154" s="158"/>
      <c r="B154" s="55"/>
      <c r="C154" s="159"/>
      <c r="D154" s="159"/>
      <c r="E154" s="159"/>
      <c r="F154" s="159"/>
      <c r="G154" s="159"/>
      <c r="H154" s="159"/>
      <c r="I154" s="159"/>
      <c r="J154" s="160"/>
      <c r="K154" s="132"/>
      <c r="L154" s="133"/>
    </row>
    <row r="155" spans="1:12" x14ac:dyDescent="0.2">
      <c r="A155" s="158"/>
      <c r="B155" s="55"/>
      <c r="C155" s="159"/>
      <c r="D155" s="159"/>
      <c r="E155" s="159"/>
      <c r="F155" s="159"/>
      <c r="G155" s="159"/>
      <c r="H155" s="159"/>
      <c r="I155" s="159"/>
      <c r="J155" s="160"/>
      <c r="K155" s="132"/>
      <c r="L155" s="133"/>
    </row>
    <row r="156" spans="1:12" x14ac:dyDescent="0.2">
      <c r="A156" s="158"/>
      <c r="B156" s="55"/>
      <c r="C156" s="159"/>
      <c r="D156" s="159"/>
      <c r="E156" s="159"/>
      <c r="F156" s="159"/>
      <c r="G156" s="159"/>
      <c r="H156" s="159"/>
      <c r="I156" s="159"/>
      <c r="J156" s="160"/>
      <c r="K156" s="132"/>
      <c r="L156" s="133"/>
    </row>
    <row r="157" spans="1:12" x14ac:dyDescent="0.2">
      <c r="A157" s="158"/>
      <c r="B157" s="55"/>
      <c r="C157" s="159"/>
      <c r="D157" s="159"/>
      <c r="E157" s="159"/>
      <c r="F157" s="159"/>
      <c r="G157" s="159"/>
      <c r="H157" s="159"/>
      <c r="I157" s="159"/>
      <c r="J157" s="160"/>
      <c r="K157" s="132"/>
      <c r="L157" s="133"/>
    </row>
    <row r="158" spans="1:12" x14ac:dyDescent="0.2">
      <c r="A158" s="158"/>
      <c r="B158" s="55"/>
      <c r="C158" s="159"/>
      <c r="D158" s="159"/>
      <c r="E158" s="159"/>
      <c r="F158" s="159"/>
      <c r="G158" s="159"/>
      <c r="H158" s="159"/>
      <c r="I158" s="159"/>
      <c r="J158" s="160"/>
      <c r="K158" s="132"/>
      <c r="L158" s="133"/>
    </row>
    <row r="159" spans="1:12" x14ac:dyDescent="0.2">
      <c r="A159" s="158"/>
      <c r="B159" s="55"/>
      <c r="C159" s="159"/>
      <c r="D159" s="159"/>
      <c r="E159" s="159"/>
      <c r="F159" s="159"/>
      <c r="G159" s="159"/>
      <c r="H159" s="159"/>
      <c r="I159" s="159"/>
      <c r="J159" s="160"/>
      <c r="K159" s="132"/>
      <c r="L159" s="133"/>
    </row>
    <row r="160" spans="1:12" x14ac:dyDescent="0.2">
      <c r="A160" s="158"/>
      <c r="B160" s="55"/>
      <c r="C160" s="159"/>
      <c r="D160" s="159"/>
      <c r="E160" s="159"/>
      <c r="F160" s="159"/>
      <c r="G160" s="159"/>
      <c r="H160" s="159"/>
      <c r="I160" s="159"/>
      <c r="J160" s="160"/>
      <c r="K160" s="132"/>
      <c r="L160" s="133"/>
    </row>
    <row r="161" spans="1:12" x14ac:dyDescent="0.2">
      <c r="A161" s="158"/>
      <c r="B161" s="55"/>
      <c r="C161" s="159"/>
      <c r="D161" s="159"/>
      <c r="E161" s="159"/>
      <c r="F161" s="159"/>
      <c r="G161" s="159"/>
      <c r="H161" s="159"/>
      <c r="I161" s="159"/>
      <c r="J161" s="160"/>
      <c r="K161" s="132"/>
      <c r="L161" s="133"/>
    </row>
    <row r="162" spans="1:12" x14ac:dyDescent="0.2">
      <c r="A162" s="158"/>
      <c r="B162" s="55"/>
      <c r="C162" s="159"/>
      <c r="D162" s="159"/>
      <c r="E162" s="159"/>
      <c r="F162" s="159"/>
      <c r="G162" s="159"/>
      <c r="H162" s="159"/>
      <c r="I162" s="159"/>
      <c r="J162" s="160"/>
      <c r="K162" s="132"/>
      <c r="L162" s="133"/>
    </row>
    <row r="163" spans="1:12" x14ac:dyDescent="0.2">
      <c r="A163" s="158"/>
      <c r="B163" s="55"/>
      <c r="C163" s="159"/>
      <c r="D163" s="159"/>
      <c r="E163" s="159"/>
      <c r="F163" s="159"/>
      <c r="G163" s="159"/>
      <c r="H163" s="159"/>
      <c r="I163" s="159"/>
      <c r="J163" s="160"/>
      <c r="K163" s="132"/>
      <c r="L163" s="133"/>
    </row>
    <row r="164" spans="1:12" x14ac:dyDescent="0.2">
      <c r="A164" s="158"/>
      <c r="B164" s="55"/>
      <c r="C164" s="159"/>
      <c r="D164" s="159"/>
      <c r="E164" s="159"/>
      <c r="F164" s="159"/>
      <c r="G164" s="159"/>
      <c r="H164" s="159"/>
      <c r="I164" s="159"/>
      <c r="J164" s="160"/>
      <c r="K164" s="132"/>
      <c r="L164" s="133"/>
    </row>
    <row r="165" spans="1:12" x14ac:dyDescent="0.2">
      <c r="A165" s="158"/>
      <c r="B165" s="55"/>
      <c r="C165" s="159"/>
      <c r="D165" s="159"/>
      <c r="E165" s="159"/>
      <c r="F165" s="159"/>
      <c r="G165" s="159"/>
      <c r="H165" s="159"/>
      <c r="I165" s="159"/>
      <c r="J165" s="160"/>
      <c r="K165" s="132"/>
      <c r="L165" s="133"/>
    </row>
    <row r="166" spans="1:12" x14ac:dyDescent="0.2">
      <c r="A166" s="158"/>
      <c r="B166" s="55"/>
      <c r="C166" s="159"/>
      <c r="D166" s="159"/>
      <c r="E166" s="159"/>
      <c r="F166" s="159"/>
      <c r="G166" s="159"/>
      <c r="H166" s="159"/>
      <c r="I166" s="159"/>
      <c r="J166" s="160"/>
      <c r="K166" s="132"/>
      <c r="L166" s="133"/>
    </row>
    <row r="167" spans="1:12" x14ac:dyDescent="0.2">
      <c r="A167" s="158"/>
      <c r="B167" s="55"/>
      <c r="C167" s="159"/>
      <c r="D167" s="159"/>
      <c r="E167" s="159"/>
      <c r="F167" s="159"/>
      <c r="G167" s="159"/>
      <c r="H167" s="159"/>
      <c r="I167" s="159"/>
      <c r="J167" s="160"/>
      <c r="K167" s="132"/>
      <c r="L167" s="133"/>
    </row>
    <row r="168" spans="1:12" x14ac:dyDescent="0.2">
      <c r="A168" s="158"/>
      <c r="B168" s="55"/>
      <c r="C168" s="159"/>
      <c r="D168" s="159"/>
      <c r="E168" s="159"/>
      <c r="F168" s="159"/>
      <c r="G168" s="159"/>
      <c r="H168" s="159"/>
      <c r="I168" s="159"/>
      <c r="J168" s="160"/>
      <c r="K168" s="132"/>
      <c r="L168" s="133"/>
    </row>
    <row r="169" spans="1:12" x14ac:dyDescent="0.2">
      <c r="A169" s="158"/>
      <c r="B169" s="55"/>
      <c r="C169" s="159"/>
      <c r="D169" s="159"/>
      <c r="E169" s="159"/>
      <c r="F169" s="159"/>
      <c r="G169" s="159"/>
      <c r="H169" s="159"/>
      <c r="I169" s="159"/>
      <c r="J169" s="160"/>
      <c r="K169" s="132"/>
      <c r="L169" s="133"/>
    </row>
    <row r="170" spans="1:12" ht="13.5" thickBot="1" x14ac:dyDescent="0.25">
      <c r="A170" s="149"/>
      <c r="B170" s="167"/>
      <c r="C170" s="151"/>
      <c r="D170" s="151"/>
      <c r="E170" s="151"/>
      <c r="F170" s="151"/>
      <c r="G170" s="151"/>
      <c r="H170" s="151"/>
      <c r="I170" s="151"/>
      <c r="J170" s="168"/>
      <c r="K170" s="132"/>
      <c r="L170" s="133"/>
    </row>
    <row r="171" spans="1:12" ht="15.75" x14ac:dyDescent="0.2">
      <c r="A171" s="602" t="s">
        <v>4</v>
      </c>
      <c r="B171" s="603"/>
      <c r="C171" s="639" t="str">
        <f>'A IV.A'!$B$14</f>
        <v>CANTEIRO DE OBRAS</v>
      </c>
      <c r="D171" s="640"/>
      <c r="E171" s="640"/>
      <c r="F171" s="640"/>
      <c r="G171" s="640"/>
      <c r="H171" s="640"/>
      <c r="I171" s="640"/>
      <c r="J171" s="641"/>
      <c r="K171" s="132"/>
      <c r="L171" s="133"/>
    </row>
    <row r="172" spans="1:12" x14ac:dyDescent="0.2">
      <c r="A172" s="609" t="str">
        <f>'A IV.A'!$A$14</f>
        <v>1.0</v>
      </c>
      <c r="B172" s="610"/>
      <c r="C172" s="642"/>
      <c r="D172" s="643"/>
      <c r="E172" s="643"/>
      <c r="F172" s="643"/>
      <c r="G172" s="643"/>
      <c r="H172" s="643"/>
      <c r="I172" s="643"/>
      <c r="J172" s="644"/>
      <c r="K172" s="132"/>
      <c r="L172" s="133"/>
    </row>
    <row r="173" spans="1:12" ht="13.5" thickBot="1" x14ac:dyDescent="0.25">
      <c r="A173" s="611"/>
      <c r="B173" s="612"/>
      <c r="C173" s="645"/>
      <c r="D173" s="646"/>
      <c r="E173" s="646"/>
      <c r="F173" s="646"/>
      <c r="G173" s="646"/>
      <c r="H173" s="646"/>
      <c r="I173" s="646"/>
      <c r="J173" s="647"/>
      <c r="K173" s="132"/>
      <c r="L173" s="133"/>
    </row>
    <row r="174" spans="1:12" ht="13.5" thickBot="1" x14ac:dyDescent="0.25">
      <c r="A174" s="169"/>
      <c r="B174" s="169"/>
      <c r="C174" s="613"/>
      <c r="D174" s="613"/>
      <c r="E174" s="613"/>
      <c r="F174" s="613"/>
      <c r="G174" s="613"/>
      <c r="H174" s="613"/>
      <c r="I174" s="613"/>
      <c r="J174" s="169"/>
      <c r="K174" s="132"/>
      <c r="L174" s="133"/>
    </row>
    <row r="175" spans="1:12" ht="13.5" thickBot="1" x14ac:dyDescent="0.25">
      <c r="A175" s="614" t="s">
        <v>60</v>
      </c>
      <c r="B175" s="615"/>
      <c r="C175" s="616" t="s">
        <v>61</v>
      </c>
      <c r="D175" s="617"/>
      <c r="E175" s="617"/>
      <c r="F175" s="617"/>
      <c r="G175" s="617"/>
      <c r="H175" s="617"/>
      <c r="I175" s="618"/>
      <c r="J175" s="260" t="s">
        <v>0</v>
      </c>
      <c r="K175" s="132"/>
      <c r="L175" s="133"/>
    </row>
    <row r="176" spans="1:12" x14ac:dyDescent="0.2">
      <c r="A176" s="136"/>
      <c r="B176" s="137"/>
      <c r="C176" s="619"/>
      <c r="D176" s="620"/>
      <c r="E176" s="621"/>
      <c r="F176" s="621"/>
      <c r="G176" s="621"/>
      <c r="H176" s="621"/>
      <c r="I176" s="622"/>
      <c r="J176" s="138"/>
      <c r="K176" s="132"/>
      <c r="L176" s="133"/>
    </row>
    <row r="177" spans="1:14" x14ac:dyDescent="0.2">
      <c r="A177" s="625" t="s">
        <v>271</v>
      </c>
      <c r="B177" s="624"/>
      <c r="C177" s="626" t="str">
        <f>'A IV.A'!B19</f>
        <v>SANITÁRIO QUÍMICO</v>
      </c>
      <c r="D177" s="627"/>
      <c r="E177" s="627"/>
      <c r="F177" s="627"/>
      <c r="G177" s="627"/>
      <c r="H177" s="627"/>
      <c r="I177" s="628"/>
      <c r="J177" s="629" t="str">
        <f>'A IV.A'!C19</f>
        <v>UND.MÊS</v>
      </c>
      <c r="K177" s="630" t="str">
        <f>VLOOKUP(A177,'A IV.A'!$A$14:$M$233,2,FALSE)</f>
        <v>SANITÁRIO QUÍMICO</v>
      </c>
      <c r="L177" s="631" t="str">
        <f>IF(C177=K177,"sim","nao")</f>
        <v>sim</v>
      </c>
      <c r="M177" s="631" t="str">
        <f>VLOOKUP(A177,'A IV.A'!$A$14:$M$233,3,FALSE)</f>
        <v>UND.MÊS</v>
      </c>
      <c r="N177" s="631" t="str">
        <f>IF(J177=M177,"sim","nao")</f>
        <v>sim</v>
      </c>
    </row>
    <row r="178" spans="1:14" x14ac:dyDescent="0.2">
      <c r="A178" s="625"/>
      <c r="B178" s="624"/>
      <c r="C178" s="626"/>
      <c r="D178" s="627"/>
      <c r="E178" s="627"/>
      <c r="F178" s="627"/>
      <c r="G178" s="627"/>
      <c r="H178" s="627"/>
      <c r="I178" s="628"/>
      <c r="J178" s="629"/>
      <c r="K178" s="630"/>
      <c r="L178" s="631"/>
      <c r="M178" s="631"/>
      <c r="N178" s="631"/>
    </row>
    <row r="179" spans="1:14" x14ac:dyDescent="0.2">
      <c r="A179" s="139"/>
      <c r="B179" s="140"/>
      <c r="C179" s="141"/>
      <c r="D179" s="142"/>
      <c r="E179" s="142"/>
      <c r="F179" s="142"/>
      <c r="G179" s="142"/>
      <c r="H179" s="142"/>
      <c r="I179" s="143"/>
      <c r="J179" s="144"/>
      <c r="K179" s="132"/>
      <c r="L179" s="133"/>
    </row>
    <row r="180" spans="1:14" x14ac:dyDescent="0.2">
      <c r="A180" s="145"/>
      <c r="B180" s="146"/>
      <c r="C180" s="147"/>
      <c r="D180" s="147"/>
      <c r="E180" s="147"/>
      <c r="F180" s="147"/>
      <c r="G180" s="147"/>
      <c r="H180" s="147"/>
      <c r="I180" s="147"/>
      <c r="J180" s="148"/>
      <c r="K180" s="132"/>
      <c r="L180" s="133"/>
    </row>
    <row r="181" spans="1:14" x14ac:dyDescent="0.2">
      <c r="A181" s="145"/>
      <c r="B181" s="146"/>
      <c r="C181" s="147"/>
      <c r="D181" s="147"/>
      <c r="E181" s="147"/>
      <c r="F181" s="147"/>
      <c r="G181" s="147"/>
      <c r="H181" s="147"/>
      <c r="I181" s="147"/>
      <c r="J181" s="148"/>
      <c r="K181" s="132"/>
      <c r="L181" s="133"/>
    </row>
    <row r="182" spans="1:14" x14ac:dyDescent="0.2">
      <c r="A182" s="145"/>
      <c r="B182" s="146"/>
      <c r="C182" s="147"/>
      <c r="D182" s="147"/>
      <c r="E182" s="147"/>
      <c r="F182" s="147"/>
      <c r="G182" s="147"/>
      <c r="H182" s="147"/>
      <c r="I182" s="147"/>
      <c r="J182" s="148"/>
      <c r="K182" s="132"/>
      <c r="L182" s="133"/>
    </row>
    <row r="183" spans="1:14" x14ac:dyDescent="0.2">
      <c r="A183" s="145"/>
      <c r="B183" s="146"/>
      <c r="C183" s="147"/>
      <c r="D183" s="147"/>
      <c r="E183" s="147"/>
      <c r="F183" s="147"/>
      <c r="G183" s="147"/>
      <c r="H183" s="147"/>
      <c r="I183" s="147"/>
      <c r="J183" s="148"/>
      <c r="K183" s="132"/>
      <c r="L183" s="133"/>
    </row>
    <row r="184" spans="1:14" x14ac:dyDescent="0.2">
      <c r="A184" s="145"/>
      <c r="B184" s="146"/>
      <c r="C184" s="147"/>
      <c r="D184" s="147"/>
      <c r="E184" s="147"/>
      <c r="F184" s="147"/>
      <c r="G184" s="147"/>
      <c r="H184" s="147"/>
      <c r="I184" s="147"/>
      <c r="J184" s="148"/>
      <c r="K184" s="132"/>
      <c r="L184" s="133"/>
    </row>
    <row r="185" spans="1:14" x14ac:dyDescent="0.2">
      <c r="A185" s="145"/>
      <c r="B185" s="146"/>
      <c r="C185" s="147"/>
      <c r="D185" s="147"/>
      <c r="E185" s="147"/>
      <c r="F185" s="147"/>
      <c r="G185" s="147"/>
      <c r="H185" s="147"/>
      <c r="I185" s="147"/>
      <c r="J185" s="148"/>
      <c r="K185" s="132"/>
      <c r="L185" s="133"/>
    </row>
    <row r="186" spans="1:14" x14ac:dyDescent="0.2">
      <c r="A186" s="145"/>
      <c r="B186" s="146"/>
      <c r="C186" s="147"/>
      <c r="D186" s="147"/>
      <c r="E186" s="147"/>
      <c r="F186" s="147"/>
      <c r="G186" s="147"/>
      <c r="H186" s="147"/>
      <c r="I186" s="147"/>
      <c r="J186" s="148"/>
      <c r="K186" s="132"/>
      <c r="L186" s="133"/>
    </row>
    <row r="187" spans="1:14" x14ac:dyDescent="0.2">
      <c r="A187" s="145"/>
      <c r="B187" s="146"/>
      <c r="C187" s="147"/>
      <c r="D187" s="147"/>
      <c r="E187" s="147"/>
      <c r="F187" s="147"/>
      <c r="G187" s="147"/>
      <c r="H187" s="147"/>
      <c r="I187" s="147"/>
      <c r="J187" s="148"/>
      <c r="K187" s="132"/>
      <c r="L187" s="133"/>
    </row>
    <row r="188" spans="1:14" x14ac:dyDescent="0.2">
      <c r="A188" s="145"/>
      <c r="B188" s="146"/>
      <c r="C188" s="147"/>
      <c r="D188" s="147"/>
      <c r="E188" s="147"/>
      <c r="F188" s="147"/>
      <c r="G188" s="147"/>
      <c r="H188" s="147"/>
      <c r="I188" s="147"/>
      <c r="J188" s="148"/>
      <c r="K188" s="132"/>
      <c r="L188" s="133"/>
    </row>
    <row r="189" spans="1:14" x14ac:dyDescent="0.2">
      <c r="A189" s="145"/>
      <c r="B189" s="146"/>
      <c r="C189" s="147"/>
      <c r="D189" s="147"/>
      <c r="E189" s="147"/>
      <c r="F189" s="147"/>
      <c r="G189" s="147"/>
      <c r="H189" s="147"/>
      <c r="I189" s="147"/>
      <c r="J189" s="148"/>
      <c r="K189" s="132"/>
      <c r="L189" s="133"/>
    </row>
    <row r="190" spans="1:14" x14ac:dyDescent="0.2">
      <c r="A190" s="145"/>
      <c r="B190" s="146"/>
      <c r="C190" s="147"/>
      <c r="D190" s="147"/>
      <c r="E190" s="147"/>
      <c r="F190" s="147"/>
      <c r="G190" s="147"/>
      <c r="H190" s="147"/>
      <c r="I190" s="147"/>
      <c r="J190" s="148"/>
      <c r="K190" s="132"/>
      <c r="L190" s="133"/>
    </row>
    <row r="191" spans="1:14" x14ac:dyDescent="0.2">
      <c r="A191" s="145"/>
      <c r="B191" s="146"/>
      <c r="C191" s="147"/>
      <c r="D191" s="147"/>
      <c r="E191" s="147"/>
      <c r="F191" s="147"/>
      <c r="G191" s="147"/>
      <c r="H191" s="147"/>
      <c r="I191" s="147"/>
      <c r="J191" s="148"/>
      <c r="K191" s="132"/>
      <c r="L191" s="133"/>
    </row>
    <row r="192" spans="1:14" x14ac:dyDescent="0.2">
      <c r="A192" s="145"/>
      <c r="B192" s="146"/>
      <c r="C192" s="147"/>
      <c r="D192" s="147"/>
      <c r="E192" s="147"/>
      <c r="F192" s="147"/>
      <c r="G192" s="147"/>
      <c r="H192" s="147"/>
      <c r="I192" s="147"/>
      <c r="J192" s="148"/>
      <c r="K192" s="132"/>
      <c r="L192" s="133"/>
    </row>
    <row r="193" spans="1:12" x14ac:dyDescent="0.2">
      <c r="A193" s="145"/>
      <c r="B193" s="146"/>
      <c r="C193" s="147"/>
      <c r="D193" s="147"/>
      <c r="E193" s="147"/>
      <c r="F193" s="147"/>
      <c r="G193" s="147"/>
      <c r="H193" s="147"/>
      <c r="I193" s="147"/>
      <c r="J193" s="148"/>
      <c r="K193" s="132"/>
      <c r="L193" s="133"/>
    </row>
    <row r="194" spans="1:12" x14ac:dyDescent="0.2">
      <c r="A194" s="145"/>
      <c r="B194" s="146"/>
      <c r="C194" s="147"/>
      <c r="D194" s="147"/>
      <c r="E194" s="147"/>
      <c r="F194" s="147"/>
      <c r="G194" s="147"/>
      <c r="H194" s="147"/>
      <c r="I194" s="147"/>
      <c r="J194" s="148"/>
      <c r="K194" s="132"/>
      <c r="L194" s="133"/>
    </row>
    <row r="195" spans="1:12" x14ac:dyDescent="0.2">
      <c r="A195" s="145"/>
      <c r="B195" s="146"/>
      <c r="C195" s="147"/>
      <c r="D195" s="147"/>
      <c r="E195" s="147"/>
      <c r="F195" s="147"/>
      <c r="G195" s="147"/>
      <c r="H195" s="147"/>
      <c r="I195" s="147"/>
      <c r="J195" s="148"/>
      <c r="K195" s="132"/>
      <c r="L195" s="133"/>
    </row>
    <row r="196" spans="1:12" x14ac:dyDescent="0.2">
      <c r="A196" s="145"/>
      <c r="B196" s="146"/>
      <c r="C196" s="147"/>
      <c r="D196" s="147"/>
      <c r="E196" s="147"/>
      <c r="F196" s="147"/>
      <c r="G196" s="147"/>
      <c r="H196" s="147"/>
      <c r="I196" s="147"/>
      <c r="J196" s="148"/>
      <c r="K196" s="132"/>
      <c r="L196" s="133"/>
    </row>
    <row r="197" spans="1:12" x14ac:dyDescent="0.2">
      <c r="A197" s="145"/>
      <c r="B197" s="146"/>
      <c r="C197" s="147"/>
      <c r="D197" s="147"/>
      <c r="E197" s="147"/>
      <c r="F197" s="147"/>
      <c r="G197" s="147"/>
      <c r="H197" s="147"/>
      <c r="I197" s="147"/>
      <c r="J197" s="148"/>
      <c r="K197" s="132"/>
      <c r="L197" s="133"/>
    </row>
    <row r="198" spans="1:12" ht="13.5" thickBot="1" x14ac:dyDescent="0.25">
      <c r="A198" s="149"/>
      <c r="B198" s="150"/>
      <c r="C198" s="151"/>
      <c r="D198" s="151"/>
      <c r="E198" s="151"/>
      <c r="F198" s="151"/>
      <c r="G198" s="151"/>
      <c r="H198" s="151"/>
      <c r="I198" s="151"/>
      <c r="J198" s="152"/>
      <c r="K198" s="132"/>
      <c r="L198" s="133"/>
    </row>
    <row r="199" spans="1:12" ht="13.5" thickBot="1" x14ac:dyDescent="0.25">
      <c r="A199" s="153"/>
      <c r="B199" s="153"/>
      <c r="C199" s="154"/>
      <c r="D199" s="154"/>
      <c r="E199" s="154"/>
      <c r="F199" s="154"/>
      <c r="G199" s="154"/>
      <c r="H199" s="154"/>
      <c r="I199" s="154"/>
      <c r="J199" s="153"/>
      <c r="K199" s="132"/>
      <c r="L199" s="133"/>
    </row>
    <row r="200" spans="1:12" ht="13.5" thickBot="1" x14ac:dyDescent="0.25">
      <c r="A200" s="614" t="s">
        <v>62</v>
      </c>
      <c r="B200" s="648"/>
      <c r="C200" s="648"/>
      <c r="D200" s="648"/>
      <c r="E200" s="648"/>
      <c r="F200" s="648"/>
      <c r="G200" s="648"/>
      <c r="H200" s="648"/>
      <c r="I200" s="648"/>
      <c r="J200" s="649"/>
      <c r="K200" s="132"/>
      <c r="L200" s="133"/>
    </row>
    <row r="201" spans="1:12" x14ac:dyDescent="0.2">
      <c r="A201" s="136"/>
      <c r="B201" s="155"/>
      <c r="C201" s="156"/>
      <c r="D201" s="156"/>
      <c r="E201" s="156"/>
      <c r="F201" s="156"/>
      <c r="G201" s="156"/>
      <c r="H201" s="156"/>
      <c r="I201" s="156"/>
      <c r="J201" s="157"/>
      <c r="K201" s="132"/>
      <c r="L201" s="133"/>
    </row>
    <row r="202" spans="1:12" x14ac:dyDescent="0.2">
      <c r="A202" s="158" t="s">
        <v>63</v>
      </c>
      <c r="B202" s="55"/>
      <c r="C202" s="596" t="s">
        <v>1119</v>
      </c>
      <c r="D202" s="596"/>
      <c r="E202" s="596"/>
      <c r="F202" s="596"/>
      <c r="G202" s="596"/>
      <c r="H202" s="596"/>
      <c r="I202" s="596"/>
      <c r="J202" s="597"/>
      <c r="K202" s="132"/>
      <c r="L202" s="133"/>
    </row>
    <row r="203" spans="1:12" x14ac:dyDescent="0.2">
      <c r="A203" s="158"/>
      <c r="B203" s="55"/>
      <c r="C203" s="596"/>
      <c r="D203" s="596"/>
      <c r="E203" s="596"/>
      <c r="F203" s="596"/>
      <c r="G203" s="596"/>
      <c r="H203" s="596"/>
      <c r="I203" s="596"/>
      <c r="J203" s="597"/>
      <c r="K203" s="132"/>
      <c r="L203" s="133"/>
    </row>
    <row r="204" spans="1:12" x14ac:dyDescent="0.2">
      <c r="A204" s="158"/>
      <c r="B204" s="55"/>
      <c r="C204" s="596"/>
      <c r="D204" s="596"/>
      <c r="E204" s="596"/>
      <c r="F204" s="596"/>
      <c r="G204" s="596"/>
      <c r="H204" s="596"/>
      <c r="I204" s="596"/>
      <c r="J204" s="597"/>
      <c r="K204" s="132"/>
      <c r="L204" s="133"/>
    </row>
    <row r="205" spans="1:12" x14ac:dyDescent="0.2">
      <c r="A205" s="170"/>
      <c r="B205" s="171"/>
      <c r="C205" s="159"/>
      <c r="D205" s="159"/>
      <c r="E205" s="159"/>
      <c r="F205" s="159"/>
      <c r="G205" s="159"/>
      <c r="H205" s="159"/>
      <c r="I205" s="159"/>
      <c r="J205" s="160"/>
      <c r="K205" s="132"/>
      <c r="L205" s="133"/>
    </row>
    <row r="206" spans="1:12" x14ac:dyDescent="0.2">
      <c r="A206" s="630" t="s">
        <v>64</v>
      </c>
      <c r="B206" s="657"/>
      <c r="C206" s="652" t="s">
        <v>1120</v>
      </c>
      <c r="D206" s="652"/>
      <c r="E206" s="652"/>
      <c r="F206" s="652"/>
      <c r="G206" s="652"/>
      <c r="H206" s="652"/>
      <c r="I206" s="652"/>
      <c r="J206" s="653"/>
      <c r="K206" s="132"/>
      <c r="L206" s="133"/>
    </row>
    <row r="207" spans="1:12" x14ac:dyDescent="0.2">
      <c r="A207" s="158"/>
      <c r="B207" s="55"/>
      <c r="C207" s="159"/>
      <c r="D207" s="159"/>
      <c r="E207" s="159"/>
      <c r="F207" s="159"/>
      <c r="G207" s="159"/>
      <c r="H207" s="159"/>
      <c r="I207" s="159"/>
      <c r="J207" s="160"/>
      <c r="K207" s="132"/>
      <c r="L207" s="133"/>
    </row>
    <row r="208" spans="1:12" x14ac:dyDescent="0.2">
      <c r="A208" s="158"/>
      <c r="B208" s="55"/>
      <c r="C208" s="159"/>
      <c r="D208" s="159"/>
      <c r="E208" s="159"/>
      <c r="F208" s="159"/>
      <c r="G208" s="159"/>
      <c r="H208" s="159"/>
      <c r="I208" s="159"/>
      <c r="J208" s="160"/>
      <c r="K208" s="132"/>
      <c r="L208" s="133"/>
    </row>
    <row r="209" spans="1:12" x14ac:dyDescent="0.2">
      <c r="A209" s="158"/>
      <c r="B209" s="55"/>
      <c r="C209" s="159"/>
      <c r="D209" s="159"/>
      <c r="E209" s="159"/>
      <c r="F209" s="159"/>
      <c r="G209" s="159"/>
      <c r="H209" s="159"/>
      <c r="I209" s="159"/>
      <c r="J209" s="160"/>
      <c r="K209" s="132"/>
      <c r="L209" s="133"/>
    </row>
    <row r="210" spans="1:12" x14ac:dyDescent="0.2">
      <c r="A210" s="158"/>
      <c r="B210" s="55"/>
      <c r="C210" s="159"/>
      <c r="D210" s="159"/>
      <c r="E210" s="159"/>
      <c r="F210" s="159"/>
      <c r="G210" s="159"/>
      <c r="H210" s="159"/>
      <c r="I210" s="159"/>
      <c r="J210" s="160"/>
      <c r="K210" s="132"/>
      <c r="L210" s="133"/>
    </row>
    <row r="211" spans="1:12" x14ac:dyDescent="0.2">
      <c r="A211" s="161" t="s">
        <v>65</v>
      </c>
      <c r="B211" s="55"/>
      <c r="C211" s="662" t="s">
        <v>1121</v>
      </c>
      <c r="D211" s="662"/>
      <c r="E211" s="662"/>
      <c r="F211" s="662"/>
      <c r="G211" s="662"/>
      <c r="H211" s="662"/>
      <c r="I211" s="662"/>
      <c r="J211" s="663"/>
      <c r="K211" s="132"/>
      <c r="L211" s="133"/>
    </row>
    <row r="212" spans="1:12" x14ac:dyDescent="0.2">
      <c r="A212" s="158"/>
      <c r="B212" s="55"/>
      <c r="C212" s="662" t="s">
        <v>438</v>
      </c>
      <c r="D212" s="662"/>
      <c r="E212" s="662"/>
      <c r="F212" s="662"/>
      <c r="G212" s="662"/>
      <c r="H212" s="662"/>
      <c r="I212" s="662"/>
      <c r="J212" s="663"/>
      <c r="K212" s="132"/>
      <c r="L212" s="133"/>
    </row>
    <row r="213" spans="1:12" x14ac:dyDescent="0.2">
      <c r="A213" s="158"/>
      <c r="B213" s="55"/>
      <c r="C213" s="159"/>
      <c r="D213" s="159"/>
      <c r="E213" s="159"/>
      <c r="F213" s="159"/>
      <c r="G213" s="159"/>
      <c r="H213" s="159"/>
      <c r="I213" s="159"/>
      <c r="J213" s="160"/>
      <c r="K213" s="132"/>
      <c r="L213" s="133"/>
    </row>
    <row r="214" spans="1:12" x14ac:dyDescent="0.2">
      <c r="A214" s="158"/>
      <c r="B214" s="55"/>
      <c r="C214" s="159"/>
      <c r="D214" s="159"/>
      <c r="E214" s="159"/>
      <c r="F214" s="159"/>
      <c r="G214" s="159"/>
      <c r="H214" s="159"/>
      <c r="I214" s="159"/>
      <c r="J214" s="160"/>
      <c r="K214" s="132"/>
      <c r="L214" s="133"/>
    </row>
    <row r="215" spans="1:12" x14ac:dyDescent="0.2">
      <c r="A215" s="158"/>
      <c r="B215" s="55"/>
      <c r="C215" s="159"/>
      <c r="D215" s="159"/>
      <c r="E215" s="159"/>
      <c r="F215" s="159"/>
      <c r="G215" s="159"/>
      <c r="H215" s="159"/>
      <c r="I215" s="159"/>
      <c r="J215" s="160"/>
      <c r="K215" s="132"/>
      <c r="L215" s="133"/>
    </row>
    <row r="216" spans="1:12" x14ac:dyDescent="0.2">
      <c r="A216" s="158"/>
      <c r="B216" s="55"/>
      <c r="C216" s="159"/>
      <c r="D216" s="159"/>
      <c r="E216" s="159"/>
      <c r="F216" s="159"/>
      <c r="G216" s="159"/>
      <c r="H216" s="159"/>
      <c r="I216" s="159"/>
      <c r="J216" s="160"/>
      <c r="K216" s="132"/>
      <c r="L216" s="133"/>
    </row>
    <row r="217" spans="1:12" x14ac:dyDescent="0.2">
      <c r="A217" s="158"/>
      <c r="B217" s="55"/>
      <c r="C217" s="159"/>
      <c r="D217" s="159"/>
      <c r="E217" s="159"/>
      <c r="F217" s="159"/>
      <c r="G217" s="159"/>
      <c r="H217" s="159"/>
      <c r="I217" s="159"/>
      <c r="J217" s="160"/>
      <c r="K217" s="132"/>
      <c r="L217" s="133"/>
    </row>
    <row r="218" spans="1:12" x14ac:dyDescent="0.2">
      <c r="A218" s="158"/>
      <c r="B218" s="55"/>
      <c r="C218" s="159"/>
      <c r="D218" s="159"/>
      <c r="E218" s="159"/>
      <c r="F218" s="159"/>
      <c r="G218" s="159"/>
      <c r="H218" s="159"/>
      <c r="I218" s="159"/>
      <c r="J218" s="160"/>
      <c r="K218" s="132"/>
      <c r="L218" s="133"/>
    </row>
    <row r="219" spans="1:12" x14ac:dyDescent="0.2">
      <c r="A219" s="158"/>
      <c r="B219" s="55"/>
      <c r="C219" s="159"/>
      <c r="D219" s="159"/>
      <c r="E219" s="159"/>
      <c r="F219" s="159"/>
      <c r="G219" s="159"/>
      <c r="H219" s="159"/>
      <c r="I219" s="159"/>
      <c r="J219" s="160"/>
      <c r="K219" s="132"/>
      <c r="L219" s="133"/>
    </row>
    <row r="220" spans="1:12" x14ac:dyDescent="0.2">
      <c r="A220" s="158"/>
      <c r="B220" s="55"/>
      <c r="C220" s="159"/>
      <c r="D220" s="159"/>
      <c r="E220" s="159"/>
      <c r="F220" s="159"/>
      <c r="G220" s="159"/>
      <c r="H220" s="159"/>
      <c r="I220" s="159"/>
      <c r="J220" s="160"/>
      <c r="K220" s="132"/>
      <c r="L220" s="133"/>
    </row>
    <row r="221" spans="1:12" x14ac:dyDescent="0.2">
      <c r="A221" s="158"/>
      <c r="B221" s="55"/>
      <c r="C221" s="159"/>
      <c r="D221" s="159"/>
      <c r="E221" s="159"/>
      <c r="F221" s="159"/>
      <c r="G221" s="159"/>
      <c r="H221" s="159"/>
      <c r="I221" s="159"/>
      <c r="J221" s="160"/>
      <c r="K221" s="132"/>
      <c r="L221" s="133"/>
    </row>
    <row r="222" spans="1:12" x14ac:dyDescent="0.2">
      <c r="A222" s="158"/>
      <c r="B222" s="55"/>
      <c r="C222" s="159"/>
      <c r="D222" s="159"/>
      <c r="E222" s="159"/>
      <c r="F222" s="159"/>
      <c r="G222" s="159"/>
      <c r="H222" s="159"/>
      <c r="I222" s="159"/>
      <c r="J222" s="160"/>
      <c r="K222" s="132"/>
      <c r="L222" s="133"/>
    </row>
    <row r="223" spans="1:12" x14ac:dyDescent="0.2">
      <c r="A223" s="158"/>
      <c r="B223" s="55"/>
      <c r="C223" s="159"/>
      <c r="D223" s="159"/>
      <c r="E223" s="159"/>
      <c r="F223" s="159"/>
      <c r="G223" s="159"/>
      <c r="H223" s="159"/>
      <c r="I223" s="159"/>
      <c r="J223" s="160"/>
      <c r="K223" s="132"/>
      <c r="L223" s="133"/>
    </row>
    <row r="224" spans="1:12" x14ac:dyDescent="0.2">
      <c r="A224" s="158"/>
      <c r="B224" s="55"/>
      <c r="C224" s="159"/>
      <c r="D224" s="159"/>
      <c r="E224" s="159"/>
      <c r="F224" s="159"/>
      <c r="G224" s="159"/>
      <c r="H224" s="159"/>
      <c r="I224" s="159"/>
      <c r="J224" s="160"/>
      <c r="K224" s="132"/>
      <c r="L224" s="133"/>
    </row>
    <row r="225" spans="1:14" ht="13.5" thickBot="1" x14ac:dyDescent="0.25">
      <c r="A225" s="149"/>
      <c r="B225" s="167"/>
      <c r="C225" s="151"/>
      <c r="D225" s="151"/>
      <c r="E225" s="151"/>
      <c r="F225" s="151"/>
      <c r="G225" s="151"/>
      <c r="H225" s="151"/>
      <c r="I225" s="151"/>
      <c r="J225" s="168"/>
      <c r="K225" s="132"/>
      <c r="L225" s="133"/>
    </row>
    <row r="226" spans="1:14" ht="15.75" x14ac:dyDescent="0.2">
      <c r="A226" s="602" t="s">
        <v>4</v>
      </c>
      <c r="B226" s="603"/>
      <c r="C226" s="639" t="str">
        <f>'A IV.A'!$B$14</f>
        <v>CANTEIRO DE OBRAS</v>
      </c>
      <c r="D226" s="640"/>
      <c r="E226" s="640"/>
      <c r="F226" s="640"/>
      <c r="G226" s="640"/>
      <c r="H226" s="640"/>
      <c r="I226" s="640"/>
      <c r="J226" s="641"/>
      <c r="K226" s="132"/>
      <c r="L226" s="133"/>
    </row>
    <row r="227" spans="1:14" x14ac:dyDescent="0.2">
      <c r="A227" s="609" t="str">
        <f>'A IV.A'!$A$14</f>
        <v>1.0</v>
      </c>
      <c r="B227" s="610"/>
      <c r="C227" s="642"/>
      <c r="D227" s="643"/>
      <c r="E227" s="643"/>
      <c r="F227" s="643"/>
      <c r="G227" s="643"/>
      <c r="H227" s="643"/>
      <c r="I227" s="643"/>
      <c r="J227" s="644"/>
      <c r="K227" s="132"/>
      <c r="L227" s="133"/>
    </row>
    <row r="228" spans="1:14" ht="13.5" thickBot="1" x14ac:dyDescent="0.25">
      <c r="A228" s="611"/>
      <c r="B228" s="612"/>
      <c r="C228" s="645"/>
      <c r="D228" s="646"/>
      <c r="E228" s="646"/>
      <c r="F228" s="646"/>
      <c r="G228" s="646"/>
      <c r="H228" s="646"/>
      <c r="I228" s="646"/>
      <c r="J228" s="647"/>
      <c r="K228" s="132"/>
      <c r="L228" s="133"/>
    </row>
    <row r="229" spans="1:14" ht="13.5" thickBot="1" x14ac:dyDescent="0.25">
      <c r="A229" s="169"/>
      <c r="B229" s="169"/>
      <c r="C229" s="613"/>
      <c r="D229" s="613"/>
      <c r="E229" s="613"/>
      <c r="F229" s="613"/>
      <c r="G229" s="613"/>
      <c r="H229" s="613"/>
      <c r="I229" s="613"/>
      <c r="J229" s="169"/>
      <c r="K229" s="132"/>
      <c r="L229" s="133"/>
    </row>
    <row r="230" spans="1:14" ht="13.5" thickBot="1" x14ac:dyDescent="0.25">
      <c r="A230" s="614" t="s">
        <v>60</v>
      </c>
      <c r="B230" s="615"/>
      <c r="C230" s="616" t="s">
        <v>61</v>
      </c>
      <c r="D230" s="617"/>
      <c r="E230" s="617"/>
      <c r="F230" s="617"/>
      <c r="G230" s="617"/>
      <c r="H230" s="617"/>
      <c r="I230" s="618"/>
      <c r="J230" s="260" t="s">
        <v>0</v>
      </c>
      <c r="K230" s="132"/>
      <c r="L230" s="133"/>
    </row>
    <row r="231" spans="1:14" x14ac:dyDescent="0.2">
      <c r="A231" s="136"/>
      <c r="B231" s="137"/>
      <c r="C231" s="619"/>
      <c r="D231" s="620"/>
      <c r="E231" s="621"/>
      <c r="F231" s="621"/>
      <c r="G231" s="621"/>
      <c r="H231" s="621"/>
      <c r="I231" s="622"/>
      <c r="J231" s="138"/>
      <c r="K231" s="132"/>
      <c r="L231" s="133"/>
    </row>
    <row r="232" spans="1:14" x14ac:dyDescent="0.2">
      <c r="A232" s="625" t="s">
        <v>272</v>
      </c>
      <c r="B232" s="624"/>
      <c r="C232" s="626" t="str">
        <f>'A IV.A'!B20</f>
        <v>CONTAINER</v>
      </c>
      <c r="D232" s="627"/>
      <c r="E232" s="627"/>
      <c r="F232" s="627"/>
      <c r="G232" s="627"/>
      <c r="H232" s="627"/>
      <c r="I232" s="628"/>
      <c r="J232" s="629" t="str">
        <f>'A IV.A'!C20</f>
        <v>UND.MÊS</v>
      </c>
      <c r="K232" s="630" t="str">
        <f>VLOOKUP(A232,'A IV.A'!$A$14:$M$233,2,FALSE)</f>
        <v>CONTAINER</v>
      </c>
      <c r="L232" s="631" t="str">
        <f>IF(C232=K232,"sim","nao")</f>
        <v>sim</v>
      </c>
      <c r="M232" s="631" t="str">
        <f>VLOOKUP(A232,'A IV.A'!$A$14:$M$233,3,FALSE)</f>
        <v>UND.MÊS</v>
      </c>
      <c r="N232" s="631" t="str">
        <f>IF(J232=M232,"sim","nao")</f>
        <v>sim</v>
      </c>
    </row>
    <row r="233" spans="1:14" x14ac:dyDescent="0.2">
      <c r="A233" s="625"/>
      <c r="B233" s="624"/>
      <c r="C233" s="626"/>
      <c r="D233" s="627"/>
      <c r="E233" s="627"/>
      <c r="F233" s="627"/>
      <c r="G233" s="627"/>
      <c r="H233" s="627"/>
      <c r="I233" s="628"/>
      <c r="J233" s="629"/>
      <c r="K233" s="630"/>
      <c r="L233" s="631"/>
      <c r="M233" s="631"/>
      <c r="N233" s="631"/>
    </row>
    <row r="234" spans="1:14" x14ac:dyDescent="0.2">
      <c r="A234" s="139"/>
      <c r="B234" s="140"/>
      <c r="C234" s="141"/>
      <c r="D234" s="142"/>
      <c r="E234" s="142"/>
      <c r="F234" s="142"/>
      <c r="G234" s="142"/>
      <c r="H234" s="142"/>
      <c r="I234" s="143"/>
      <c r="J234" s="144"/>
      <c r="K234" s="132"/>
      <c r="L234" s="133"/>
    </row>
    <row r="235" spans="1:14" x14ac:dyDescent="0.2">
      <c r="A235" s="145"/>
      <c r="B235" s="146"/>
      <c r="C235" s="147"/>
      <c r="D235" s="147"/>
      <c r="E235" s="147"/>
      <c r="F235" s="147"/>
      <c r="G235" s="147"/>
      <c r="H235" s="147"/>
      <c r="I235" s="147"/>
      <c r="J235" s="148"/>
      <c r="K235" s="132"/>
      <c r="L235" s="133"/>
    </row>
    <row r="236" spans="1:14" x14ac:dyDescent="0.2">
      <c r="A236" s="145"/>
      <c r="B236" s="146"/>
      <c r="C236" s="147"/>
      <c r="D236" s="147"/>
      <c r="E236" s="147"/>
      <c r="F236" s="147"/>
      <c r="G236" s="147"/>
      <c r="H236" s="147"/>
      <c r="I236" s="147"/>
      <c r="J236" s="148"/>
      <c r="K236" s="132"/>
      <c r="L236" s="133"/>
    </row>
    <row r="237" spans="1:14" x14ac:dyDescent="0.2">
      <c r="A237" s="145"/>
      <c r="B237" s="146"/>
      <c r="C237" s="147"/>
      <c r="D237" s="147"/>
      <c r="E237" s="147"/>
      <c r="F237" s="147"/>
      <c r="G237" s="147"/>
      <c r="H237" s="147"/>
      <c r="I237" s="147"/>
      <c r="J237" s="148"/>
      <c r="K237" s="132"/>
      <c r="L237" s="133"/>
    </row>
    <row r="238" spans="1:14" x14ac:dyDescent="0.2">
      <c r="A238" s="145"/>
      <c r="B238" s="146"/>
      <c r="C238" s="147"/>
      <c r="D238" s="147"/>
      <c r="E238" s="147"/>
      <c r="F238" s="147"/>
      <c r="G238" s="147"/>
      <c r="H238" s="147"/>
      <c r="I238" s="147"/>
      <c r="J238" s="148"/>
      <c r="K238" s="132"/>
      <c r="L238" s="133"/>
    </row>
    <row r="239" spans="1:14" x14ac:dyDescent="0.2">
      <c r="A239" s="145"/>
      <c r="B239" s="146"/>
      <c r="C239" s="147"/>
      <c r="D239" s="147"/>
      <c r="E239" s="147"/>
      <c r="F239" s="147"/>
      <c r="G239" s="147"/>
      <c r="H239" s="147"/>
      <c r="I239" s="147"/>
      <c r="J239" s="148"/>
      <c r="K239" s="132"/>
      <c r="L239" s="133"/>
    </row>
    <row r="240" spans="1:14" x14ac:dyDescent="0.2">
      <c r="A240" s="145"/>
      <c r="B240" s="146"/>
      <c r="C240" s="147"/>
      <c r="D240" s="147"/>
      <c r="E240" s="147"/>
      <c r="F240" s="147"/>
      <c r="G240" s="147"/>
      <c r="H240" s="147"/>
      <c r="I240" s="147"/>
      <c r="J240" s="148"/>
      <c r="K240" s="132"/>
      <c r="L240" s="133"/>
    </row>
    <row r="241" spans="1:12" x14ac:dyDescent="0.2">
      <c r="A241" s="145"/>
      <c r="B241" s="146"/>
      <c r="C241" s="147"/>
      <c r="D241" s="147"/>
      <c r="E241" s="147"/>
      <c r="F241" s="147"/>
      <c r="G241" s="147"/>
      <c r="H241" s="147"/>
      <c r="I241" s="147"/>
      <c r="J241" s="148"/>
      <c r="K241" s="132"/>
      <c r="L241" s="133"/>
    </row>
    <row r="242" spans="1:12" x14ac:dyDescent="0.2">
      <c r="A242" s="145"/>
      <c r="B242" s="146"/>
      <c r="C242" s="147"/>
      <c r="D242" s="147"/>
      <c r="E242" s="147"/>
      <c r="F242" s="147"/>
      <c r="G242" s="147"/>
      <c r="H242" s="147"/>
      <c r="I242" s="147"/>
      <c r="J242" s="148"/>
      <c r="K242" s="132"/>
      <c r="L242" s="133"/>
    </row>
    <row r="243" spans="1:12" x14ac:dyDescent="0.2">
      <c r="A243" s="145"/>
      <c r="B243" s="146"/>
      <c r="C243" s="147"/>
      <c r="D243" s="147"/>
      <c r="E243" s="147"/>
      <c r="F243" s="147"/>
      <c r="G243" s="147"/>
      <c r="H243" s="147"/>
      <c r="I243" s="147"/>
      <c r="J243" s="148"/>
      <c r="K243" s="132"/>
      <c r="L243" s="133"/>
    </row>
    <row r="244" spans="1:12" x14ac:dyDescent="0.2">
      <c r="A244" s="145"/>
      <c r="B244" s="146"/>
      <c r="C244" s="147"/>
      <c r="D244" s="147"/>
      <c r="E244" s="147"/>
      <c r="F244" s="147"/>
      <c r="G244" s="147"/>
      <c r="H244" s="147"/>
      <c r="I244" s="147"/>
      <c r="J244" s="148"/>
      <c r="K244" s="132"/>
      <c r="L244" s="133"/>
    </row>
    <row r="245" spans="1:12" x14ac:dyDescent="0.2">
      <c r="A245" s="145"/>
      <c r="B245" s="146"/>
      <c r="C245" s="147"/>
      <c r="D245" s="147"/>
      <c r="E245" s="147"/>
      <c r="F245" s="147"/>
      <c r="G245" s="147"/>
      <c r="H245" s="147"/>
      <c r="I245" s="147"/>
      <c r="J245" s="148"/>
      <c r="K245" s="132"/>
      <c r="L245" s="133"/>
    </row>
    <row r="246" spans="1:12" x14ac:dyDescent="0.2">
      <c r="A246" s="145"/>
      <c r="B246" s="146"/>
      <c r="C246" s="147"/>
      <c r="D246" s="147"/>
      <c r="E246" s="147"/>
      <c r="F246" s="147"/>
      <c r="G246" s="147"/>
      <c r="H246" s="147"/>
      <c r="I246" s="147"/>
      <c r="J246" s="148"/>
      <c r="K246" s="132"/>
      <c r="L246" s="133"/>
    </row>
    <row r="247" spans="1:12" x14ac:dyDescent="0.2">
      <c r="A247" s="145"/>
      <c r="B247" s="146"/>
      <c r="C247" s="147"/>
      <c r="D247" s="147"/>
      <c r="E247" s="147"/>
      <c r="F247" s="147"/>
      <c r="G247" s="147"/>
      <c r="H247" s="147"/>
      <c r="I247" s="147"/>
      <c r="J247" s="148"/>
      <c r="K247" s="132"/>
      <c r="L247" s="133"/>
    </row>
    <row r="248" spans="1:12" x14ac:dyDescent="0.2">
      <c r="A248" s="145"/>
      <c r="B248" s="146"/>
      <c r="C248" s="147"/>
      <c r="D248" s="147"/>
      <c r="E248" s="147"/>
      <c r="F248" s="147"/>
      <c r="G248" s="147"/>
      <c r="H248" s="147"/>
      <c r="I248" s="147"/>
      <c r="J248" s="148"/>
      <c r="K248" s="132"/>
      <c r="L248" s="133"/>
    </row>
    <row r="249" spans="1:12" x14ac:dyDescent="0.2">
      <c r="A249" s="145"/>
      <c r="B249" s="146"/>
      <c r="C249" s="147"/>
      <c r="D249" s="147"/>
      <c r="E249" s="147"/>
      <c r="F249" s="147"/>
      <c r="G249" s="147"/>
      <c r="H249" s="147"/>
      <c r="I249" s="147"/>
      <c r="J249" s="148"/>
      <c r="K249" s="132"/>
      <c r="L249" s="133"/>
    </row>
    <row r="250" spans="1:12" x14ac:dyDescent="0.2">
      <c r="A250" s="145"/>
      <c r="B250" s="146"/>
      <c r="C250" s="147"/>
      <c r="D250" s="147"/>
      <c r="E250" s="147"/>
      <c r="F250" s="147"/>
      <c r="G250" s="147"/>
      <c r="H250" s="147"/>
      <c r="I250" s="147"/>
      <c r="J250" s="148"/>
      <c r="K250" s="132"/>
      <c r="L250" s="133"/>
    </row>
    <row r="251" spans="1:12" x14ac:dyDescent="0.2">
      <c r="A251" s="145"/>
      <c r="B251" s="146"/>
      <c r="C251" s="147"/>
      <c r="D251" s="147"/>
      <c r="E251" s="147"/>
      <c r="F251" s="147"/>
      <c r="G251" s="147"/>
      <c r="H251" s="147"/>
      <c r="I251" s="147"/>
      <c r="J251" s="148"/>
      <c r="K251" s="132"/>
      <c r="L251" s="133"/>
    </row>
    <row r="252" spans="1:12" x14ac:dyDescent="0.2">
      <c r="A252" s="145"/>
      <c r="B252" s="146"/>
      <c r="C252" s="147"/>
      <c r="D252" s="147"/>
      <c r="E252" s="147"/>
      <c r="F252" s="147"/>
      <c r="G252" s="147"/>
      <c r="H252" s="147"/>
      <c r="I252" s="147"/>
      <c r="J252" s="148"/>
      <c r="K252" s="132"/>
      <c r="L252" s="133"/>
    </row>
    <row r="253" spans="1:12" ht="13.5" thickBot="1" x14ac:dyDescent="0.25">
      <c r="A253" s="149"/>
      <c r="B253" s="150"/>
      <c r="C253" s="151"/>
      <c r="D253" s="151"/>
      <c r="E253" s="151"/>
      <c r="F253" s="151"/>
      <c r="G253" s="151"/>
      <c r="H253" s="151"/>
      <c r="I253" s="151"/>
      <c r="J253" s="152"/>
      <c r="K253" s="132"/>
      <c r="L253" s="133"/>
    </row>
    <row r="254" spans="1:12" ht="13.5" thickBot="1" x14ac:dyDescent="0.25">
      <c r="A254" s="153"/>
      <c r="B254" s="153"/>
      <c r="C254" s="154"/>
      <c r="D254" s="154"/>
      <c r="E254" s="154"/>
      <c r="F254" s="154"/>
      <c r="G254" s="154"/>
      <c r="H254" s="154"/>
      <c r="I254" s="154"/>
      <c r="J254" s="153"/>
      <c r="K254" s="132"/>
      <c r="L254" s="133"/>
    </row>
    <row r="255" spans="1:12" ht="13.5" thickBot="1" x14ac:dyDescent="0.25">
      <c r="A255" s="614" t="s">
        <v>62</v>
      </c>
      <c r="B255" s="648"/>
      <c r="C255" s="648"/>
      <c r="D255" s="648"/>
      <c r="E255" s="648"/>
      <c r="F255" s="648"/>
      <c r="G255" s="648"/>
      <c r="H255" s="648"/>
      <c r="I255" s="648"/>
      <c r="J255" s="649"/>
      <c r="K255" s="132"/>
      <c r="L255" s="133"/>
    </row>
    <row r="256" spans="1:12" x14ac:dyDescent="0.2">
      <c r="A256" s="136"/>
      <c r="B256" s="155"/>
      <c r="C256" s="156"/>
      <c r="D256" s="156"/>
      <c r="E256" s="156"/>
      <c r="F256" s="156"/>
      <c r="G256" s="156"/>
      <c r="H256" s="156"/>
      <c r="I256" s="156"/>
      <c r="J256" s="157"/>
      <c r="K256" s="132"/>
      <c r="L256" s="133"/>
    </row>
    <row r="257" spans="1:12" x14ac:dyDescent="0.2">
      <c r="A257" s="158" t="s">
        <v>63</v>
      </c>
      <c r="B257" s="55"/>
      <c r="C257" s="596" t="s">
        <v>1122</v>
      </c>
      <c r="D257" s="596"/>
      <c r="E257" s="596"/>
      <c r="F257" s="596"/>
      <c r="G257" s="596"/>
      <c r="H257" s="596"/>
      <c r="I257" s="596"/>
      <c r="J257" s="597"/>
      <c r="K257" s="132"/>
      <c r="L257" s="133"/>
    </row>
    <row r="258" spans="1:12" x14ac:dyDescent="0.2">
      <c r="A258" s="158"/>
      <c r="B258" s="55"/>
      <c r="C258" s="596"/>
      <c r="D258" s="596"/>
      <c r="E258" s="596"/>
      <c r="F258" s="596"/>
      <c r="G258" s="596"/>
      <c r="H258" s="596"/>
      <c r="I258" s="596"/>
      <c r="J258" s="597"/>
      <c r="K258" s="132"/>
      <c r="L258" s="133"/>
    </row>
    <row r="259" spans="1:12" x14ac:dyDescent="0.2">
      <c r="A259" s="158"/>
      <c r="B259" s="55"/>
      <c r="C259" s="596"/>
      <c r="D259" s="596"/>
      <c r="E259" s="596"/>
      <c r="F259" s="596"/>
      <c r="G259" s="596"/>
      <c r="H259" s="596"/>
      <c r="I259" s="596"/>
      <c r="J259" s="597"/>
      <c r="K259" s="132"/>
      <c r="L259" s="133"/>
    </row>
    <row r="260" spans="1:12" x14ac:dyDescent="0.2">
      <c r="A260" s="170"/>
      <c r="B260" s="171"/>
      <c r="C260" s="159"/>
      <c r="D260" s="159"/>
      <c r="E260" s="159"/>
      <c r="F260" s="159"/>
      <c r="G260" s="159"/>
      <c r="H260" s="159"/>
      <c r="I260" s="159"/>
      <c r="J260" s="160"/>
      <c r="K260" s="132"/>
      <c r="L260" s="133"/>
    </row>
    <row r="261" spans="1:12" ht="12.75" customHeight="1" x14ac:dyDescent="0.2">
      <c r="A261" s="630" t="s">
        <v>64</v>
      </c>
      <c r="B261" s="657"/>
      <c r="C261" s="652" t="s">
        <v>1120</v>
      </c>
      <c r="D261" s="652"/>
      <c r="E261" s="652"/>
      <c r="F261" s="652"/>
      <c r="G261" s="652"/>
      <c r="H261" s="652"/>
      <c r="I261" s="652"/>
      <c r="J261" s="653"/>
      <c r="K261" s="132"/>
      <c r="L261" s="133"/>
    </row>
    <row r="262" spans="1:12" x14ac:dyDescent="0.2">
      <c r="A262" s="158"/>
      <c r="B262" s="55"/>
      <c r="C262" s="159"/>
      <c r="D262" s="159"/>
      <c r="E262" s="159"/>
      <c r="F262" s="159"/>
      <c r="G262" s="159"/>
      <c r="H262" s="159"/>
      <c r="I262" s="159"/>
      <c r="J262" s="160"/>
      <c r="K262" s="132"/>
      <c r="L262" s="133"/>
    </row>
    <row r="263" spans="1:12" x14ac:dyDescent="0.2">
      <c r="A263" s="158"/>
      <c r="B263" s="55"/>
      <c r="C263" s="159"/>
      <c r="D263" s="159"/>
      <c r="E263" s="159"/>
      <c r="F263" s="159"/>
      <c r="G263" s="159"/>
      <c r="H263" s="159"/>
      <c r="I263" s="159"/>
      <c r="J263" s="160"/>
      <c r="K263" s="132"/>
      <c r="L263" s="133"/>
    </row>
    <row r="264" spans="1:12" x14ac:dyDescent="0.2">
      <c r="A264" s="158"/>
      <c r="B264" s="55"/>
      <c r="C264" s="159"/>
      <c r="D264" s="159"/>
      <c r="E264" s="159"/>
      <c r="F264" s="159"/>
      <c r="G264" s="159"/>
      <c r="H264" s="159"/>
      <c r="I264" s="159"/>
      <c r="J264" s="160"/>
      <c r="K264" s="132"/>
      <c r="L264" s="133"/>
    </row>
    <row r="265" spans="1:12" x14ac:dyDescent="0.2">
      <c r="A265" s="158"/>
      <c r="B265" s="55"/>
      <c r="C265" s="159"/>
      <c r="D265" s="159"/>
      <c r="E265" s="159"/>
      <c r="F265" s="159"/>
      <c r="G265" s="159"/>
      <c r="H265" s="159"/>
      <c r="I265" s="159"/>
      <c r="J265" s="160"/>
      <c r="K265" s="132"/>
      <c r="L265" s="133"/>
    </row>
    <row r="266" spans="1:12" x14ac:dyDescent="0.2">
      <c r="A266" s="158"/>
      <c r="B266" s="55"/>
      <c r="C266" s="159"/>
      <c r="D266" s="159"/>
      <c r="E266" s="159"/>
      <c r="F266" s="159"/>
      <c r="G266" s="159"/>
      <c r="H266" s="159"/>
      <c r="I266" s="159"/>
      <c r="J266" s="160"/>
      <c r="K266" s="132"/>
      <c r="L266" s="133"/>
    </row>
    <row r="267" spans="1:12" x14ac:dyDescent="0.2">
      <c r="A267" s="158"/>
      <c r="B267" s="55"/>
      <c r="C267" s="159"/>
      <c r="D267" s="159"/>
      <c r="E267" s="159"/>
      <c r="F267" s="159"/>
      <c r="G267" s="159"/>
      <c r="H267" s="159"/>
      <c r="I267" s="159"/>
      <c r="J267" s="160"/>
      <c r="K267" s="132"/>
      <c r="L267" s="133"/>
    </row>
    <row r="268" spans="1:12" x14ac:dyDescent="0.2">
      <c r="A268" s="158"/>
      <c r="B268" s="55"/>
      <c r="C268" s="159"/>
      <c r="D268" s="159"/>
      <c r="E268" s="159"/>
      <c r="F268" s="159"/>
      <c r="G268" s="159"/>
      <c r="H268" s="159"/>
      <c r="I268" s="159"/>
      <c r="J268" s="160"/>
      <c r="K268" s="132"/>
      <c r="L268" s="133"/>
    </row>
    <row r="269" spans="1:12" x14ac:dyDescent="0.2">
      <c r="A269" s="158"/>
      <c r="B269" s="55"/>
      <c r="C269" s="159"/>
      <c r="D269" s="159"/>
      <c r="E269" s="159"/>
      <c r="F269" s="159"/>
      <c r="G269" s="159"/>
      <c r="H269" s="159"/>
      <c r="I269" s="159"/>
      <c r="J269" s="160"/>
      <c r="K269" s="132"/>
      <c r="L269" s="133"/>
    </row>
    <row r="270" spans="1:12" x14ac:dyDescent="0.2">
      <c r="A270" s="158"/>
      <c r="B270" s="55"/>
      <c r="C270" s="159"/>
      <c r="D270" s="159"/>
      <c r="E270" s="159"/>
      <c r="F270" s="159"/>
      <c r="G270" s="159"/>
      <c r="H270" s="159"/>
      <c r="I270" s="159"/>
      <c r="J270" s="160"/>
      <c r="K270" s="132"/>
      <c r="L270" s="133"/>
    </row>
    <row r="271" spans="1:12" x14ac:dyDescent="0.2">
      <c r="A271" s="158"/>
      <c r="B271" s="55"/>
      <c r="C271" s="159"/>
      <c r="D271" s="159"/>
      <c r="E271" s="159"/>
      <c r="F271" s="159"/>
      <c r="G271" s="159"/>
      <c r="H271" s="159"/>
      <c r="I271" s="159"/>
      <c r="J271" s="160"/>
      <c r="K271" s="132"/>
      <c r="L271" s="133"/>
    </row>
    <row r="272" spans="1:12" x14ac:dyDescent="0.2">
      <c r="A272" s="158"/>
      <c r="B272" s="55"/>
      <c r="C272" s="159"/>
      <c r="D272" s="159"/>
      <c r="E272" s="159"/>
      <c r="F272" s="159"/>
      <c r="G272" s="159"/>
      <c r="H272" s="159"/>
      <c r="I272" s="159"/>
      <c r="J272" s="160"/>
      <c r="K272" s="132"/>
      <c r="L272" s="133"/>
    </row>
    <row r="273" spans="1:14" x14ac:dyDescent="0.2">
      <c r="A273" s="158"/>
      <c r="B273" s="55"/>
      <c r="C273" s="159"/>
      <c r="D273" s="159"/>
      <c r="E273" s="159"/>
      <c r="F273" s="159"/>
      <c r="G273" s="159"/>
      <c r="H273" s="159"/>
      <c r="I273" s="159"/>
      <c r="J273" s="160"/>
      <c r="K273" s="132"/>
      <c r="L273" s="133"/>
    </row>
    <row r="274" spans="1:14" x14ac:dyDescent="0.2">
      <c r="A274" s="158"/>
      <c r="B274" s="55"/>
      <c r="C274" s="159"/>
      <c r="D274" s="159"/>
      <c r="E274" s="159"/>
      <c r="F274" s="159"/>
      <c r="G274" s="159"/>
      <c r="H274" s="159"/>
      <c r="I274" s="159"/>
      <c r="J274" s="160"/>
      <c r="K274" s="132"/>
      <c r="L274" s="133"/>
    </row>
    <row r="275" spans="1:14" x14ac:dyDescent="0.2">
      <c r="A275" s="158"/>
      <c r="B275" s="55"/>
      <c r="C275" s="159"/>
      <c r="D275" s="159"/>
      <c r="E275" s="159"/>
      <c r="F275" s="159"/>
      <c r="G275" s="159"/>
      <c r="H275" s="159"/>
      <c r="I275" s="159"/>
      <c r="J275" s="160"/>
      <c r="K275" s="132"/>
      <c r="L275" s="133"/>
    </row>
    <row r="276" spans="1:14" x14ac:dyDescent="0.2">
      <c r="A276" s="158"/>
      <c r="B276" s="55"/>
      <c r="C276" s="159"/>
      <c r="D276" s="159"/>
      <c r="E276" s="159"/>
      <c r="F276" s="159"/>
      <c r="G276" s="159"/>
      <c r="H276" s="159"/>
      <c r="I276" s="159"/>
      <c r="J276" s="160"/>
      <c r="K276" s="132"/>
      <c r="L276" s="133"/>
    </row>
    <row r="277" spans="1:14" x14ac:dyDescent="0.2">
      <c r="A277" s="158"/>
      <c r="B277" s="55"/>
      <c r="C277" s="159"/>
      <c r="D277" s="159"/>
      <c r="E277" s="159"/>
      <c r="F277" s="159"/>
      <c r="G277" s="159"/>
      <c r="H277" s="159"/>
      <c r="I277" s="159"/>
      <c r="J277" s="160"/>
      <c r="K277" s="132"/>
      <c r="L277" s="133"/>
    </row>
    <row r="278" spans="1:14" x14ac:dyDescent="0.2">
      <c r="A278" s="158"/>
      <c r="B278" s="55"/>
      <c r="C278" s="159"/>
      <c r="D278" s="159"/>
      <c r="E278" s="159"/>
      <c r="F278" s="159"/>
      <c r="G278" s="159"/>
      <c r="H278" s="159"/>
      <c r="I278" s="159"/>
      <c r="J278" s="160"/>
      <c r="K278" s="132"/>
      <c r="L278" s="133"/>
    </row>
    <row r="279" spans="1:14" x14ac:dyDescent="0.2">
      <c r="A279" s="158"/>
      <c r="B279" s="55"/>
      <c r="C279" s="159"/>
      <c r="D279" s="159"/>
      <c r="E279" s="159"/>
      <c r="F279" s="159"/>
      <c r="G279" s="159"/>
      <c r="H279" s="159"/>
      <c r="I279" s="159"/>
      <c r="J279" s="160"/>
      <c r="K279" s="132"/>
      <c r="L279" s="133"/>
    </row>
    <row r="280" spans="1:14" ht="13.5" thickBot="1" x14ac:dyDescent="0.25">
      <c r="A280" s="149"/>
      <c r="B280" s="167"/>
      <c r="C280" s="151"/>
      <c r="D280" s="151"/>
      <c r="E280" s="151"/>
      <c r="F280" s="151"/>
      <c r="G280" s="151"/>
      <c r="H280" s="151"/>
      <c r="I280" s="151"/>
      <c r="J280" s="168"/>
      <c r="K280" s="132"/>
      <c r="L280" s="133"/>
    </row>
    <row r="281" spans="1:14" ht="15.75" x14ac:dyDescent="0.2">
      <c r="A281" s="602" t="s">
        <v>4</v>
      </c>
      <c r="B281" s="603"/>
      <c r="C281" s="603" t="str">
        <f>'A IV.A'!$B$22</f>
        <v>SERVIÇOS INICIAIS</v>
      </c>
      <c r="D281" s="603"/>
      <c r="E281" s="603"/>
      <c r="F281" s="603"/>
      <c r="G281" s="603"/>
      <c r="H281" s="603"/>
      <c r="I281" s="603"/>
      <c r="J281" s="604"/>
      <c r="K281" s="132"/>
      <c r="L281" s="133"/>
    </row>
    <row r="282" spans="1:14" x14ac:dyDescent="0.2">
      <c r="A282" s="609" t="str">
        <f>'A IV.A'!$A$22</f>
        <v>2.0</v>
      </c>
      <c r="B282" s="610"/>
      <c r="C282" s="605"/>
      <c r="D282" s="605"/>
      <c r="E282" s="605"/>
      <c r="F282" s="605"/>
      <c r="G282" s="605"/>
      <c r="H282" s="605"/>
      <c r="I282" s="605"/>
      <c r="J282" s="606"/>
      <c r="K282" s="132"/>
      <c r="L282" s="133"/>
    </row>
    <row r="283" spans="1:14" ht="13.5" thickBot="1" x14ac:dyDescent="0.25">
      <c r="A283" s="611"/>
      <c r="B283" s="612"/>
      <c r="C283" s="607"/>
      <c r="D283" s="607"/>
      <c r="E283" s="607"/>
      <c r="F283" s="607"/>
      <c r="G283" s="607"/>
      <c r="H283" s="607"/>
      <c r="I283" s="607"/>
      <c r="J283" s="608"/>
      <c r="K283" s="132"/>
      <c r="L283" s="133"/>
    </row>
    <row r="284" spans="1:14" ht="13.5" thickBot="1" x14ac:dyDescent="0.25">
      <c r="A284" s="169"/>
      <c r="B284" s="169"/>
      <c r="C284" s="613"/>
      <c r="D284" s="613"/>
      <c r="E284" s="613"/>
      <c r="F284" s="613"/>
      <c r="G284" s="613"/>
      <c r="H284" s="613"/>
      <c r="I284" s="613"/>
      <c r="J284" s="169"/>
      <c r="K284" s="132"/>
      <c r="L284" s="133"/>
    </row>
    <row r="285" spans="1:14" ht="13.5" thickBot="1" x14ac:dyDescent="0.25">
      <c r="A285" s="632" t="s">
        <v>60</v>
      </c>
      <c r="B285" s="633"/>
      <c r="C285" s="656" t="s">
        <v>61</v>
      </c>
      <c r="D285" s="656"/>
      <c r="E285" s="656"/>
      <c r="F285" s="656"/>
      <c r="G285" s="656"/>
      <c r="H285" s="656"/>
      <c r="I285" s="656"/>
      <c r="J285" s="260" t="s">
        <v>0</v>
      </c>
      <c r="K285" s="132"/>
      <c r="L285" s="133"/>
    </row>
    <row r="286" spans="1:14" x14ac:dyDescent="0.2">
      <c r="A286" s="136"/>
      <c r="B286" s="137"/>
      <c r="C286" s="619"/>
      <c r="D286" s="620"/>
      <c r="E286" s="621"/>
      <c r="F286" s="621"/>
      <c r="G286" s="621"/>
      <c r="H286" s="621"/>
      <c r="I286" s="622"/>
      <c r="J286" s="138"/>
      <c r="K286" s="132"/>
      <c r="L286" s="133"/>
    </row>
    <row r="287" spans="1:14" x14ac:dyDescent="0.2">
      <c r="A287" s="625" t="str">
        <f>'A IV.A'!$A$25</f>
        <v>2.1.1</v>
      </c>
      <c r="B287" s="624"/>
      <c r="C287" s="626" t="str">
        <f>'A IV.A'!$B$25</f>
        <v>DEMOLIÇÃO MANUAL DE CALÇADAS E PISOS CIMENTADOS</v>
      </c>
      <c r="D287" s="627"/>
      <c r="E287" s="627"/>
      <c r="F287" s="627"/>
      <c r="G287" s="627"/>
      <c r="H287" s="627"/>
      <c r="I287" s="628"/>
      <c r="J287" s="629" t="str">
        <f>'A IV.A'!$C$25</f>
        <v>M2</v>
      </c>
      <c r="K287" s="630" t="str">
        <f>VLOOKUP(A287,'A IV.A'!$A$14:$M$233,2,FALSE)</f>
        <v>DEMOLIÇÃO MANUAL DE CALÇADAS E PISOS CIMENTADOS</v>
      </c>
      <c r="L287" s="631" t="str">
        <f>IF(C287=K287,"sim","nao")</f>
        <v>sim</v>
      </c>
      <c r="M287" s="631" t="str">
        <f>VLOOKUP(A287,'A IV.A'!$A$14:$M$233,3,FALSE)</f>
        <v>M2</v>
      </c>
      <c r="N287" s="631" t="str">
        <f>IF(J287=M287,"sim","nao")</f>
        <v>sim</v>
      </c>
    </row>
    <row r="288" spans="1:14" x14ac:dyDescent="0.2">
      <c r="A288" s="625"/>
      <c r="B288" s="624"/>
      <c r="C288" s="626"/>
      <c r="D288" s="627"/>
      <c r="E288" s="627"/>
      <c r="F288" s="627"/>
      <c r="G288" s="627"/>
      <c r="H288" s="627"/>
      <c r="I288" s="628"/>
      <c r="J288" s="629"/>
      <c r="K288" s="630"/>
      <c r="L288" s="631"/>
      <c r="M288" s="631"/>
      <c r="N288" s="631"/>
    </row>
    <row r="289" spans="1:12" x14ac:dyDescent="0.2">
      <c r="A289" s="139"/>
      <c r="B289" s="140"/>
      <c r="C289" s="141"/>
      <c r="D289" s="142"/>
      <c r="E289" s="142"/>
      <c r="F289" s="142"/>
      <c r="G289" s="142"/>
      <c r="H289" s="142"/>
      <c r="I289" s="143"/>
      <c r="J289" s="144"/>
      <c r="K289" s="132"/>
      <c r="L289" s="133"/>
    </row>
    <row r="290" spans="1:12" x14ac:dyDescent="0.2">
      <c r="A290" s="145"/>
      <c r="B290" s="146"/>
      <c r="C290" s="147"/>
      <c r="D290" s="147"/>
      <c r="E290" s="147"/>
      <c r="F290" s="147"/>
      <c r="G290" s="147"/>
      <c r="H290" s="147"/>
      <c r="I290" s="147"/>
      <c r="J290" s="148"/>
      <c r="K290" s="132"/>
      <c r="L290" s="133"/>
    </row>
    <row r="291" spans="1:12" x14ac:dyDescent="0.2">
      <c r="A291" s="145"/>
      <c r="B291" s="146"/>
      <c r="C291" s="147"/>
      <c r="D291" s="147"/>
      <c r="E291" s="147"/>
      <c r="F291" s="147"/>
      <c r="G291" s="147"/>
      <c r="H291" s="147"/>
      <c r="I291" s="147"/>
      <c r="J291" s="148"/>
      <c r="K291" s="132"/>
      <c r="L291" s="133"/>
    </row>
    <row r="292" spans="1:12" x14ac:dyDescent="0.2">
      <c r="A292" s="145"/>
      <c r="B292" s="146"/>
      <c r="C292" s="147"/>
      <c r="D292" s="147"/>
      <c r="E292" s="147"/>
      <c r="F292" s="147"/>
      <c r="G292" s="147"/>
      <c r="H292" s="147"/>
      <c r="I292" s="147"/>
      <c r="J292" s="148"/>
      <c r="K292" s="132"/>
      <c r="L292" s="133"/>
    </row>
    <row r="293" spans="1:12" x14ac:dyDescent="0.2">
      <c r="A293" s="145"/>
      <c r="B293" s="146"/>
      <c r="C293" s="147"/>
      <c r="D293" s="147"/>
      <c r="E293" s="147"/>
      <c r="F293" s="147"/>
      <c r="G293" s="147"/>
      <c r="H293" s="147"/>
      <c r="I293" s="147"/>
      <c r="J293" s="148"/>
      <c r="K293" s="132"/>
      <c r="L293" s="133"/>
    </row>
    <row r="294" spans="1:12" x14ac:dyDescent="0.2">
      <c r="A294" s="145"/>
      <c r="B294" s="146"/>
      <c r="C294" s="147"/>
      <c r="D294" s="147"/>
      <c r="E294" s="147"/>
      <c r="F294" s="147"/>
      <c r="G294" s="147"/>
      <c r="H294" s="147"/>
      <c r="I294" s="147"/>
      <c r="J294" s="148"/>
      <c r="K294" s="132"/>
      <c r="L294" s="133"/>
    </row>
    <row r="295" spans="1:12" x14ac:dyDescent="0.2">
      <c r="A295" s="145"/>
      <c r="B295" s="146"/>
      <c r="C295" s="147"/>
      <c r="D295" s="147"/>
      <c r="E295" s="147"/>
      <c r="F295" s="147"/>
      <c r="G295" s="147"/>
      <c r="H295" s="147"/>
      <c r="I295" s="147"/>
      <c r="J295" s="148"/>
      <c r="K295" s="132"/>
      <c r="L295" s="133"/>
    </row>
    <row r="296" spans="1:12" x14ac:dyDescent="0.2">
      <c r="A296" s="145"/>
      <c r="B296" s="146"/>
      <c r="C296" s="147"/>
      <c r="D296" s="147"/>
      <c r="E296" s="147"/>
      <c r="F296" s="147"/>
      <c r="G296" s="147"/>
      <c r="H296" s="147"/>
      <c r="I296" s="147"/>
      <c r="J296" s="148"/>
      <c r="K296" s="132"/>
      <c r="L296" s="133"/>
    </row>
    <row r="297" spans="1:12" x14ac:dyDescent="0.2">
      <c r="A297" s="145"/>
      <c r="B297" s="146"/>
      <c r="C297" s="147"/>
      <c r="D297" s="147"/>
      <c r="E297" s="147"/>
      <c r="F297" s="147"/>
      <c r="G297" s="147"/>
      <c r="H297" s="147"/>
      <c r="I297" s="147"/>
      <c r="J297" s="148"/>
      <c r="K297" s="132"/>
      <c r="L297" s="133"/>
    </row>
    <row r="298" spans="1:12" x14ac:dyDescent="0.2">
      <c r="A298" s="145"/>
      <c r="B298" s="146"/>
      <c r="C298" s="147"/>
      <c r="D298" s="147"/>
      <c r="E298" s="147"/>
      <c r="F298" s="147"/>
      <c r="G298" s="147"/>
      <c r="H298" s="147"/>
      <c r="I298" s="147"/>
      <c r="J298" s="148"/>
      <c r="K298" s="132"/>
      <c r="L298" s="133"/>
    </row>
    <row r="299" spans="1:12" x14ac:dyDescent="0.2">
      <c r="A299" s="145"/>
      <c r="B299" s="146"/>
      <c r="C299" s="147"/>
      <c r="D299" s="147"/>
      <c r="E299" s="147"/>
      <c r="F299" s="147"/>
      <c r="G299" s="147"/>
      <c r="H299" s="147"/>
      <c r="I299" s="147"/>
      <c r="J299" s="148"/>
      <c r="K299" s="132"/>
      <c r="L299" s="133"/>
    </row>
    <row r="300" spans="1:12" x14ac:dyDescent="0.2">
      <c r="A300" s="145"/>
      <c r="B300" s="146"/>
      <c r="C300" s="147"/>
      <c r="D300" s="147"/>
      <c r="E300" s="147"/>
      <c r="F300" s="147"/>
      <c r="G300" s="147"/>
      <c r="H300" s="147"/>
      <c r="I300" s="147"/>
      <c r="J300" s="148"/>
      <c r="K300" s="132"/>
      <c r="L300" s="133"/>
    </row>
    <row r="301" spans="1:12" x14ac:dyDescent="0.2">
      <c r="A301" s="145"/>
      <c r="B301" s="146"/>
      <c r="C301" s="147"/>
      <c r="D301" s="147"/>
      <c r="E301" s="147"/>
      <c r="F301" s="147"/>
      <c r="G301" s="147"/>
      <c r="H301" s="147"/>
      <c r="I301" s="147"/>
      <c r="J301" s="148"/>
      <c r="K301" s="132"/>
      <c r="L301" s="133"/>
    </row>
    <row r="302" spans="1:12" x14ac:dyDescent="0.2">
      <c r="A302" s="145"/>
      <c r="B302" s="146"/>
      <c r="C302" s="147"/>
      <c r="D302" s="147"/>
      <c r="E302" s="147"/>
      <c r="F302" s="147"/>
      <c r="G302" s="147"/>
      <c r="H302" s="147"/>
      <c r="I302" s="147"/>
      <c r="J302" s="148"/>
      <c r="K302" s="132"/>
      <c r="L302" s="133"/>
    </row>
    <row r="303" spans="1:12" x14ac:dyDescent="0.2">
      <c r="A303" s="145"/>
      <c r="B303" s="146"/>
      <c r="C303" s="147"/>
      <c r="D303" s="147"/>
      <c r="E303" s="147"/>
      <c r="F303" s="147"/>
      <c r="G303" s="147"/>
      <c r="H303" s="147"/>
      <c r="I303" s="147"/>
      <c r="J303" s="148"/>
      <c r="K303" s="132"/>
      <c r="L303" s="133"/>
    </row>
    <row r="304" spans="1:12" x14ac:dyDescent="0.2">
      <c r="A304" s="145"/>
      <c r="B304" s="146"/>
      <c r="C304" s="147"/>
      <c r="D304" s="147"/>
      <c r="E304" s="147"/>
      <c r="F304" s="147"/>
      <c r="G304" s="147"/>
      <c r="H304" s="147"/>
      <c r="I304" s="147"/>
      <c r="J304" s="148"/>
      <c r="K304" s="132"/>
      <c r="L304" s="133"/>
    </row>
    <row r="305" spans="1:12" x14ac:dyDescent="0.2">
      <c r="A305" s="145"/>
      <c r="B305" s="146"/>
      <c r="C305" s="147"/>
      <c r="D305" s="147"/>
      <c r="E305" s="147"/>
      <c r="F305" s="147"/>
      <c r="G305" s="147"/>
      <c r="H305" s="147"/>
      <c r="I305" s="147"/>
      <c r="J305" s="148"/>
      <c r="K305" s="132"/>
      <c r="L305" s="133"/>
    </row>
    <row r="306" spans="1:12" x14ac:dyDescent="0.2">
      <c r="A306" s="145"/>
      <c r="B306" s="146"/>
      <c r="C306" s="147"/>
      <c r="D306" s="147"/>
      <c r="E306" s="147"/>
      <c r="F306" s="147"/>
      <c r="G306" s="147"/>
      <c r="H306" s="147"/>
      <c r="I306" s="147"/>
      <c r="J306" s="148"/>
      <c r="K306" s="132"/>
      <c r="L306" s="133"/>
    </row>
    <row r="307" spans="1:12" x14ac:dyDescent="0.2">
      <c r="A307" s="145"/>
      <c r="B307" s="146"/>
      <c r="C307" s="147"/>
      <c r="D307" s="147"/>
      <c r="E307" s="147"/>
      <c r="F307" s="147"/>
      <c r="G307" s="147"/>
      <c r="H307" s="147"/>
      <c r="I307" s="147"/>
      <c r="J307" s="148"/>
      <c r="K307" s="132"/>
      <c r="L307" s="133"/>
    </row>
    <row r="308" spans="1:12" ht="13.5" thickBot="1" x14ac:dyDescent="0.25">
      <c r="A308" s="149"/>
      <c r="B308" s="150"/>
      <c r="C308" s="151"/>
      <c r="D308" s="151"/>
      <c r="E308" s="151"/>
      <c r="F308" s="151"/>
      <c r="G308" s="151"/>
      <c r="H308" s="151"/>
      <c r="I308" s="151"/>
      <c r="J308" s="152"/>
      <c r="K308" s="132"/>
      <c r="L308" s="133"/>
    </row>
    <row r="309" spans="1:12" ht="13.5" thickBot="1" x14ac:dyDescent="0.25">
      <c r="A309" s="153"/>
      <c r="B309" s="153"/>
      <c r="C309" s="154"/>
      <c r="D309" s="154"/>
      <c r="E309" s="154"/>
      <c r="F309" s="154"/>
      <c r="G309" s="154"/>
      <c r="H309" s="154"/>
      <c r="I309" s="154"/>
      <c r="J309" s="153"/>
      <c r="K309" s="132"/>
      <c r="L309" s="133"/>
    </row>
    <row r="310" spans="1:12" ht="13.5" thickBot="1" x14ac:dyDescent="0.25">
      <c r="A310" s="614" t="s">
        <v>62</v>
      </c>
      <c r="B310" s="648"/>
      <c r="C310" s="648"/>
      <c r="D310" s="648"/>
      <c r="E310" s="648"/>
      <c r="F310" s="648"/>
      <c r="G310" s="648"/>
      <c r="H310" s="648"/>
      <c r="I310" s="648"/>
      <c r="J310" s="649"/>
      <c r="K310" s="132"/>
      <c r="L310" s="133"/>
    </row>
    <row r="311" spans="1:12" x14ac:dyDescent="0.2">
      <c r="A311" s="136"/>
      <c r="B311" s="155"/>
      <c r="C311" s="156"/>
      <c r="D311" s="156"/>
      <c r="E311" s="156"/>
      <c r="F311" s="156"/>
      <c r="G311" s="156"/>
      <c r="H311" s="156"/>
      <c r="I311" s="156"/>
      <c r="J311" s="157"/>
      <c r="K311" s="132"/>
      <c r="L311" s="133"/>
    </row>
    <row r="312" spans="1:12" ht="12.75" customHeight="1" x14ac:dyDescent="0.2">
      <c r="A312" s="158" t="s">
        <v>63</v>
      </c>
      <c r="B312" s="55"/>
      <c r="C312" s="596" t="s">
        <v>828</v>
      </c>
      <c r="D312" s="596"/>
      <c r="E312" s="596"/>
      <c r="F312" s="596"/>
      <c r="G312" s="596"/>
      <c r="H312" s="596"/>
      <c r="I312" s="596"/>
      <c r="J312" s="597"/>
      <c r="K312" s="132"/>
      <c r="L312" s="133"/>
    </row>
    <row r="313" spans="1:12" x14ac:dyDescent="0.2">
      <c r="A313" s="158"/>
      <c r="B313" s="55"/>
      <c r="C313" s="596"/>
      <c r="D313" s="596"/>
      <c r="E313" s="596"/>
      <c r="F313" s="596"/>
      <c r="G313" s="596"/>
      <c r="H313" s="596"/>
      <c r="I313" s="596"/>
      <c r="J313" s="597"/>
      <c r="K313" s="132"/>
      <c r="L313" s="133"/>
    </row>
    <row r="314" spans="1:12" x14ac:dyDescent="0.2">
      <c r="A314" s="158"/>
      <c r="B314" s="55"/>
      <c r="C314" s="596"/>
      <c r="D314" s="596"/>
      <c r="E314" s="596"/>
      <c r="F314" s="596"/>
      <c r="G314" s="596"/>
      <c r="H314" s="596"/>
      <c r="I314" s="596"/>
      <c r="J314" s="597"/>
      <c r="K314" s="132"/>
      <c r="L314" s="133"/>
    </row>
    <row r="315" spans="1:12" x14ac:dyDescent="0.2">
      <c r="A315" s="158"/>
      <c r="B315" s="55"/>
      <c r="C315" s="172"/>
      <c r="D315" s="172"/>
      <c r="E315" s="172"/>
      <c r="F315" s="172"/>
      <c r="G315" s="172"/>
      <c r="H315" s="172"/>
      <c r="I315" s="172"/>
      <c r="J315" s="173"/>
      <c r="K315" s="132"/>
      <c r="L315" s="133"/>
    </row>
    <row r="316" spans="1:12" ht="12.75" customHeight="1" x14ac:dyDescent="0.2">
      <c r="A316" s="158" t="s">
        <v>64</v>
      </c>
      <c r="B316" s="55"/>
      <c r="C316" s="713" t="s">
        <v>440</v>
      </c>
      <c r="D316" s="713"/>
      <c r="E316" s="713"/>
      <c r="F316" s="713"/>
      <c r="G316" s="713"/>
      <c r="H316" s="713"/>
      <c r="I316" s="713"/>
      <c r="J316" s="714"/>
      <c r="K316" s="132"/>
      <c r="L316" s="133"/>
    </row>
    <row r="317" spans="1:12" x14ac:dyDescent="0.2">
      <c r="A317" s="158"/>
      <c r="B317" s="55"/>
      <c r="C317" s="713"/>
      <c r="D317" s="713"/>
      <c r="E317" s="713"/>
      <c r="F317" s="713"/>
      <c r="G317" s="713"/>
      <c r="H317" s="713"/>
      <c r="I317" s="713"/>
      <c r="J317" s="714"/>
      <c r="K317" s="132"/>
      <c r="L317" s="133"/>
    </row>
    <row r="318" spans="1:12" x14ac:dyDescent="0.2">
      <c r="A318" s="158"/>
      <c r="B318" s="55"/>
      <c r="C318" s="172"/>
      <c r="D318" s="172"/>
      <c r="E318" s="172"/>
      <c r="F318" s="172"/>
      <c r="G318" s="172"/>
      <c r="H318" s="172"/>
      <c r="I318" s="172"/>
      <c r="J318" s="173"/>
      <c r="K318" s="132"/>
      <c r="L318" s="133"/>
    </row>
    <row r="319" spans="1:12" ht="12.75" customHeight="1" x14ac:dyDescent="0.2">
      <c r="A319" s="598" t="s">
        <v>157</v>
      </c>
      <c r="B319" s="638"/>
      <c r="C319" s="652" t="s">
        <v>829</v>
      </c>
      <c r="D319" s="652"/>
      <c r="E319" s="652"/>
      <c r="F319" s="652"/>
      <c r="G319" s="652"/>
      <c r="H319" s="652"/>
      <c r="I319" s="652"/>
      <c r="J319" s="653"/>
      <c r="K319" s="132"/>
      <c r="L319" s="133"/>
    </row>
    <row r="320" spans="1:12" ht="12.75" customHeight="1" x14ac:dyDescent="0.2">
      <c r="A320" s="158"/>
      <c r="B320" s="55"/>
      <c r="C320" s="652" t="s">
        <v>831</v>
      </c>
      <c r="D320" s="652"/>
      <c r="E320" s="652"/>
      <c r="F320" s="652"/>
      <c r="G320" s="652"/>
      <c r="H320" s="652"/>
      <c r="I320" s="652"/>
      <c r="J320" s="653"/>
      <c r="K320" s="132"/>
      <c r="L320" s="133"/>
    </row>
    <row r="321" spans="1:12" x14ac:dyDescent="0.2">
      <c r="A321" s="158"/>
      <c r="B321" s="55"/>
      <c r="C321" s="652"/>
      <c r="D321" s="652"/>
      <c r="E321" s="652"/>
      <c r="F321" s="652"/>
      <c r="G321" s="652"/>
      <c r="H321" s="652"/>
      <c r="I321" s="652"/>
      <c r="J321" s="653"/>
      <c r="K321" s="132"/>
      <c r="L321" s="133"/>
    </row>
    <row r="322" spans="1:12" x14ac:dyDescent="0.2">
      <c r="A322" s="158"/>
      <c r="B322" s="55"/>
      <c r="C322" s="652"/>
      <c r="D322" s="652"/>
      <c r="E322" s="652"/>
      <c r="F322" s="652"/>
      <c r="G322" s="652"/>
      <c r="H322" s="652"/>
      <c r="I322" s="652"/>
      <c r="J322" s="653"/>
      <c r="K322" s="132"/>
      <c r="L322" s="133"/>
    </row>
    <row r="323" spans="1:12" x14ac:dyDescent="0.2">
      <c r="A323" s="158"/>
      <c r="B323" s="55"/>
      <c r="C323" s="71"/>
      <c r="D323" s="71"/>
      <c r="E323" s="71"/>
      <c r="F323" s="71"/>
      <c r="G323" s="71"/>
      <c r="H323" s="71"/>
      <c r="I323" s="71"/>
      <c r="J323" s="174"/>
      <c r="K323" s="132"/>
      <c r="L323" s="133"/>
    </row>
    <row r="324" spans="1:12" x14ac:dyDescent="0.2">
      <c r="A324" s="158"/>
      <c r="B324" s="55"/>
      <c r="C324" s="71"/>
      <c r="D324" s="71"/>
      <c r="E324" s="71"/>
      <c r="F324" s="71"/>
      <c r="G324" s="71"/>
      <c r="H324" s="71"/>
      <c r="I324" s="71"/>
      <c r="J324" s="174"/>
      <c r="K324" s="132"/>
      <c r="L324" s="133"/>
    </row>
    <row r="325" spans="1:12" x14ac:dyDescent="0.2">
      <c r="A325" s="158"/>
      <c r="B325" s="55"/>
      <c r="C325" s="175"/>
      <c r="D325" s="175"/>
      <c r="E325" s="175"/>
      <c r="F325" s="175"/>
      <c r="G325" s="175"/>
      <c r="H325" s="175"/>
      <c r="I325" s="175"/>
      <c r="J325" s="176"/>
      <c r="K325" s="132"/>
      <c r="L325" s="133"/>
    </row>
    <row r="326" spans="1:12" x14ac:dyDescent="0.2">
      <c r="A326" s="158"/>
      <c r="B326" s="55"/>
      <c r="C326" s="175"/>
      <c r="D326" s="175"/>
      <c r="E326" s="175"/>
      <c r="F326" s="175"/>
      <c r="G326" s="175"/>
      <c r="H326" s="175"/>
      <c r="I326" s="175"/>
      <c r="J326" s="176"/>
      <c r="K326" s="132"/>
      <c r="L326" s="133"/>
    </row>
    <row r="327" spans="1:12" x14ac:dyDescent="0.2">
      <c r="A327" s="158"/>
      <c r="B327" s="55"/>
      <c r="C327" s="175"/>
      <c r="D327" s="175"/>
      <c r="E327" s="175"/>
      <c r="F327" s="175"/>
      <c r="G327" s="175"/>
      <c r="H327" s="175"/>
      <c r="I327" s="175"/>
      <c r="J327" s="176"/>
      <c r="K327" s="132"/>
      <c r="L327" s="133"/>
    </row>
    <row r="328" spans="1:12" x14ac:dyDescent="0.2">
      <c r="A328" s="158"/>
      <c r="B328" s="55"/>
      <c r="C328" s="71"/>
      <c r="D328" s="71"/>
      <c r="E328" s="71"/>
      <c r="F328" s="71"/>
      <c r="G328" s="71"/>
      <c r="H328" s="71"/>
      <c r="I328" s="71"/>
      <c r="J328" s="174"/>
      <c r="K328" s="132"/>
      <c r="L328" s="133"/>
    </row>
    <row r="329" spans="1:12" x14ac:dyDescent="0.2">
      <c r="A329" s="158"/>
      <c r="B329" s="55"/>
      <c r="C329" s="71"/>
      <c r="D329" s="71"/>
      <c r="E329" s="71"/>
      <c r="F329" s="71"/>
      <c r="G329" s="71"/>
      <c r="H329" s="71"/>
      <c r="I329" s="71"/>
      <c r="J329" s="174"/>
      <c r="K329" s="132"/>
      <c r="L329" s="133"/>
    </row>
    <row r="330" spans="1:12" x14ac:dyDescent="0.2">
      <c r="A330" s="158"/>
      <c r="B330" s="55"/>
      <c r="C330" s="71"/>
      <c r="D330" s="71"/>
      <c r="E330" s="71"/>
      <c r="F330" s="71"/>
      <c r="G330" s="71"/>
      <c r="H330" s="71"/>
      <c r="I330" s="71"/>
      <c r="J330" s="174"/>
      <c r="K330" s="132"/>
      <c r="L330" s="133"/>
    </row>
    <row r="331" spans="1:12" x14ac:dyDescent="0.2">
      <c r="A331" s="158"/>
      <c r="B331" s="55"/>
      <c r="C331" s="71"/>
      <c r="D331" s="71"/>
      <c r="E331" s="71"/>
      <c r="F331" s="71"/>
      <c r="G331" s="71"/>
      <c r="H331" s="71"/>
      <c r="I331" s="71"/>
      <c r="J331" s="174"/>
      <c r="K331" s="132"/>
      <c r="L331" s="133"/>
    </row>
    <row r="332" spans="1:12" x14ac:dyDescent="0.2">
      <c r="A332" s="158"/>
      <c r="B332" s="55"/>
      <c r="C332" s="71"/>
      <c r="D332" s="71"/>
      <c r="E332" s="71"/>
      <c r="F332" s="71"/>
      <c r="G332" s="71"/>
      <c r="H332" s="71"/>
      <c r="I332" s="71"/>
      <c r="J332" s="174"/>
      <c r="K332" s="132"/>
      <c r="L332" s="133"/>
    </row>
    <row r="333" spans="1:12" x14ac:dyDescent="0.2">
      <c r="A333" s="158"/>
      <c r="B333" s="55"/>
      <c r="C333" s="71"/>
      <c r="D333" s="71"/>
      <c r="E333" s="71"/>
      <c r="F333" s="71"/>
      <c r="G333" s="71"/>
      <c r="H333" s="71"/>
      <c r="I333" s="71"/>
      <c r="J333" s="174"/>
      <c r="K333" s="132"/>
      <c r="L333" s="133"/>
    </row>
    <row r="334" spans="1:12" x14ac:dyDescent="0.2">
      <c r="A334" s="158"/>
      <c r="B334" s="55"/>
      <c r="C334" s="71"/>
      <c r="D334" s="71"/>
      <c r="E334" s="71"/>
      <c r="F334" s="71"/>
      <c r="G334" s="71"/>
      <c r="H334" s="71"/>
      <c r="I334" s="71"/>
      <c r="J334" s="174"/>
      <c r="K334" s="132"/>
      <c r="L334" s="133"/>
    </row>
    <row r="335" spans="1:12" ht="13.5" thickBot="1" x14ac:dyDescent="0.25">
      <c r="A335" s="149"/>
      <c r="B335" s="167"/>
      <c r="C335" s="151"/>
      <c r="D335" s="151"/>
      <c r="E335" s="151"/>
      <c r="F335" s="151"/>
      <c r="G335" s="151"/>
      <c r="H335" s="151"/>
      <c r="I335" s="151"/>
      <c r="J335" s="168"/>
      <c r="K335" s="132"/>
      <c r="L335" s="133"/>
    </row>
    <row r="336" spans="1:12" ht="15.75" x14ac:dyDescent="0.2">
      <c r="A336" s="602" t="s">
        <v>4</v>
      </c>
      <c r="B336" s="603"/>
      <c r="C336" s="603" t="str">
        <f>'A IV.A'!$B$22</f>
        <v>SERVIÇOS INICIAIS</v>
      </c>
      <c r="D336" s="603"/>
      <c r="E336" s="603"/>
      <c r="F336" s="603"/>
      <c r="G336" s="603"/>
      <c r="H336" s="603"/>
      <c r="I336" s="603"/>
      <c r="J336" s="604"/>
      <c r="K336" s="132"/>
      <c r="L336" s="133"/>
    </row>
    <row r="337" spans="1:14" x14ac:dyDescent="0.2">
      <c r="A337" s="609" t="str">
        <f>'A IV.A'!$A$22</f>
        <v>2.0</v>
      </c>
      <c r="B337" s="610"/>
      <c r="C337" s="605"/>
      <c r="D337" s="605"/>
      <c r="E337" s="605"/>
      <c r="F337" s="605"/>
      <c r="G337" s="605"/>
      <c r="H337" s="605"/>
      <c r="I337" s="605"/>
      <c r="J337" s="606"/>
      <c r="K337" s="132"/>
      <c r="L337" s="133"/>
    </row>
    <row r="338" spans="1:14" ht="13.5" thickBot="1" x14ac:dyDescent="0.25">
      <c r="A338" s="611"/>
      <c r="B338" s="612"/>
      <c r="C338" s="607"/>
      <c r="D338" s="607"/>
      <c r="E338" s="607"/>
      <c r="F338" s="607"/>
      <c r="G338" s="607"/>
      <c r="H338" s="607"/>
      <c r="I338" s="607"/>
      <c r="J338" s="608"/>
      <c r="K338" s="132"/>
      <c r="L338" s="133"/>
    </row>
    <row r="339" spans="1:14" ht="13.5" thickBot="1" x14ac:dyDescent="0.25">
      <c r="A339" s="302"/>
      <c r="B339" s="302"/>
      <c r="C339" s="617"/>
      <c r="D339" s="617"/>
      <c r="E339" s="617"/>
      <c r="F339" s="617"/>
      <c r="G339" s="617"/>
      <c r="H339" s="617"/>
      <c r="I339" s="617"/>
      <c r="J339" s="302"/>
      <c r="K339" s="132"/>
      <c r="L339" s="133"/>
    </row>
    <row r="340" spans="1:14" ht="13.5" thickBot="1" x14ac:dyDescent="0.25">
      <c r="A340" s="632" t="s">
        <v>60</v>
      </c>
      <c r="B340" s="633"/>
      <c r="C340" s="656" t="s">
        <v>61</v>
      </c>
      <c r="D340" s="656"/>
      <c r="E340" s="656"/>
      <c r="F340" s="656"/>
      <c r="G340" s="656"/>
      <c r="H340" s="656"/>
      <c r="I340" s="656"/>
      <c r="J340" s="260" t="s">
        <v>0</v>
      </c>
      <c r="K340" s="132"/>
      <c r="L340" s="133"/>
    </row>
    <row r="341" spans="1:14" x14ac:dyDescent="0.2">
      <c r="A341" s="136"/>
      <c r="B341" s="137"/>
      <c r="C341" s="619"/>
      <c r="D341" s="620"/>
      <c r="E341" s="621"/>
      <c r="F341" s="621"/>
      <c r="G341" s="621"/>
      <c r="H341" s="621"/>
      <c r="I341" s="622"/>
      <c r="J341" s="138"/>
      <c r="K341" s="132"/>
      <c r="L341" s="133"/>
    </row>
    <row r="342" spans="1:14" x14ac:dyDescent="0.2">
      <c r="A342" s="625" t="str">
        <f>'A IV.A'!A26</f>
        <v>2.1.2</v>
      </c>
      <c r="B342" s="624"/>
      <c r="C342" s="626" t="str">
        <f>'A IV.A'!B26</f>
        <v>DEMOLIÇÃO MECANIZADA DE CALÇADAS E PISOS CIMENTADOS</v>
      </c>
      <c r="D342" s="627"/>
      <c r="E342" s="627"/>
      <c r="F342" s="627"/>
      <c r="G342" s="627"/>
      <c r="H342" s="627"/>
      <c r="I342" s="628"/>
      <c r="J342" s="629" t="str">
        <f>'A IV.A'!C26</f>
        <v>M2</v>
      </c>
      <c r="K342" s="630" t="str">
        <f>VLOOKUP(A342,'A IV.A'!$A$14:$M$233,2,FALSE)</f>
        <v>DEMOLIÇÃO MECANIZADA DE CALÇADAS E PISOS CIMENTADOS</v>
      </c>
      <c r="L342" s="631" t="str">
        <f>IF(C342=K342,"sim","nao")</f>
        <v>sim</v>
      </c>
      <c r="M342" s="631" t="str">
        <f>VLOOKUP(A342,'A IV.A'!$A$14:$M$233,3,FALSE)</f>
        <v>M2</v>
      </c>
      <c r="N342" s="631" t="str">
        <f>IF(J342=M342,"sim","nao")</f>
        <v>sim</v>
      </c>
    </row>
    <row r="343" spans="1:14" x14ac:dyDescent="0.2">
      <c r="A343" s="625"/>
      <c r="B343" s="624"/>
      <c r="C343" s="626"/>
      <c r="D343" s="627"/>
      <c r="E343" s="627"/>
      <c r="F343" s="627"/>
      <c r="G343" s="627"/>
      <c r="H343" s="627"/>
      <c r="I343" s="628"/>
      <c r="J343" s="629"/>
      <c r="K343" s="630"/>
      <c r="L343" s="631"/>
      <c r="M343" s="631"/>
      <c r="N343" s="631"/>
    </row>
    <row r="344" spans="1:14" x14ac:dyDescent="0.2">
      <c r="A344" s="139"/>
      <c r="B344" s="140"/>
      <c r="C344" s="141"/>
      <c r="D344" s="142"/>
      <c r="E344" s="142"/>
      <c r="F344" s="142"/>
      <c r="G344" s="142"/>
      <c r="H344" s="142"/>
      <c r="I344" s="143"/>
      <c r="J344" s="144"/>
      <c r="K344" s="132"/>
      <c r="L344" s="133"/>
    </row>
    <row r="345" spans="1:14" x14ac:dyDescent="0.2">
      <c r="A345" s="145"/>
      <c r="B345" s="146"/>
      <c r="C345" s="147"/>
      <c r="D345" s="147"/>
      <c r="E345" s="147"/>
      <c r="F345" s="147"/>
      <c r="G345" s="147"/>
      <c r="H345" s="147"/>
      <c r="I345" s="147"/>
      <c r="J345" s="148"/>
      <c r="K345" s="132"/>
      <c r="L345" s="133"/>
    </row>
    <row r="346" spans="1:14" x14ac:dyDescent="0.2">
      <c r="A346" s="145"/>
      <c r="B346" s="146"/>
      <c r="C346" s="147"/>
      <c r="D346" s="147"/>
      <c r="E346" s="147"/>
      <c r="F346" s="147"/>
      <c r="G346" s="147"/>
      <c r="H346" s="147"/>
      <c r="I346" s="147"/>
      <c r="J346" s="148"/>
      <c r="K346" s="132"/>
      <c r="L346" s="133"/>
    </row>
    <row r="347" spans="1:14" x14ac:dyDescent="0.2">
      <c r="A347" s="145"/>
      <c r="B347" s="146"/>
      <c r="C347" s="147"/>
      <c r="D347" s="147"/>
      <c r="E347" s="147"/>
      <c r="F347" s="147"/>
      <c r="G347" s="147"/>
      <c r="H347" s="147"/>
      <c r="I347" s="147"/>
      <c r="J347" s="148"/>
      <c r="K347" s="132"/>
      <c r="L347" s="133"/>
    </row>
    <row r="348" spans="1:14" x14ac:dyDescent="0.2">
      <c r="A348" s="145"/>
      <c r="B348" s="146"/>
      <c r="C348" s="147"/>
      <c r="D348" s="147"/>
      <c r="E348" s="147"/>
      <c r="F348" s="147"/>
      <c r="G348" s="147"/>
      <c r="H348" s="147"/>
      <c r="I348" s="147"/>
      <c r="J348" s="148"/>
      <c r="K348" s="132"/>
      <c r="L348" s="133"/>
    </row>
    <row r="349" spans="1:14" x14ac:dyDescent="0.2">
      <c r="A349" s="145"/>
      <c r="B349" s="146"/>
      <c r="C349" s="147"/>
      <c r="D349" s="147"/>
      <c r="E349" s="147"/>
      <c r="F349" s="147"/>
      <c r="G349" s="147"/>
      <c r="H349" s="147"/>
      <c r="I349" s="147"/>
      <c r="J349" s="148"/>
      <c r="K349" s="132"/>
      <c r="L349" s="133"/>
    </row>
    <row r="350" spans="1:14" x14ac:dyDescent="0.2">
      <c r="A350" s="145"/>
      <c r="B350" s="146"/>
      <c r="C350" s="147"/>
      <c r="D350" s="147"/>
      <c r="E350" s="147"/>
      <c r="F350" s="147"/>
      <c r="G350" s="147"/>
      <c r="H350" s="147"/>
      <c r="I350" s="147"/>
      <c r="J350" s="148"/>
      <c r="K350" s="132"/>
      <c r="L350" s="133"/>
    </row>
    <row r="351" spans="1:14" x14ac:dyDescent="0.2">
      <c r="A351" s="145"/>
      <c r="B351" s="146"/>
      <c r="C351" s="147"/>
      <c r="D351" s="147"/>
      <c r="E351" s="147"/>
      <c r="F351" s="147"/>
      <c r="G351" s="147"/>
      <c r="H351" s="147"/>
      <c r="I351" s="147"/>
      <c r="J351" s="148"/>
      <c r="K351" s="132"/>
      <c r="L351" s="133"/>
    </row>
    <row r="352" spans="1:14" x14ac:dyDescent="0.2">
      <c r="A352" s="145"/>
      <c r="B352" s="146"/>
      <c r="C352" s="147"/>
      <c r="D352" s="147"/>
      <c r="E352" s="147"/>
      <c r="F352" s="147"/>
      <c r="G352" s="147"/>
      <c r="H352" s="147"/>
      <c r="I352" s="147"/>
      <c r="J352" s="148"/>
      <c r="K352" s="132"/>
      <c r="L352" s="133"/>
    </row>
    <row r="353" spans="1:12" x14ac:dyDescent="0.2">
      <c r="A353" s="145"/>
      <c r="B353" s="146"/>
      <c r="C353" s="147"/>
      <c r="D353" s="147"/>
      <c r="E353" s="147"/>
      <c r="F353" s="147"/>
      <c r="G353" s="147"/>
      <c r="H353" s="147"/>
      <c r="I353" s="147"/>
      <c r="J353" s="148"/>
      <c r="K353" s="132"/>
      <c r="L353" s="133"/>
    </row>
    <row r="354" spans="1:12" x14ac:dyDescent="0.2">
      <c r="A354" s="145"/>
      <c r="B354" s="146"/>
      <c r="C354" s="147"/>
      <c r="D354" s="147"/>
      <c r="E354" s="147"/>
      <c r="F354" s="147"/>
      <c r="G354" s="147"/>
      <c r="H354" s="147"/>
      <c r="I354" s="147"/>
      <c r="J354" s="148"/>
      <c r="K354" s="132"/>
      <c r="L354" s="133"/>
    </row>
    <row r="355" spans="1:12" x14ac:dyDescent="0.2">
      <c r="A355" s="145"/>
      <c r="B355" s="146"/>
      <c r="C355" s="147"/>
      <c r="D355" s="147"/>
      <c r="E355" s="147"/>
      <c r="F355" s="147"/>
      <c r="G355" s="147"/>
      <c r="H355" s="147"/>
      <c r="I355" s="147"/>
      <c r="J355" s="148"/>
      <c r="K355" s="132"/>
      <c r="L355" s="133"/>
    </row>
    <row r="356" spans="1:12" x14ac:dyDescent="0.2">
      <c r="A356" s="145"/>
      <c r="B356" s="146"/>
      <c r="C356" s="147"/>
      <c r="D356" s="147"/>
      <c r="E356" s="147"/>
      <c r="F356" s="147"/>
      <c r="G356" s="147"/>
      <c r="H356" s="147"/>
      <c r="I356" s="147"/>
      <c r="J356" s="148"/>
      <c r="K356" s="132"/>
      <c r="L356" s="133"/>
    </row>
    <row r="357" spans="1:12" x14ac:dyDescent="0.2">
      <c r="A357" s="145"/>
      <c r="B357" s="146"/>
      <c r="C357" s="147"/>
      <c r="D357" s="147"/>
      <c r="E357" s="147"/>
      <c r="F357" s="147"/>
      <c r="G357" s="147"/>
      <c r="H357" s="147"/>
      <c r="I357" s="147"/>
      <c r="J357" s="148"/>
      <c r="K357" s="132"/>
      <c r="L357" s="133"/>
    </row>
    <row r="358" spans="1:12" x14ac:dyDescent="0.2">
      <c r="A358" s="145"/>
      <c r="B358" s="146"/>
      <c r="C358" s="147"/>
      <c r="D358" s="147"/>
      <c r="E358" s="147"/>
      <c r="F358" s="147"/>
      <c r="G358" s="147"/>
      <c r="H358" s="147"/>
      <c r="I358" s="147"/>
      <c r="J358" s="148"/>
      <c r="K358" s="132"/>
      <c r="L358" s="133"/>
    </row>
    <row r="359" spans="1:12" x14ac:dyDescent="0.2">
      <c r="A359" s="145"/>
      <c r="B359" s="146"/>
      <c r="C359" s="147"/>
      <c r="D359" s="147"/>
      <c r="E359" s="147"/>
      <c r="F359" s="147"/>
      <c r="G359" s="147"/>
      <c r="H359" s="147"/>
      <c r="I359" s="147"/>
      <c r="J359" s="148"/>
      <c r="K359" s="132"/>
      <c r="L359" s="133"/>
    </row>
    <row r="360" spans="1:12" x14ac:dyDescent="0.2">
      <c r="A360" s="145"/>
      <c r="B360" s="146"/>
      <c r="C360" s="147"/>
      <c r="D360" s="147"/>
      <c r="E360" s="147"/>
      <c r="F360" s="147"/>
      <c r="G360" s="147"/>
      <c r="H360" s="147"/>
      <c r="I360" s="147"/>
      <c r="J360" s="148"/>
      <c r="K360" s="132"/>
      <c r="L360" s="133"/>
    </row>
    <row r="361" spans="1:12" x14ac:dyDescent="0.2">
      <c r="A361" s="145"/>
      <c r="B361" s="146"/>
      <c r="C361" s="147"/>
      <c r="D361" s="147"/>
      <c r="E361" s="147"/>
      <c r="F361" s="147"/>
      <c r="G361" s="147"/>
      <c r="H361" s="147"/>
      <c r="I361" s="147"/>
      <c r="J361" s="148"/>
      <c r="K361" s="132"/>
      <c r="L361" s="133"/>
    </row>
    <row r="362" spans="1:12" x14ac:dyDescent="0.2">
      <c r="A362" s="145"/>
      <c r="B362" s="146"/>
      <c r="C362" s="147"/>
      <c r="D362" s="147"/>
      <c r="E362" s="147"/>
      <c r="F362" s="147"/>
      <c r="G362" s="147"/>
      <c r="H362" s="147"/>
      <c r="I362" s="147"/>
      <c r="J362" s="148"/>
      <c r="K362" s="132"/>
      <c r="L362" s="133"/>
    </row>
    <row r="363" spans="1:12" ht="13.5" thickBot="1" x14ac:dyDescent="0.25">
      <c r="A363" s="149"/>
      <c r="B363" s="150"/>
      <c r="C363" s="151"/>
      <c r="D363" s="151"/>
      <c r="E363" s="151"/>
      <c r="F363" s="151"/>
      <c r="G363" s="151"/>
      <c r="H363" s="151"/>
      <c r="I363" s="151"/>
      <c r="J363" s="152"/>
      <c r="K363" s="132"/>
      <c r="L363" s="133"/>
    </row>
    <row r="364" spans="1:12" ht="13.5" thickBot="1" x14ac:dyDescent="0.25">
      <c r="A364" s="153"/>
      <c r="B364" s="153"/>
      <c r="C364" s="154"/>
      <c r="D364" s="154"/>
      <c r="E364" s="154"/>
      <c r="F364" s="154"/>
      <c r="G364" s="154"/>
      <c r="H364" s="154"/>
      <c r="I364" s="154"/>
      <c r="J364" s="153"/>
      <c r="K364" s="132"/>
      <c r="L364" s="133"/>
    </row>
    <row r="365" spans="1:12" ht="13.5" thickBot="1" x14ac:dyDescent="0.25">
      <c r="A365" s="614" t="s">
        <v>62</v>
      </c>
      <c r="B365" s="648"/>
      <c r="C365" s="648"/>
      <c r="D365" s="648"/>
      <c r="E365" s="648"/>
      <c r="F365" s="648"/>
      <c r="G365" s="648"/>
      <c r="H365" s="648"/>
      <c r="I365" s="648"/>
      <c r="J365" s="649"/>
      <c r="K365" s="132"/>
      <c r="L365" s="133"/>
    </row>
    <row r="366" spans="1:12" x14ac:dyDescent="0.2">
      <c r="A366" s="136"/>
      <c r="B366" s="155"/>
      <c r="C366" s="156"/>
      <c r="D366" s="156"/>
      <c r="E366" s="156"/>
      <c r="F366" s="156"/>
      <c r="G366" s="156"/>
      <c r="H366" s="156"/>
      <c r="I366" s="156"/>
      <c r="J366" s="157"/>
      <c r="K366" s="132"/>
      <c r="L366" s="133"/>
    </row>
    <row r="367" spans="1:12" ht="12.75" customHeight="1" x14ac:dyDescent="0.2">
      <c r="A367" s="158" t="s">
        <v>63</v>
      </c>
      <c r="B367" s="55"/>
      <c r="C367" s="596" t="s">
        <v>443</v>
      </c>
      <c r="D367" s="596"/>
      <c r="E367" s="596"/>
      <c r="F367" s="596"/>
      <c r="G367" s="596"/>
      <c r="H367" s="596"/>
      <c r="I367" s="596"/>
      <c r="J367" s="597"/>
      <c r="K367" s="132"/>
      <c r="L367" s="133"/>
    </row>
    <row r="368" spans="1:12" x14ac:dyDescent="0.2">
      <c r="A368" s="158"/>
      <c r="B368" s="55"/>
      <c r="C368" s="596"/>
      <c r="D368" s="596"/>
      <c r="E368" s="596"/>
      <c r="F368" s="596"/>
      <c r="G368" s="596"/>
      <c r="H368" s="596"/>
      <c r="I368" s="596"/>
      <c r="J368" s="597"/>
      <c r="K368" s="132"/>
      <c r="L368" s="133"/>
    </row>
    <row r="369" spans="1:12" x14ac:dyDescent="0.2">
      <c r="A369" s="158"/>
      <c r="B369" s="55"/>
      <c r="C369" s="596"/>
      <c r="D369" s="596"/>
      <c r="E369" s="596"/>
      <c r="F369" s="596"/>
      <c r="G369" s="596"/>
      <c r="H369" s="596"/>
      <c r="I369" s="596"/>
      <c r="J369" s="597"/>
      <c r="K369" s="132"/>
      <c r="L369" s="133"/>
    </row>
    <row r="370" spans="1:12" x14ac:dyDescent="0.2">
      <c r="A370" s="158"/>
      <c r="B370" s="55"/>
      <c r="C370" s="596"/>
      <c r="D370" s="596"/>
      <c r="E370" s="596"/>
      <c r="F370" s="596"/>
      <c r="G370" s="596"/>
      <c r="H370" s="596"/>
      <c r="I370" s="596"/>
      <c r="J370" s="597"/>
      <c r="K370" s="132"/>
      <c r="L370" s="133"/>
    </row>
    <row r="371" spans="1:12" x14ac:dyDescent="0.2">
      <c r="A371" s="139"/>
      <c r="B371" s="56"/>
      <c r="C371" s="56"/>
      <c r="D371" s="56"/>
      <c r="E371" s="56"/>
      <c r="F371" s="56"/>
      <c r="G371" s="56"/>
      <c r="H371" s="56"/>
      <c r="I371" s="56"/>
      <c r="J371" s="314"/>
      <c r="K371" s="132"/>
      <c r="L371" s="133"/>
    </row>
    <row r="372" spans="1:12" x14ac:dyDescent="0.2">
      <c r="A372" s="158" t="s">
        <v>64</v>
      </c>
      <c r="B372" s="55"/>
      <c r="C372" s="713" t="s">
        <v>440</v>
      </c>
      <c r="D372" s="713"/>
      <c r="E372" s="713"/>
      <c r="F372" s="713"/>
      <c r="G372" s="713"/>
      <c r="H372" s="713"/>
      <c r="I372" s="713"/>
      <c r="J372" s="714"/>
      <c r="K372" s="132"/>
      <c r="L372" s="133"/>
    </row>
    <row r="373" spans="1:12" ht="12.75" customHeight="1" x14ac:dyDescent="0.2">
      <c r="A373" s="158"/>
      <c r="B373" s="55"/>
      <c r="C373" s="713"/>
      <c r="D373" s="713"/>
      <c r="E373" s="713"/>
      <c r="F373" s="713"/>
      <c r="G373" s="713"/>
      <c r="H373" s="713"/>
      <c r="I373" s="713"/>
      <c r="J373" s="714"/>
      <c r="K373" s="132"/>
      <c r="L373" s="133"/>
    </row>
    <row r="374" spans="1:12" x14ac:dyDescent="0.2">
      <c r="A374" s="158"/>
      <c r="B374" s="55"/>
      <c r="C374" s="172"/>
      <c r="D374" s="172"/>
      <c r="E374" s="172"/>
      <c r="F374" s="172"/>
      <c r="G374" s="172"/>
      <c r="H374" s="172"/>
      <c r="I374" s="172"/>
      <c r="J374" s="173"/>
      <c r="K374" s="132"/>
      <c r="L374" s="133"/>
    </row>
    <row r="375" spans="1:12" ht="12.75" customHeight="1" x14ac:dyDescent="0.2">
      <c r="A375" s="598" t="s">
        <v>157</v>
      </c>
      <c r="B375" s="638"/>
      <c r="C375" s="652" t="s">
        <v>829</v>
      </c>
      <c r="D375" s="652"/>
      <c r="E375" s="652"/>
      <c r="F375" s="652"/>
      <c r="G375" s="652"/>
      <c r="H375" s="652"/>
      <c r="I375" s="652"/>
      <c r="J375" s="653"/>
      <c r="K375" s="132"/>
      <c r="L375" s="133"/>
    </row>
    <row r="376" spans="1:12" ht="12.75" customHeight="1" x14ac:dyDescent="0.2">
      <c r="A376" s="158"/>
      <c r="B376" s="55"/>
      <c r="C376" s="652" t="s">
        <v>831</v>
      </c>
      <c r="D376" s="652"/>
      <c r="E376" s="652"/>
      <c r="F376" s="652"/>
      <c r="G376" s="652"/>
      <c r="H376" s="652"/>
      <c r="I376" s="652"/>
      <c r="J376" s="653"/>
      <c r="K376" s="132"/>
      <c r="L376" s="133"/>
    </row>
    <row r="377" spans="1:12" x14ac:dyDescent="0.2">
      <c r="A377" s="158"/>
      <c r="B377" s="55"/>
      <c r="C377" s="652"/>
      <c r="D377" s="652"/>
      <c r="E377" s="652"/>
      <c r="F377" s="652"/>
      <c r="G377" s="652"/>
      <c r="H377" s="652"/>
      <c r="I377" s="652"/>
      <c r="J377" s="653"/>
      <c r="K377" s="132"/>
      <c r="L377" s="133"/>
    </row>
    <row r="378" spans="1:12" x14ac:dyDescent="0.2">
      <c r="A378" s="158"/>
      <c r="B378" s="55"/>
      <c r="C378" s="652"/>
      <c r="D378" s="652"/>
      <c r="E378" s="652"/>
      <c r="F378" s="652"/>
      <c r="G378" s="652"/>
      <c r="H378" s="652"/>
      <c r="I378" s="652"/>
      <c r="J378" s="653"/>
      <c r="K378" s="132"/>
      <c r="L378" s="133"/>
    </row>
    <row r="379" spans="1:12" x14ac:dyDescent="0.2">
      <c r="A379" s="158"/>
      <c r="B379" s="55"/>
      <c r="C379" s="71"/>
      <c r="D379" s="71"/>
      <c r="E379" s="71"/>
      <c r="F379" s="71"/>
      <c r="G379" s="71"/>
      <c r="H379" s="71"/>
      <c r="I379" s="71"/>
      <c r="J379" s="174"/>
      <c r="K379" s="132"/>
      <c r="L379" s="133"/>
    </row>
    <row r="380" spans="1:12" x14ac:dyDescent="0.2">
      <c r="A380" s="158"/>
      <c r="B380" s="55"/>
      <c r="C380" s="71"/>
      <c r="D380" s="71"/>
      <c r="E380" s="71"/>
      <c r="F380" s="71"/>
      <c r="G380" s="71"/>
      <c r="H380" s="71"/>
      <c r="I380" s="71"/>
      <c r="J380" s="174"/>
      <c r="K380" s="132"/>
      <c r="L380" s="133"/>
    </row>
    <row r="381" spans="1:12" x14ac:dyDescent="0.2">
      <c r="A381" s="158"/>
      <c r="B381" s="55"/>
      <c r="C381" s="175"/>
      <c r="D381" s="175"/>
      <c r="E381" s="175"/>
      <c r="F381" s="175"/>
      <c r="G381" s="175"/>
      <c r="H381" s="175"/>
      <c r="I381" s="175"/>
      <c r="J381" s="176"/>
      <c r="K381" s="132"/>
      <c r="L381" s="133"/>
    </row>
    <row r="382" spans="1:12" x14ac:dyDescent="0.2">
      <c r="A382" s="158"/>
      <c r="B382" s="55"/>
      <c r="C382" s="175"/>
      <c r="D382" s="175"/>
      <c r="E382" s="175"/>
      <c r="F382" s="175"/>
      <c r="G382" s="175"/>
      <c r="H382" s="175"/>
      <c r="I382" s="175"/>
      <c r="J382" s="176"/>
      <c r="K382" s="132"/>
      <c r="L382" s="133"/>
    </row>
    <row r="383" spans="1:12" x14ac:dyDescent="0.2">
      <c r="A383" s="158"/>
      <c r="B383" s="55"/>
      <c r="C383" s="175"/>
      <c r="D383" s="175"/>
      <c r="E383" s="175"/>
      <c r="F383" s="175"/>
      <c r="G383" s="175"/>
      <c r="H383" s="175"/>
      <c r="I383" s="175"/>
      <c r="J383" s="176"/>
      <c r="K383" s="132"/>
      <c r="L383" s="133"/>
    </row>
    <row r="384" spans="1:12" ht="12.75" customHeight="1" x14ac:dyDescent="0.2">
      <c r="A384" s="139"/>
      <c r="B384" s="56"/>
      <c r="C384" s="56"/>
      <c r="D384" s="56"/>
      <c r="E384" s="56"/>
      <c r="F384" s="56"/>
      <c r="G384" s="56"/>
      <c r="H384" s="56"/>
      <c r="I384" s="56"/>
      <c r="J384" s="314"/>
      <c r="K384" s="132"/>
      <c r="L384" s="133"/>
    </row>
    <row r="385" spans="1:14" x14ac:dyDescent="0.2">
      <c r="A385" s="158"/>
      <c r="B385" s="55"/>
      <c r="C385" s="71"/>
      <c r="D385" s="71"/>
      <c r="E385" s="71"/>
      <c r="F385" s="71"/>
      <c r="G385" s="71"/>
      <c r="H385" s="71"/>
      <c r="I385" s="71"/>
      <c r="J385" s="174"/>
      <c r="K385" s="132"/>
      <c r="L385" s="133"/>
    </row>
    <row r="386" spans="1:14" x14ac:dyDescent="0.2">
      <c r="A386" s="158"/>
      <c r="B386" s="55"/>
      <c r="C386" s="71"/>
      <c r="D386" s="71"/>
      <c r="E386" s="71"/>
      <c r="F386" s="71"/>
      <c r="G386" s="71"/>
      <c r="H386" s="71"/>
      <c r="I386" s="71"/>
      <c r="J386" s="174"/>
      <c r="K386" s="132"/>
      <c r="L386" s="133"/>
    </row>
    <row r="387" spans="1:14" x14ac:dyDescent="0.2">
      <c r="A387" s="158"/>
      <c r="B387" s="55"/>
      <c r="C387" s="71"/>
      <c r="D387" s="71"/>
      <c r="E387" s="71"/>
      <c r="F387" s="71"/>
      <c r="G387" s="71"/>
      <c r="H387" s="71"/>
      <c r="I387" s="71"/>
      <c r="J387" s="174"/>
      <c r="K387" s="132"/>
      <c r="L387" s="133"/>
    </row>
    <row r="388" spans="1:14" x14ac:dyDescent="0.2">
      <c r="A388" s="158"/>
      <c r="B388" s="55"/>
      <c r="C388" s="71"/>
      <c r="D388" s="71"/>
      <c r="E388" s="71"/>
      <c r="F388" s="71"/>
      <c r="G388" s="71"/>
      <c r="H388" s="71"/>
      <c r="I388" s="71"/>
      <c r="J388" s="174"/>
      <c r="K388" s="132"/>
      <c r="L388" s="133"/>
    </row>
    <row r="389" spans="1:14" x14ac:dyDescent="0.2">
      <c r="A389" s="158"/>
      <c r="B389" s="55"/>
      <c r="C389" s="71"/>
      <c r="D389" s="71"/>
      <c r="E389" s="71"/>
      <c r="F389" s="71"/>
      <c r="G389" s="71"/>
      <c r="H389" s="71"/>
      <c r="I389" s="71"/>
      <c r="J389" s="174"/>
      <c r="K389" s="132"/>
      <c r="L389" s="133"/>
    </row>
    <row r="390" spans="1:14" ht="13.5" thickBot="1" x14ac:dyDescent="0.25">
      <c r="A390" s="149"/>
      <c r="B390" s="167"/>
      <c r="C390" s="151"/>
      <c r="D390" s="151"/>
      <c r="E390" s="151"/>
      <c r="F390" s="151"/>
      <c r="G390" s="151"/>
      <c r="H390" s="151"/>
      <c r="I390" s="151"/>
      <c r="J390" s="168"/>
      <c r="K390" s="132"/>
      <c r="L390" s="133"/>
    </row>
    <row r="391" spans="1:14" ht="15.75" x14ac:dyDescent="0.2">
      <c r="A391" s="602" t="s">
        <v>4</v>
      </c>
      <c r="B391" s="603"/>
      <c r="C391" s="603" t="str">
        <f>'A IV.A'!$B$22</f>
        <v>SERVIÇOS INICIAIS</v>
      </c>
      <c r="D391" s="603"/>
      <c r="E391" s="603"/>
      <c r="F391" s="603"/>
      <c r="G391" s="603"/>
      <c r="H391" s="603"/>
      <c r="I391" s="603"/>
      <c r="J391" s="604"/>
      <c r="K391" s="132"/>
      <c r="L391" s="133"/>
    </row>
    <row r="392" spans="1:14" x14ac:dyDescent="0.2">
      <c r="A392" s="609" t="str">
        <f>'A IV.A'!$A$22</f>
        <v>2.0</v>
      </c>
      <c r="B392" s="610"/>
      <c r="C392" s="605"/>
      <c r="D392" s="605"/>
      <c r="E392" s="605"/>
      <c r="F392" s="605"/>
      <c r="G392" s="605"/>
      <c r="H392" s="605"/>
      <c r="I392" s="605"/>
      <c r="J392" s="606"/>
      <c r="K392" s="132"/>
      <c r="L392" s="133"/>
    </row>
    <row r="393" spans="1:14" ht="13.5" thickBot="1" x14ac:dyDescent="0.25">
      <c r="A393" s="611"/>
      <c r="B393" s="612"/>
      <c r="C393" s="607"/>
      <c r="D393" s="607"/>
      <c r="E393" s="607"/>
      <c r="F393" s="607"/>
      <c r="G393" s="607"/>
      <c r="H393" s="607"/>
      <c r="I393" s="607"/>
      <c r="J393" s="608"/>
      <c r="K393" s="132"/>
      <c r="L393" s="133"/>
    </row>
    <row r="394" spans="1:14" ht="13.5" thickBot="1" x14ac:dyDescent="0.25">
      <c r="A394" s="169"/>
      <c r="B394" s="169"/>
      <c r="C394" s="613"/>
      <c r="D394" s="613"/>
      <c r="E394" s="613"/>
      <c r="F394" s="613"/>
      <c r="G394" s="613"/>
      <c r="H394" s="613"/>
      <c r="I394" s="613"/>
      <c r="J394" s="169"/>
      <c r="K394" s="132"/>
      <c r="L394" s="133"/>
    </row>
    <row r="395" spans="1:14" ht="13.5" thickBot="1" x14ac:dyDescent="0.25">
      <c r="A395" s="632" t="s">
        <v>60</v>
      </c>
      <c r="B395" s="633"/>
      <c r="C395" s="656" t="s">
        <v>61</v>
      </c>
      <c r="D395" s="656"/>
      <c r="E395" s="656"/>
      <c r="F395" s="656"/>
      <c r="G395" s="656"/>
      <c r="H395" s="656"/>
      <c r="I395" s="656"/>
      <c r="J395" s="260" t="s">
        <v>0</v>
      </c>
      <c r="K395" s="132"/>
      <c r="L395" s="133"/>
    </row>
    <row r="396" spans="1:14" x14ac:dyDescent="0.2">
      <c r="A396" s="136"/>
      <c r="B396" s="137"/>
      <c r="C396" s="619"/>
      <c r="D396" s="620"/>
      <c r="E396" s="621"/>
      <c r="F396" s="621"/>
      <c r="G396" s="621"/>
      <c r="H396" s="621"/>
      <c r="I396" s="622"/>
      <c r="J396" s="138"/>
      <c r="K396" s="132"/>
      <c r="L396" s="133"/>
    </row>
    <row r="397" spans="1:14" x14ac:dyDescent="0.2">
      <c r="A397" s="625" t="str">
        <f>'A IV.A'!$A$27</f>
        <v>2.1.3</v>
      </c>
      <c r="B397" s="624"/>
      <c r="C397" s="626" t="str">
        <f>'A IV.A'!$B$27</f>
        <v>REMOÇÃO MANUAL DE GUIAS EM CONCRETO, COM OU SEM REAPROVEITAMENTO</v>
      </c>
      <c r="D397" s="627"/>
      <c r="E397" s="627"/>
      <c r="F397" s="627"/>
      <c r="G397" s="627"/>
      <c r="H397" s="627"/>
      <c r="I397" s="628"/>
      <c r="J397" s="629" t="str">
        <f>'A IV.A'!$C$27</f>
        <v>M</v>
      </c>
      <c r="K397" s="630" t="str">
        <f>VLOOKUP(A397,'A IV.A'!$A$14:$M$233,2,FALSE)</f>
        <v>REMOÇÃO MANUAL DE GUIAS EM CONCRETO, COM OU SEM REAPROVEITAMENTO</v>
      </c>
      <c r="L397" s="631" t="str">
        <f>IF(C397=K397,"sim","nao")</f>
        <v>sim</v>
      </c>
      <c r="M397" s="631" t="str">
        <f>VLOOKUP(A397,'A IV.A'!$A$14:$M$233,3,FALSE)</f>
        <v>M</v>
      </c>
      <c r="N397" s="631" t="str">
        <f>IF(J397=M397,"sim","nao")</f>
        <v>sim</v>
      </c>
    </row>
    <row r="398" spans="1:14" x14ac:dyDescent="0.2">
      <c r="A398" s="625"/>
      <c r="B398" s="624"/>
      <c r="C398" s="626"/>
      <c r="D398" s="627"/>
      <c r="E398" s="627"/>
      <c r="F398" s="627"/>
      <c r="G398" s="627"/>
      <c r="H398" s="627"/>
      <c r="I398" s="628"/>
      <c r="J398" s="629"/>
      <c r="K398" s="630"/>
      <c r="L398" s="631"/>
      <c r="M398" s="631"/>
      <c r="N398" s="631"/>
    </row>
    <row r="399" spans="1:14" x14ac:dyDescent="0.2">
      <c r="A399" s="139"/>
      <c r="B399" s="140"/>
      <c r="C399" s="141"/>
      <c r="D399" s="142"/>
      <c r="E399" s="142"/>
      <c r="F399" s="142"/>
      <c r="G399" s="142"/>
      <c r="H399" s="142"/>
      <c r="I399" s="143"/>
      <c r="J399" s="144"/>
      <c r="K399" s="132"/>
      <c r="L399" s="133"/>
    </row>
    <row r="400" spans="1:14" x14ac:dyDescent="0.2">
      <c r="A400" s="145"/>
      <c r="B400" s="146"/>
      <c r="C400" s="147"/>
      <c r="D400" s="147"/>
      <c r="E400" s="147"/>
      <c r="F400" s="147"/>
      <c r="G400" s="147"/>
      <c r="H400" s="147"/>
      <c r="I400" s="147"/>
      <c r="J400" s="148"/>
      <c r="K400" s="132"/>
      <c r="L400" s="133"/>
    </row>
    <row r="401" spans="1:12" x14ac:dyDescent="0.2">
      <c r="A401" s="145"/>
      <c r="B401" s="146"/>
      <c r="C401" s="147"/>
      <c r="D401" s="147"/>
      <c r="E401" s="147"/>
      <c r="F401" s="147"/>
      <c r="G401" s="147"/>
      <c r="H401" s="147"/>
      <c r="I401" s="147"/>
      <c r="J401" s="148"/>
      <c r="K401" s="132"/>
      <c r="L401" s="133"/>
    </row>
    <row r="402" spans="1:12" x14ac:dyDescent="0.2">
      <c r="A402" s="145"/>
      <c r="B402" s="146"/>
      <c r="C402" s="147"/>
      <c r="D402" s="147"/>
      <c r="E402" s="147"/>
      <c r="F402" s="147"/>
      <c r="G402" s="147"/>
      <c r="H402" s="147"/>
      <c r="I402" s="147"/>
      <c r="J402" s="148"/>
      <c r="K402" s="132"/>
      <c r="L402" s="133"/>
    </row>
    <row r="403" spans="1:12" x14ac:dyDescent="0.2">
      <c r="A403" s="145"/>
      <c r="B403" s="146"/>
      <c r="C403" s="147"/>
      <c r="D403" s="147"/>
      <c r="E403" s="147"/>
      <c r="F403" s="147"/>
      <c r="G403" s="147"/>
      <c r="H403" s="147"/>
      <c r="I403" s="147"/>
      <c r="J403" s="148"/>
      <c r="K403" s="132"/>
      <c r="L403" s="133"/>
    </row>
    <row r="404" spans="1:12" x14ac:dyDescent="0.2">
      <c r="A404" s="145"/>
      <c r="B404" s="146"/>
      <c r="C404" s="147"/>
      <c r="D404" s="147"/>
      <c r="E404" s="147"/>
      <c r="F404" s="147"/>
      <c r="G404" s="147"/>
      <c r="H404" s="147"/>
      <c r="I404" s="147"/>
      <c r="J404" s="148"/>
      <c r="K404" s="132"/>
      <c r="L404" s="133"/>
    </row>
    <row r="405" spans="1:12" x14ac:dyDescent="0.2">
      <c r="A405" s="145"/>
      <c r="B405" s="146"/>
      <c r="C405" s="147"/>
      <c r="D405" s="147"/>
      <c r="E405" s="147"/>
      <c r="F405" s="147"/>
      <c r="G405" s="147"/>
      <c r="H405" s="147"/>
      <c r="I405" s="147"/>
      <c r="J405" s="148"/>
      <c r="K405" s="132"/>
      <c r="L405" s="133"/>
    </row>
    <row r="406" spans="1:12" x14ac:dyDescent="0.2">
      <c r="A406" s="145"/>
      <c r="B406" s="146"/>
      <c r="C406" s="147"/>
      <c r="D406" s="147"/>
      <c r="E406" s="147"/>
      <c r="F406" s="147"/>
      <c r="G406" s="147"/>
      <c r="H406" s="147"/>
      <c r="I406" s="147"/>
      <c r="J406" s="148"/>
      <c r="K406" s="132"/>
      <c r="L406" s="133"/>
    </row>
    <row r="407" spans="1:12" x14ac:dyDescent="0.2">
      <c r="A407" s="145"/>
      <c r="B407" s="146"/>
      <c r="C407" s="147"/>
      <c r="D407" s="147"/>
      <c r="E407" s="147"/>
      <c r="F407" s="147"/>
      <c r="G407" s="147"/>
      <c r="H407" s="147"/>
      <c r="I407" s="147"/>
      <c r="J407" s="148"/>
      <c r="K407" s="132"/>
      <c r="L407" s="133"/>
    </row>
    <row r="408" spans="1:12" x14ac:dyDescent="0.2">
      <c r="A408" s="145"/>
      <c r="B408" s="146"/>
      <c r="C408" s="147"/>
      <c r="D408" s="147"/>
      <c r="E408" s="147"/>
      <c r="F408" s="147"/>
      <c r="G408" s="147"/>
      <c r="H408" s="147"/>
      <c r="I408" s="147"/>
      <c r="J408" s="148"/>
      <c r="K408" s="132"/>
      <c r="L408" s="133"/>
    </row>
    <row r="409" spans="1:12" x14ac:dyDescent="0.2">
      <c r="A409" s="145"/>
      <c r="B409" s="146"/>
      <c r="C409" s="147"/>
      <c r="D409" s="147"/>
      <c r="E409" s="147"/>
      <c r="F409" s="147"/>
      <c r="G409" s="147"/>
      <c r="H409" s="147"/>
      <c r="I409" s="147"/>
      <c r="J409" s="148"/>
      <c r="K409" s="132"/>
      <c r="L409" s="133"/>
    </row>
    <row r="410" spans="1:12" x14ac:dyDescent="0.2">
      <c r="A410" s="145"/>
      <c r="B410" s="146"/>
      <c r="C410" s="147"/>
      <c r="D410" s="147"/>
      <c r="E410" s="147"/>
      <c r="F410" s="147"/>
      <c r="G410" s="147"/>
      <c r="H410" s="147"/>
      <c r="I410" s="147"/>
      <c r="J410" s="148"/>
      <c r="K410" s="132"/>
      <c r="L410" s="133"/>
    </row>
    <row r="411" spans="1:12" x14ac:dyDescent="0.2">
      <c r="A411" s="145"/>
      <c r="B411" s="146"/>
      <c r="C411" s="147"/>
      <c r="D411" s="147"/>
      <c r="E411" s="147"/>
      <c r="F411" s="147"/>
      <c r="G411" s="147"/>
      <c r="H411" s="147"/>
      <c r="I411" s="147"/>
      <c r="J411" s="148"/>
      <c r="K411" s="132"/>
      <c r="L411" s="133"/>
    </row>
    <row r="412" spans="1:12" x14ac:dyDescent="0.2">
      <c r="A412" s="145"/>
      <c r="B412" s="146"/>
      <c r="C412" s="147"/>
      <c r="D412" s="147"/>
      <c r="E412" s="147"/>
      <c r="F412" s="147"/>
      <c r="G412" s="147"/>
      <c r="H412" s="147"/>
      <c r="I412" s="147"/>
      <c r="J412" s="148"/>
      <c r="K412" s="132"/>
      <c r="L412" s="133"/>
    </row>
    <row r="413" spans="1:12" x14ac:dyDescent="0.2">
      <c r="A413" s="145"/>
      <c r="B413" s="146"/>
      <c r="C413" s="147"/>
      <c r="D413" s="147"/>
      <c r="E413" s="147"/>
      <c r="F413" s="147"/>
      <c r="G413" s="147"/>
      <c r="H413" s="147"/>
      <c r="I413" s="147"/>
      <c r="J413" s="148"/>
      <c r="K413" s="132"/>
      <c r="L413" s="133"/>
    </row>
    <row r="414" spans="1:12" x14ac:dyDescent="0.2">
      <c r="A414" s="145"/>
      <c r="B414" s="146"/>
      <c r="C414" s="147"/>
      <c r="D414" s="147"/>
      <c r="E414" s="147"/>
      <c r="F414" s="147"/>
      <c r="G414" s="147"/>
      <c r="H414" s="147"/>
      <c r="I414" s="147"/>
      <c r="J414" s="148"/>
      <c r="K414" s="132"/>
      <c r="L414" s="133"/>
    </row>
    <row r="415" spans="1:12" x14ac:dyDescent="0.2">
      <c r="A415" s="145"/>
      <c r="B415" s="146"/>
      <c r="C415" s="147"/>
      <c r="D415" s="147"/>
      <c r="E415" s="147"/>
      <c r="F415" s="147"/>
      <c r="G415" s="147"/>
      <c r="H415" s="147"/>
      <c r="I415" s="147"/>
      <c r="J415" s="148"/>
      <c r="K415" s="132"/>
      <c r="L415" s="133"/>
    </row>
    <row r="416" spans="1:12" x14ac:dyDescent="0.2">
      <c r="A416" s="145"/>
      <c r="B416" s="146"/>
      <c r="C416" s="147"/>
      <c r="D416" s="147"/>
      <c r="E416" s="147"/>
      <c r="F416" s="147"/>
      <c r="G416" s="147"/>
      <c r="H416" s="147"/>
      <c r="I416" s="147"/>
      <c r="J416" s="148"/>
      <c r="K416" s="132"/>
      <c r="L416" s="133"/>
    </row>
    <row r="417" spans="1:12" x14ac:dyDescent="0.2">
      <c r="A417" s="145"/>
      <c r="B417" s="146"/>
      <c r="C417" s="147"/>
      <c r="D417" s="147"/>
      <c r="E417" s="147"/>
      <c r="F417" s="147"/>
      <c r="G417" s="147"/>
      <c r="H417" s="147"/>
      <c r="I417" s="147"/>
      <c r="J417" s="148"/>
      <c r="K417" s="132"/>
      <c r="L417" s="133"/>
    </row>
    <row r="418" spans="1:12" ht="13.5" thickBot="1" x14ac:dyDescent="0.25">
      <c r="A418" s="149"/>
      <c r="B418" s="150"/>
      <c r="C418" s="151"/>
      <c r="D418" s="151"/>
      <c r="E418" s="151"/>
      <c r="F418" s="151"/>
      <c r="G418" s="151"/>
      <c r="H418" s="151"/>
      <c r="I418" s="151"/>
      <c r="J418" s="152"/>
      <c r="K418" s="132"/>
      <c r="L418" s="133"/>
    </row>
    <row r="419" spans="1:12" ht="13.5" thickBot="1" x14ac:dyDescent="0.25">
      <c r="A419" s="153"/>
      <c r="B419" s="153"/>
      <c r="C419" s="154"/>
      <c r="D419" s="154"/>
      <c r="E419" s="154"/>
      <c r="F419" s="154"/>
      <c r="G419" s="154"/>
      <c r="H419" s="154"/>
      <c r="I419" s="154"/>
      <c r="J419" s="153"/>
      <c r="K419" s="132"/>
      <c r="L419" s="133"/>
    </row>
    <row r="420" spans="1:12" ht="13.5" thickBot="1" x14ac:dyDescent="0.25">
      <c r="A420" s="614" t="s">
        <v>62</v>
      </c>
      <c r="B420" s="648"/>
      <c r="C420" s="648"/>
      <c r="D420" s="648"/>
      <c r="E420" s="648"/>
      <c r="F420" s="648"/>
      <c r="G420" s="648"/>
      <c r="H420" s="648"/>
      <c r="I420" s="648"/>
      <c r="J420" s="649"/>
      <c r="K420" s="132"/>
      <c r="L420" s="133"/>
    </row>
    <row r="421" spans="1:12" x14ac:dyDescent="0.2">
      <c r="A421" s="136"/>
      <c r="B421" s="155"/>
      <c r="C421" s="156"/>
      <c r="D421" s="156"/>
      <c r="E421" s="156"/>
      <c r="F421" s="156"/>
      <c r="G421" s="156"/>
      <c r="H421" s="156"/>
      <c r="I421" s="156"/>
      <c r="J421" s="157"/>
      <c r="K421" s="132"/>
      <c r="L421" s="133"/>
    </row>
    <row r="422" spans="1:12" ht="12.75" customHeight="1" x14ac:dyDescent="0.2">
      <c r="A422" s="158" t="s">
        <v>63</v>
      </c>
      <c r="B422" s="55"/>
      <c r="C422" s="596" t="s">
        <v>441</v>
      </c>
      <c r="D422" s="596"/>
      <c r="E422" s="596"/>
      <c r="F422" s="596"/>
      <c r="G422" s="596"/>
      <c r="H422" s="596"/>
      <c r="I422" s="596"/>
      <c r="J422" s="597"/>
      <c r="K422" s="132"/>
      <c r="L422" s="133"/>
    </row>
    <row r="423" spans="1:12" x14ac:dyDescent="0.2">
      <c r="A423" s="158"/>
      <c r="B423" s="55"/>
      <c r="C423" s="596"/>
      <c r="D423" s="596"/>
      <c r="E423" s="596"/>
      <c r="F423" s="596"/>
      <c r="G423" s="596"/>
      <c r="H423" s="596"/>
      <c r="I423" s="596"/>
      <c r="J423" s="597"/>
      <c r="K423" s="132"/>
      <c r="L423" s="133"/>
    </row>
    <row r="424" spans="1:12" x14ac:dyDescent="0.2">
      <c r="A424" s="257"/>
      <c r="B424" s="202"/>
      <c r="C424" s="596"/>
      <c r="D424" s="596"/>
      <c r="E424" s="596"/>
      <c r="F424" s="596"/>
      <c r="G424" s="596"/>
      <c r="H424" s="596"/>
      <c r="I424" s="596"/>
      <c r="J424" s="597"/>
      <c r="K424" s="132"/>
      <c r="L424" s="133"/>
    </row>
    <row r="425" spans="1:12" x14ac:dyDescent="0.2">
      <c r="A425" s="158"/>
      <c r="B425" s="55"/>
      <c r="C425" s="178"/>
      <c r="D425" s="178"/>
      <c r="E425" s="178"/>
      <c r="F425" s="178"/>
      <c r="G425" s="178"/>
      <c r="H425" s="178"/>
      <c r="I425" s="178"/>
      <c r="J425" s="179"/>
      <c r="K425" s="132"/>
      <c r="L425" s="133"/>
    </row>
    <row r="426" spans="1:12" x14ac:dyDescent="0.2">
      <c r="A426" s="158" t="s">
        <v>64</v>
      </c>
      <c r="B426" s="55"/>
      <c r="C426" s="652" t="s">
        <v>442</v>
      </c>
      <c r="D426" s="652"/>
      <c r="E426" s="652"/>
      <c r="F426" s="652"/>
      <c r="G426" s="652"/>
      <c r="H426" s="652"/>
      <c r="I426" s="652"/>
      <c r="J426" s="653"/>
      <c r="K426" s="132"/>
      <c r="L426" s="133"/>
    </row>
    <row r="427" spans="1:12" x14ac:dyDescent="0.2">
      <c r="A427" s="158"/>
      <c r="B427" s="55"/>
      <c r="C427" s="180"/>
      <c r="D427" s="180"/>
      <c r="E427" s="180"/>
      <c r="F427" s="180"/>
      <c r="G427" s="180"/>
      <c r="H427" s="180"/>
      <c r="I427" s="180"/>
      <c r="J427" s="181"/>
      <c r="K427" s="132"/>
      <c r="L427" s="133"/>
    </row>
    <row r="428" spans="1:12" ht="12.75" customHeight="1" x14ac:dyDescent="0.2">
      <c r="A428" s="598" t="s">
        <v>157</v>
      </c>
      <c r="B428" s="638"/>
      <c r="C428" s="652" t="s">
        <v>829</v>
      </c>
      <c r="D428" s="652"/>
      <c r="E428" s="652"/>
      <c r="F428" s="652"/>
      <c r="G428" s="652"/>
      <c r="H428" s="652"/>
      <c r="I428" s="652"/>
      <c r="J428" s="653"/>
      <c r="K428" s="132"/>
      <c r="L428" s="133"/>
    </row>
    <row r="429" spans="1:12" ht="12.75" customHeight="1" x14ac:dyDescent="0.2">
      <c r="A429" s="158"/>
      <c r="B429" s="55"/>
      <c r="C429" s="652" t="s">
        <v>831</v>
      </c>
      <c r="D429" s="652"/>
      <c r="E429" s="652"/>
      <c r="F429" s="652"/>
      <c r="G429" s="652"/>
      <c r="H429" s="652"/>
      <c r="I429" s="652"/>
      <c r="J429" s="653"/>
      <c r="K429" s="132"/>
      <c r="L429" s="133"/>
    </row>
    <row r="430" spans="1:12" x14ac:dyDescent="0.2">
      <c r="A430" s="158"/>
      <c r="B430" s="55"/>
      <c r="C430" s="652"/>
      <c r="D430" s="652"/>
      <c r="E430" s="652"/>
      <c r="F430" s="652"/>
      <c r="G430" s="652"/>
      <c r="H430" s="652"/>
      <c r="I430" s="652"/>
      <c r="J430" s="653"/>
      <c r="K430" s="132"/>
      <c r="L430" s="133"/>
    </row>
    <row r="431" spans="1:12" x14ac:dyDescent="0.2">
      <c r="A431" s="158"/>
      <c r="B431" s="55"/>
      <c r="C431" s="652"/>
      <c r="D431" s="652"/>
      <c r="E431" s="652"/>
      <c r="F431" s="652"/>
      <c r="G431" s="652"/>
      <c r="H431" s="652"/>
      <c r="I431" s="652"/>
      <c r="J431" s="653"/>
      <c r="K431" s="132"/>
      <c r="L431" s="133"/>
    </row>
    <row r="432" spans="1:12" x14ac:dyDescent="0.2">
      <c r="A432" s="158"/>
      <c r="B432" s="55"/>
      <c r="C432" s="652" t="s">
        <v>830</v>
      </c>
      <c r="D432" s="652"/>
      <c r="E432" s="652"/>
      <c r="F432" s="652"/>
      <c r="G432" s="652"/>
      <c r="H432" s="652"/>
      <c r="I432" s="652"/>
      <c r="J432" s="653"/>
      <c r="K432" s="132"/>
      <c r="L432" s="133"/>
    </row>
    <row r="433" spans="1:12" x14ac:dyDescent="0.2">
      <c r="A433" s="158"/>
      <c r="B433" s="55"/>
      <c r="C433" s="652"/>
      <c r="D433" s="652"/>
      <c r="E433" s="652"/>
      <c r="F433" s="652"/>
      <c r="G433" s="652"/>
      <c r="H433" s="652"/>
      <c r="I433" s="652"/>
      <c r="J433" s="653"/>
      <c r="K433" s="132"/>
      <c r="L433" s="133"/>
    </row>
    <row r="434" spans="1:12" x14ac:dyDescent="0.2">
      <c r="A434" s="158"/>
      <c r="B434" s="55"/>
      <c r="C434" s="71"/>
      <c r="D434" s="71"/>
      <c r="E434" s="71"/>
      <c r="F434" s="71"/>
      <c r="G434" s="71"/>
      <c r="H434" s="71"/>
      <c r="I434" s="71"/>
      <c r="J434" s="174"/>
      <c r="K434" s="132"/>
      <c r="L434" s="133"/>
    </row>
    <row r="435" spans="1:12" x14ac:dyDescent="0.2">
      <c r="A435" s="158"/>
      <c r="B435" s="55"/>
      <c r="C435" s="71"/>
      <c r="D435" s="71"/>
      <c r="E435" s="71"/>
      <c r="F435" s="71"/>
      <c r="G435" s="71"/>
      <c r="H435" s="71"/>
      <c r="I435" s="71"/>
      <c r="J435" s="174"/>
      <c r="K435" s="132"/>
      <c r="L435" s="133"/>
    </row>
    <row r="436" spans="1:12" x14ac:dyDescent="0.2">
      <c r="A436" s="158"/>
      <c r="B436" s="55"/>
      <c r="C436" s="71"/>
      <c r="D436" s="71"/>
      <c r="E436" s="71"/>
      <c r="F436" s="71"/>
      <c r="G436" s="71"/>
      <c r="H436" s="71"/>
      <c r="I436" s="71"/>
      <c r="J436" s="174"/>
      <c r="K436" s="132"/>
      <c r="L436" s="133"/>
    </row>
    <row r="437" spans="1:12" x14ac:dyDescent="0.2">
      <c r="A437" s="257"/>
      <c r="B437" s="202"/>
      <c r="C437" s="175"/>
      <c r="D437" s="175"/>
      <c r="E437" s="175"/>
      <c r="F437" s="175"/>
      <c r="G437" s="175"/>
      <c r="H437" s="175"/>
      <c r="I437" s="175"/>
      <c r="J437" s="176"/>
      <c r="K437" s="132"/>
      <c r="L437" s="133"/>
    </row>
    <row r="438" spans="1:12" x14ac:dyDescent="0.2">
      <c r="A438" s="158"/>
      <c r="B438" s="55"/>
      <c r="C438" s="71"/>
      <c r="D438" s="71"/>
      <c r="E438" s="71"/>
      <c r="F438" s="71"/>
      <c r="G438" s="71"/>
      <c r="H438" s="71"/>
      <c r="I438" s="71"/>
      <c r="J438" s="174"/>
      <c r="K438" s="132"/>
      <c r="L438" s="133"/>
    </row>
    <row r="439" spans="1:12" x14ac:dyDescent="0.2">
      <c r="A439" s="158"/>
      <c r="B439" s="55"/>
      <c r="C439" s="71"/>
      <c r="D439" s="71"/>
      <c r="E439" s="71"/>
      <c r="F439" s="71"/>
      <c r="G439" s="71"/>
      <c r="H439" s="71"/>
      <c r="I439" s="71"/>
      <c r="J439" s="174"/>
      <c r="K439" s="132"/>
      <c r="L439" s="133"/>
    </row>
    <row r="440" spans="1:12" x14ac:dyDescent="0.2">
      <c r="A440" s="158"/>
      <c r="B440" s="55"/>
      <c r="C440" s="71"/>
      <c r="D440" s="71"/>
      <c r="E440" s="71"/>
      <c r="F440" s="71"/>
      <c r="G440" s="71"/>
      <c r="H440" s="71"/>
      <c r="I440" s="71"/>
      <c r="J440" s="174"/>
      <c r="K440" s="132"/>
      <c r="L440" s="133"/>
    </row>
    <row r="441" spans="1:12" x14ac:dyDescent="0.2">
      <c r="A441" s="158"/>
      <c r="B441" s="55"/>
      <c r="C441" s="71"/>
      <c r="D441" s="71"/>
      <c r="E441" s="71"/>
      <c r="F441" s="71"/>
      <c r="G441" s="71"/>
      <c r="H441" s="71"/>
      <c r="I441" s="71"/>
      <c r="J441" s="174"/>
      <c r="K441" s="132"/>
      <c r="L441" s="133"/>
    </row>
    <row r="442" spans="1:12" x14ac:dyDescent="0.2">
      <c r="A442" s="158"/>
      <c r="B442" s="55"/>
      <c r="C442" s="71"/>
      <c r="D442" s="71"/>
      <c r="E442" s="71"/>
      <c r="F442" s="71"/>
      <c r="G442" s="71"/>
      <c r="H442" s="71"/>
      <c r="I442" s="71"/>
      <c r="J442" s="174"/>
      <c r="K442" s="132"/>
      <c r="L442" s="133"/>
    </row>
    <row r="443" spans="1:12" x14ac:dyDescent="0.2">
      <c r="A443" s="158"/>
      <c r="B443" s="55"/>
      <c r="C443" s="175"/>
      <c r="D443" s="175"/>
      <c r="E443" s="172"/>
      <c r="F443" s="172"/>
      <c r="G443" s="172"/>
      <c r="H443" s="172"/>
      <c r="I443" s="172"/>
      <c r="J443" s="173"/>
      <c r="K443" s="132"/>
      <c r="L443" s="133"/>
    </row>
    <row r="444" spans="1:12" ht="13.5" thickBot="1" x14ac:dyDescent="0.25">
      <c r="A444" s="149"/>
      <c r="B444" s="167"/>
      <c r="C444" s="151"/>
      <c r="D444" s="151"/>
      <c r="E444" s="151"/>
      <c r="F444" s="151"/>
      <c r="G444" s="151"/>
      <c r="H444" s="151"/>
      <c r="I444" s="151"/>
      <c r="J444" s="168"/>
      <c r="K444" s="132"/>
      <c r="L444" s="133"/>
    </row>
    <row r="445" spans="1:12" ht="15.75" x14ac:dyDescent="0.2">
      <c r="A445" s="602" t="s">
        <v>4</v>
      </c>
      <c r="B445" s="603"/>
      <c r="C445" s="603" t="str">
        <f>'A IV.A'!$B$22</f>
        <v>SERVIÇOS INICIAIS</v>
      </c>
      <c r="D445" s="603"/>
      <c r="E445" s="603"/>
      <c r="F445" s="603"/>
      <c r="G445" s="603"/>
      <c r="H445" s="603"/>
      <c r="I445" s="603"/>
      <c r="J445" s="604"/>
      <c r="K445" s="132"/>
      <c r="L445" s="133"/>
    </row>
    <row r="446" spans="1:12" x14ac:dyDescent="0.2">
      <c r="A446" s="609" t="str">
        <f>'A IV.A'!$A$22</f>
        <v>2.0</v>
      </c>
      <c r="B446" s="610"/>
      <c r="C446" s="605"/>
      <c r="D446" s="605"/>
      <c r="E446" s="605"/>
      <c r="F446" s="605"/>
      <c r="G446" s="605"/>
      <c r="H446" s="605"/>
      <c r="I446" s="605"/>
      <c r="J446" s="606"/>
      <c r="K446" s="132"/>
      <c r="L446" s="133"/>
    </row>
    <row r="447" spans="1:12" ht="13.5" thickBot="1" x14ac:dyDescent="0.25">
      <c r="A447" s="611"/>
      <c r="B447" s="612"/>
      <c r="C447" s="607"/>
      <c r="D447" s="607"/>
      <c r="E447" s="607"/>
      <c r="F447" s="607"/>
      <c r="G447" s="607"/>
      <c r="H447" s="607"/>
      <c r="I447" s="607"/>
      <c r="J447" s="608"/>
      <c r="K447" s="132"/>
      <c r="L447" s="133"/>
    </row>
    <row r="448" spans="1:12" ht="13.5" thickBot="1" x14ac:dyDescent="0.25">
      <c r="A448" s="169"/>
      <c r="B448" s="169"/>
      <c r="C448" s="613"/>
      <c r="D448" s="613"/>
      <c r="E448" s="613"/>
      <c r="F448" s="613"/>
      <c r="G448" s="613"/>
      <c r="H448" s="613"/>
      <c r="I448" s="613"/>
      <c r="J448" s="169"/>
      <c r="K448" s="132"/>
      <c r="L448" s="133"/>
    </row>
    <row r="449" spans="1:14" ht="13.5" thickBot="1" x14ac:dyDescent="0.25">
      <c r="A449" s="632" t="s">
        <v>60</v>
      </c>
      <c r="B449" s="633"/>
      <c r="C449" s="656" t="s">
        <v>61</v>
      </c>
      <c r="D449" s="656"/>
      <c r="E449" s="656"/>
      <c r="F449" s="656"/>
      <c r="G449" s="656"/>
      <c r="H449" s="656"/>
      <c r="I449" s="656"/>
      <c r="J449" s="260" t="s">
        <v>0</v>
      </c>
      <c r="K449" s="132"/>
      <c r="L449" s="133"/>
    </row>
    <row r="450" spans="1:14" x14ac:dyDescent="0.2">
      <c r="A450" s="136"/>
      <c r="B450" s="137"/>
      <c r="C450" s="619"/>
      <c r="D450" s="620"/>
      <c r="E450" s="621"/>
      <c r="F450" s="621"/>
      <c r="G450" s="621"/>
      <c r="H450" s="621"/>
      <c r="I450" s="622"/>
      <c r="J450" s="138"/>
      <c r="K450" s="132"/>
      <c r="L450" s="133"/>
    </row>
    <row r="451" spans="1:14" x14ac:dyDescent="0.2">
      <c r="A451" s="625" t="str">
        <f>'A IV.A'!$A$28</f>
        <v>2.1.4</v>
      </c>
      <c r="B451" s="624"/>
      <c r="C451" s="626" t="str">
        <f>'A IV.A'!$B$28</f>
        <v>DEMOLIÇÃO DE SARJETAS EM CONCRETO</v>
      </c>
      <c r="D451" s="627"/>
      <c r="E451" s="627"/>
      <c r="F451" s="627"/>
      <c r="G451" s="627"/>
      <c r="H451" s="627"/>
      <c r="I451" s="628"/>
      <c r="J451" s="629" t="str">
        <f>'A IV.A'!$C$28</f>
        <v>M2</v>
      </c>
      <c r="K451" s="630" t="str">
        <f>VLOOKUP(A451,'A IV.A'!$A$14:$M$233,2,FALSE)</f>
        <v>DEMOLIÇÃO DE SARJETAS EM CONCRETO</v>
      </c>
      <c r="L451" s="631" t="str">
        <f>IF(C451=K451,"sim","nao")</f>
        <v>sim</v>
      </c>
      <c r="M451" s="631" t="str">
        <f>VLOOKUP(A451,'A IV.A'!$A$14:$M$233,3,FALSE)</f>
        <v>M2</v>
      </c>
      <c r="N451" s="631" t="str">
        <f>IF(J451=M451,"sim","nao")</f>
        <v>sim</v>
      </c>
    </row>
    <row r="452" spans="1:14" x14ac:dyDescent="0.2">
      <c r="A452" s="625"/>
      <c r="B452" s="624"/>
      <c r="C452" s="626"/>
      <c r="D452" s="627"/>
      <c r="E452" s="627"/>
      <c r="F452" s="627"/>
      <c r="G452" s="627"/>
      <c r="H452" s="627"/>
      <c r="I452" s="628"/>
      <c r="J452" s="629"/>
      <c r="K452" s="630"/>
      <c r="L452" s="631"/>
      <c r="M452" s="631"/>
      <c r="N452" s="631"/>
    </row>
    <row r="453" spans="1:14" x14ac:dyDescent="0.2">
      <c r="A453" s="139"/>
      <c r="B453" s="140"/>
      <c r="C453" s="141"/>
      <c r="D453" s="142"/>
      <c r="E453" s="142"/>
      <c r="F453" s="142"/>
      <c r="G453" s="142"/>
      <c r="H453" s="142"/>
      <c r="I453" s="143"/>
      <c r="J453" s="144"/>
      <c r="K453" s="132"/>
      <c r="L453" s="133"/>
    </row>
    <row r="454" spans="1:14" x14ac:dyDescent="0.2">
      <c r="A454" s="145"/>
      <c r="B454" s="146"/>
      <c r="C454" s="147"/>
      <c r="D454" s="147"/>
      <c r="E454" s="147"/>
      <c r="F454" s="147"/>
      <c r="G454" s="147"/>
      <c r="H454" s="147"/>
      <c r="I454" s="147"/>
      <c r="J454" s="148"/>
      <c r="K454" s="132"/>
      <c r="L454" s="133"/>
    </row>
    <row r="455" spans="1:14" x14ac:dyDescent="0.2">
      <c r="A455" s="145"/>
      <c r="B455" s="146"/>
      <c r="C455" s="147"/>
      <c r="D455" s="147"/>
      <c r="E455" s="147"/>
      <c r="F455" s="147"/>
      <c r="G455" s="147"/>
      <c r="H455" s="147"/>
      <c r="I455" s="147"/>
      <c r="J455" s="148"/>
      <c r="K455" s="132"/>
      <c r="L455" s="133"/>
    </row>
    <row r="456" spans="1:14" x14ac:dyDescent="0.2">
      <c r="A456" s="145"/>
      <c r="B456" s="146"/>
      <c r="C456" s="147"/>
      <c r="D456" s="147"/>
      <c r="E456" s="147"/>
      <c r="F456" s="147"/>
      <c r="G456" s="147"/>
      <c r="H456" s="147"/>
      <c r="I456" s="147"/>
      <c r="J456" s="148"/>
      <c r="K456" s="132"/>
      <c r="L456" s="133"/>
    </row>
    <row r="457" spans="1:14" x14ac:dyDescent="0.2">
      <c r="A457" s="145"/>
      <c r="B457" s="146"/>
      <c r="C457" s="147"/>
      <c r="D457" s="147"/>
      <c r="E457" s="147"/>
      <c r="F457" s="147"/>
      <c r="G457" s="147"/>
      <c r="H457" s="147"/>
      <c r="I457" s="147"/>
      <c r="J457" s="148"/>
      <c r="K457" s="132"/>
      <c r="L457" s="133"/>
    </row>
    <row r="458" spans="1:14" x14ac:dyDescent="0.2">
      <c r="A458" s="145"/>
      <c r="B458" s="146"/>
      <c r="C458" s="147"/>
      <c r="D458" s="147"/>
      <c r="E458" s="147"/>
      <c r="F458" s="147"/>
      <c r="G458" s="147"/>
      <c r="H458" s="147"/>
      <c r="I458" s="147"/>
      <c r="J458" s="148"/>
      <c r="K458" s="132"/>
      <c r="L458" s="133"/>
    </row>
    <row r="459" spans="1:14" x14ac:dyDescent="0.2">
      <c r="A459" s="145"/>
      <c r="B459" s="146"/>
      <c r="C459" s="147"/>
      <c r="D459" s="147"/>
      <c r="E459" s="147"/>
      <c r="F459" s="147"/>
      <c r="G459" s="147"/>
      <c r="H459" s="147"/>
      <c r="I459" s="147"/>
      <c r="J459" s="148"/>
      <c r="K459" s="132"/>
      <c r="L459" s="133"/>
    </row>
    <row r="460" spans="1:14" x14ac:dyDescent="0.2">
      <c r="A460" s="145"/>
      <c r="B460" s="146"/>
      <c r="C460" s="147"/>
      <c r="D460" s="147"/>
      <c r="E460" s="147"/>
      <c r="F460" s="147"/>
      <c r="G460" s="147"/>
      <c r="H460" s="147"/>
      <c r="I460" s="147"/>
      <c r="J460" s="148"/>
      <c r="K460" s="132"/>
      <c r="L460" s="133"/>
    </row>
    <row r="461" spans="1:14" x14ac:dyDescent="0.2">
      <c r="A461" s="145"/>
      <c r="B461" s="146"/>
      <c r="C461" s="147"/>
      <c r="D461" s="147"/>
      <c r="E461" s="147"/>
      <c r="F461" s="147"/>
      <c r="G461" s="147"/>
      <c r="H461" s="147"/>
      <c r="I461" s="147"/>
      <c r="J461" s="148"/>
      <c r="K461" s="132"/>
      <c r="L461" s="133"/>
    </row>
    <row r="462" spans="1:14" x14ac:dyDescent="0.2">
      <c r="A462" s="145"/>
      <c r="B462" s="146"/>
      <c r="C462" s="147"/>
      <c r="D462" s="147"/>
      <c r="E462" s="147"/>
      <c r="F462" s="147"/>
      <c r="G462" s="147"/>
      <c r="H462" s="147"/>
      <c r="I462" s="147"/>
      <c r="J462" s="148"/>
      <c r="K462" s="132"/>
      <c r="L462" s="133"/>
    </row>
    <row r="463" spans="1:14" x14ac:dyDescent="0.2">
      <c r="A463" s="145"/>
      <c r="B463" s="146"/>
      <c r="C463" s="147"/>
      <c r="D463" s="147"/>
      <c r="E463" s="147"/>
      <c r="F463" s="147"/>
      <c r="G463" s="147"/>
      <c r="H463" s="147"/>
      <c r="I463" s="147"/>
      <c r="J463" s="148"/>
      <c r="K463" s="132"/>
      <c r="L463" s="133"/>
    </row>
    <row r="464" spans="1:14" x14ac:dyDescent="0.2">
      <c r="A464" s="145"/>
      <c r="B464" s="146"/>
      <c r="C464" s="147"/>
      <c r="D464" s="147"/>
      <c r="E464" s="147"/>
      <c r="F464" s="147"/>
      <c r="G464" s="147"/>
      <c r="H464" s="147"/>
      <c r="I464" s="147"/>
      <c r="J464" s="148"/>
      <c r="K464" s="132"/>
      <c r="L464" s="133"/>
    </row>
    <row r="465" spans="1:12" x14ac:dyDescent="0.2">
      <c r="A465" s="145"/>
      <c r="B465" s="146"/>
      <c r="C465" s="147"/>
      <c r="D465" s="147"/>
      <c r="E465" s="147"/>
      <c r="F465" s="147"/>
      <c r="G465" s="147"/>
      <c r="H465" s="147"/>
      <c r="I465" s="147"/>
      <c r="J465" s="148"/>
      <c r="K465" s="132"/>
      <c r="L465" s="133"/>
    </row>
    <row r="466" spans="1:12" x14ac:dyDescent="0.2">
      <c r="A466" s="145"/>
      <c r="B466" s="146"/>
      <c r="C466" s="147"/>
      <c r="D466" s="147"/>
      <c r="E466" s="147"/>
      <c r="F466" s="147"/>
      <c r="G466" s="147"/>
      <c r="H466" s="147"/>
      <c r="I466" s="147"/>
      <c r="J466" s="148"/>
      <c r="K466" s="132"/>
      <c r="L466" s="133"/>
    </row>
    <row r="467" spans="1:12" x14ac:dyDescent="0.2">
      <c r="A467" s="145"/>
      <c r="B467" s="146"/>
      <c r="C467" s="147"/>
      <c r="D467" s="147"/>
      <c r="E467" s="147"/>
      <c r="F467" s="147"/>
      <c r="G467" s="147"/>
      <c r="H467" s="147"/>
      <c r="I467" s="147"/>
      <c r="J467" s="148"/>
      <c r="K467" s="132"/>
      <c r="L467" s="133"/>
    </row>
    <row r="468" spans="1:12" x14ac:dyDescent="0.2">
      <c r="A468" s="145"/>
      <c r="B468" s="146"/>
      <c r="C468" s="147"/>
      <c r="D468" s="147"/>
      <c r="E468" s="147"/>
      <c r="F468" s="147"/>
      <c r="G468" s="147"/>
      <c r="H468" s="147"/>
      <c r="I468" s="147"/>
      <c r="J468" s="148"/>
      <c r="K468" s="132"/>
      <c r="L468" s="133"/>
    </row>
    <row r="469" spans="1:12" x14ac:dyDescent="0.2">
      <c r="A469" s="145"/>
      <c r="B469" s="146"/>
      <c r="C469" s="147"/>
      <c r="D469" s="147"/>
      <c r="E469" s="147"/>
      <c r="F469" s="147"/>
      <c r="G469" s="147"/>
      <c r="H469" s="147"/>
      <c r="I469" s="147"/>
      <c r="J469" s="148"/>
      <c r="K469" s="132"/>
      <c r="L469" s="133"/>
    </row>
    <row r="470" spans="1:12" x14ac:dyDescent="0.2">
      <c r="A470" s="145"/>
      <c r="B470" s="146"/>
      <c r="C470" s="147"/>
      <c r="D470" s="147"/>
      <c r="E470" s="147"/>
      <c r="F470" s="147"/>
      <c r="G470" s="147"/>
      <c r="H470" s="147"/>
      <c r="I470" s="147"/>
      <c r="J470" s="148"/>
      <c r="K470" s="132"/>
      <c r="L470" s="133"/>
    </row>
    <row r="471" spans="1:12" x14ac:dyDescent="0.2">
      <c r="A471" s="145"/>
      <c r="B471" s="146"/>
      <c r="C471" s="147"/>
      <c r="D471" s="147"/>
      <c r="E471" s="147"/>
      <c r="F471" s="147"/>
      <c r="G471" s="147"/>
      <c r="H471" s="147"/>
      <c r="I471" s="147"/>
      <c r="J471" s="148"/>
      <c r="K471" s="132"/>
      <c r="L471" s="133"/>
    </row>
    <row r="472" spans="1:12" ht="13.5" thickBot="1" x14ac:dyDescent="0.25">
      <c r="A472" s="149"/>
      <c r="B472" s="150"/>
      <c r="C472" s="151"/>
      <c r="D472" s="151"/>
      <c r="E472" s="151"/>
      <c r="F472" s="151"/>
      <c r="G472" s="151"/>
      <c r="H472" s="151"/>
      <c r="I472" s="151"/>
      <c r="J472" s="152"/>
      <c r="K472" s="132"/>
      <c r="L472" s="133"/>
    </row>
    <row r="473" spans="1:12" ht="13.5" thickBot="1" x14ac:dyDescent="0.25">
      <c r="A473" s="153"/>
      <c r="B473" s="153"/>
      <c r="C473" s="154"/>
      <c r="D473" s="154"/>
      <c r="E473" s="154"/>
      <c r="F473" s="154"/>
      <c r="G473" s="154"/>
      <c r="H473" s="154"/>
      <c r="I473" s="154"/>
      <c r="J473" s="153"/>
      <c r="K473" s="132"/>
      <c r="L473" s="133"/>
    </row>
    <row r="474" spans="1:12" ht="13.5" thickBot="1" x14ac:dyDescent="0.25">
      <c r="A474" s="614" t="s">
        <v>62</v>
      </c>
      <c r="B474" s="648"/>
      <c r="C474" s="648"/>
      <c r="D474" s="648"/>
      <c r="E474" s="648"/>
      <c r="F474" s="648"/>
      <c r="G474" s="648"/>
      <c r="H474" s="648"/>
      <c r="I474" s="648"/>
      <c r="J474" s="649"/>
      <c r="K474" s="132"/>
      <c r="L474" s="133"/>
    </row>
    <row r="475" spans="1:12" x14ac:dyDescent="0.2">
      <c r="A475" s="136"/>
      <c r="B475" s="155"/>
      <c r="C475" s="156"/>
      <c r="D475" s="156"/>
      <c r="E475" s="156"/>
      <c r="F475" s="156"/>
      <c r="G475" s="156"/>
      <c r="H475" s="156"/>
      <c r="I475" s="156"/>
      <c r="J475" s="157"/>
      <c r="K475" s="132"/>
      <c r="L475" s="133"/>
    </row>
    <row r="476" spans="1:12" ht="12.75" customHeight="1" x14ac:dyDescent="0.2">
      <c r="A476" s="158" t="s">
        <v>63</v>
      </c>
      <c r="B476" s="55"/>
      <c r="C476" s="596" t="s">
        <v>445</v>
      </c>
      <c r="D476" s="596"/>
      <c r="E476" s="596"/>
      <c r="F476" s="596"/>
      <c r="G476" s="596"/>
      <c r="H476" s="596"/>
      <c r="I476" s="596"/>
      <c r="J476" s="597"/>
      <c r="K476" s="132"/>
      <c r="L476" s="133"/>
    </row>
    <row r="477" spans="1:12" x14ac:dyDescent="0.2">
      <c r="A477" s="158"/>
      <c r="B477" s="55"/>
      <c r="C477" s="596"/>
      <c r="D477" s="596"/>
      <c r="E477" s="596"/>
      <c r="F477" s="596"/>
      <c r="G477" s="596"/>
      <c r="H477" s="596"/>
      <c r="I477" s="596"/>
      <c r="J477" s="597"/>
      <c r="K477" s="132"/>
      <c r="L477" s="133"/>
    </row>
    <row r="478" spans="1:12" x14ac:dyDescent="0.2">
      <c r="A478" s="158"/>
      <c r="B478" s="55"/>
      <c r="C478" s="596"/>
      <c r="D478" s="596"/>
      <c r="E478" s="596"/>
      <c r="F478" s="596"/>
      <c r="G478" s="596"/>
      <c r="H478" s="596"/>
      <c r="I478" s="596"/>
      <c r="J478" s="597"/>
      <c r="K478" s="132"/>
      <c r="L478" s="133"/>
    </row>
    <row r="479" spans="1:12" x14ac:dyDescent="0.2">
      <c r="A479" s="158"/>
      <c r="B479" s="55"/>
      <c r="C479" s="178"/>
      <c r="D479" s="178"/>
      <c r="E479" s="178"/>
      <c r="F479" s="178"/>
      <c r="G479" s="178"/>
      <c r="H479" s="178"/>
      <c r="I479" s="178"/>
      <c r="J479" s="179"/>
      <c r="K479" s="132"/>
      <c r="L479" s="133"/>
    </row>
    <row r="480" spans="1:12" ht="12.75" customHeight="1" x14ac:dyDescent="0.2">
      <c r="A480" s="158" t="s">
        <v>64</v>
      </c>
      <c r="B480" s="55"/>
      <c r="C480" s="713" t="s">
        <v>444</v>
      </c>
      <c r="D480" s="713"/>
      <c r="E480" s="713"/>
      <c r="F480" s="713"/>
      <c r="G480" s="713"/>
      <c r="H480" s="713"/>
      <c r="I480" s="713"/>
      <c r="J480" s="714"/>
      <c r="K480" s="132"/>
      <c r="L480" s="133"/>
    </row>
    <row r="481" spans="1:12" x14ac:dyDescent="0.2">
      <c r="A481" s="158"/>
      <c r="B481" s="55"/>
      <c r="C481" s="713"/>
      <c r="D481" s="713"/>
      <c r="E481" s="713"/>
      <c r="F481" s="713"/>
      <c r="G481" s="713"/>
      <c r="H481" s="713"/>
      <c r="I481" s="713"/>
      <c r="J481" s="714"/>
      <c r="K481" s="132"/>
      <c r="L481" s="133"/>
    </row>
    <row r="482" spans="1:12" ht="12.75" customHeight="1" x14ac:dyDescent="0.2">
      <c r="A482" s="177"/>
      <c r="B482" s="55"/>
      <c r="C482" s="172"/>
      <c r="D482" s="172"/>
      <c r="E482" s="172"/>
      <c r="F482" s="172"/>
      <c r="G482" s="172"/>
      <c r="H482" s="172"/>
      <c r="I482" s="172"/>
      <c r="J482" s="173"/>
      <c r="K482" s="132"/>
      <c r="L482" s="133"/>
    </row>
    <row r="483" spans="1:12" ht="12.75" customHeight="1" x14ac:dyDescent="0.2">
      <c r="A483" s="598" t="s">
        <v>157</v>
      </c>
      <c r="B483" s="638"/>
      <c r="C483" s="652" t="s">
        <v>829</v>
      </c>
      <c r="D483" s="652"/>
      <c r="E483" s="652"/>
      <c r="F483" s="652"/>
      <c r="G483" s="652"/>
      <c r="H483" s="652"/>
      <c r="I483" s="652"/>
      <c r="J483" s="653"/>
      <c r="K483" s="132"/>
      <c r="L483" s="133"/>
    </row>
    <row r="484" spans="1:12" ht="12.75" customHeight="1" x14ac:dyDescent="0.2">
      <c r="A484" s="158"/>
      <c r="B484" s="55"/>
      <c r="C484" s="652" t="s">
        <v>831</v>
      </c>
      <c r="D484" s="652"/>
      <c r="E484" s="652"/>
      <c r="F484" s="652"/>
      <c r="G484" s="652"/>
      <c r="H484" s="652"/>
      <c r="I484" s="652"/>
      <c r="J484" s="653"/>
      <c r="K484" s="132"/>
      <c r="L484" s="133"/>
    </row>
    <row r="485" spans="1:12" x14ac:dyDescent="0.2">
      <c r="A485" s="158"/>
      <c r="B485" s="55"/>
      <c r="C485" s="652"/>
      <c r="D485" s="652"/>
      <c r="E485" s="652"/>
      <c r="F485" s="652"/>
      <c r="G485" s="652"/>
      <c r="H485" s="652"/>
      <c r="I485" s="652"/>
      <c r="J485" s="653"/>
      <c r="K485" s="132"/>
      <c r="L485" s="133"/>
    </row>
    <row r="486" spans="1:12" x14ac:dyDescent="0.2">
      <c r="A486" s="158"/>
      <c r="B486" s="55"/>
      <c r="C486" s="652"/>
      <c r="D486" s="652"/>
      <c r="E486" s="652"/>
      <c r="F486" s="652"/>
      <c r="G486" s="652"/>
      <c r="H486" s="652"/>
      <c r="I486" s="652"/>
      <c r="J486" s="653"/>
      <c r="K486" s="132"/>
      <c r="L486" s="133"/>
    </row>
    <row r="487" spans="1:12" x14ac:dyDescent="0.2">
      <c r="A487" s="158"/>
      <c r="B487" s="55"/>
      <c r="C487" s="71"/>
      <c r="D487" s="71"/>
      <c r="E487" s="71"/>
      <c r="F487" s="71"/>
      <c r="G487" s="71"/>
      <c r="H487" s="71"/>
      <c r="I487" s="71"/>
      <c r="J487" s="174"/>
      <c r="K487" s="132"/>
      <c r="L487" s="133"/>
    </row>
    <row r="488" spans="1:12" x14ac:dyDescent="0.2">
      <c r="A488" s="158"/>
      <c r="B488" s="55"/>
      <c r="C488" s="71"/>
      <c r="D488" s="71"/>
      <c r="E488" s="71"/>
      <c r="F488" s="71"/>
      <c r="G488" s="71"/>
      <c r="H488" s="71"/>
      <c r="I488" s="71"/>
      <c r="J488" s="174"/>
      <c r="K488" s="132"/>
      <c r="L488" s="133"/>
    </row>
    <row r="489" spans="1:12" x14ac:dyDescent="0.2">
      <c r="A489" s="158"/>
      <c r="B489" s="55"/>
      <c r="C489" s="71"/>
      <c r="D489" s="71"/>
      <c r="E489" s="71"/>
      <c r="F489" s="71"/>
      <c r="G489" s="71"/>
      <c r="H489" s="71"/>
      <c r="I489" s="71"/>
      <c r="J489" s="174"/>
      <c r="K489" s="132"/>
      <c r="L489" s="133"/>
    </row>
    <row r="490" spans="1:12" x14ac:dyDescent="0.2">
      <c r="A490" s="158"/>
      <c r="B490" s="55"/>
      <c r="C490" s="175"/>
      <c r="D490" s="175"/>
      <c r="E490" s="175"/>
      <c r="F490" s="175"/>
      <c r="G490" s="175"/>
      <c r="H490" s="175"/>
      <c r="I490" s="175"/>
      <c r="J490" s="176"/>
      <c r="K490" s="132"/>
      <c r="L490" s="133"/>
    </row>
    <row r="491" spans="1:12" x14ac:dyDescent="0.2">
      <c r="A491" s="158"/>
      <c r="B491" s="55"/>
      <c r="C491" s="71"/>
      <c r="D491" s="71"/>
      <c r="E491" s="71"/>
      <c r="F491" s="71"/>
      <c r="G491" s="71"/>
      <c r="H491" s="71"/>
      <c r="I491" s="71"/>
      <c r="J491" s="174"/>
      <c r="K491" s="132"/>
      <c r="L491" s="133"/>
    </row>
    <row r="492" spans="1:12" x14ac:dyDescent="0.2">
      <c r="A492" s="158"/>
      <c r="B492" s="55"/>
      <c r="C492" s="71"/>
      <c r="D492" s="71"/>
      <c r="E492" s="71"/>
      <c r="F492" s="71"/>
      <c r="G492" s="71"/>
      <c r="H492" s="71"/>
      <c r="I492" s="71"/>
      <c r="J492" s="174"/>
      <c r="K492" s="132"/>
      <c r="L492" s="133"/>
    </row>
    <row r="493" spans="1:12" x14ac:dyDescent="0.2">
      <c r="A493" s="158"/>
      <c r="B493" s="55"/>
      <c r="C493" s="71"/>
      <c r="D493" s="71"/>
      <c r="E493" s="71"/>
      <c r="F493" s="71"/>
      <c r="G493" s="71"/>
      <c r="H493" s="71"/>
      <c r="I493" s="71"/>
      <c r="J493" s="174"/>
      <c r="K493" s="132"/>
      <c r="L493" s="133"/>
    </row>
    <row r="494" spans="1:12" x14ac:dyDescent="0.2">
      <c r="A494" s="158"/>
      <c r="B494" s="55"/>
      <c r="C494" s="71"/>
      <c r="D494" s="71"/>
      <c r="E494" s="71"/>
      <c r="F494" s="71"/>
      <c r="G494" s="71"/>
      <c r="H494" s="71"/>
      <c r="I494" s="71"/>
      <c r="J494" s="174"/>
      <c r="K494" s="132"/>
      <c r="L494" s="133"/>
    </row>
    <row r="495" spans="1:12" x14ac:dyDescent="0.2">
      <c r="A495" s="158"/>
      <c r="B495" s="55"/>
      <c r="C495" s="71"/>
      <c r="D495" s="71"/>
      <c r="E495" s="71"/>
      <c r="F495" s="71"/>
      <c r="G495" s="71"/>
      <c r="H495" s="71"/>
      <c r="I495" s="71"/>
      <c r="J495" s="174"/>
      <c r="K495" s="132"/>
      <c r="L495" s="133"/>
    </row>
    <row r="496" spans="1:12" x14ac:dyDescent="0.2">
      <c r="A496" s="158"/>
      <c r="B496" s="55"/>
      <c r="C496" s="175"/>
      <c r="D496" s="175"/>
      <c r="E496" s="172"/>
      <c r="F496" s="172"/>
      <c r="G496" s="172"/>
      <c r="H496" s="172"/>
      <c r="I496" s="172"/>
      <c r="J496" s="173"/>
      <c r="K496" s="132"/>
      <c r="L496" s="133"/>
    </row>
    <row r="497" spans="1:14" x14ac:dyDescent="0.2">
      <c r="A497" s="158"/>
      <c r="B497" s="55"/>
      <c r="C497" s="175"/>
      <c r="D497" s="175"/>
      <c r="E497" s="172"/>
      <c r="F497" s="172"/>
      <c r="G497" s="172"/>
      <c r="H497" s="172"/>
      <c r="I497" s="172"/>
      <c r="J497" s="173"/>
      <c r="K497" s="132"/>
      <c r="L497" s="133"/>
    </row>
    <row r="498" spans="1:14" ht="13.5" thickBot="1" x14ac:dyDescent="0.25">
      <c r="A498" s="149"/>
      <c r="B498" s="167"/>
      <c r="C498" s="151"/>
      <c r="D498" s="151"/>
      <c r="E498" s="151"/>
      <c r="F498" s="151"/>
      <c r="G498" s="151"/>
      <c r="H498" s="151"/>
      <c r="I498" s="151"/>
      <c r="J498" s="168"/>
      <c r="K498" s="132"/>
      <c r="L498" s="133"/>
    </row>
    <row r="499" spans="1:14" ht="15.75" x14ac:dyDescent="0.2">
      <c r="A499" s="602" t="s">
        <v>4</v>
      </c>
      <c r="B499" s="603"/>
      <c r="C499" s="603" t="str">
        <f>'A IV.A'!$B$22</f>
        <v>SERVIÇOS INICIAIS</v>
      </c>
      <c r="D499" s="603"/>
      <c r="E499" s="603"/>
      <c r="F499" s="603"/>
      <c r="G499" s="603"/>
      <c r="H499" s="603"/>
      <c r="I499" s="603"/>
      <c r="J499" s="604"/>
      <c r="K499" s="132"/>
      <c r="L499" s="133"/>
    </row>
    <row r="500" spans="1:14" x14ac:dyDescent="0.2">
      <c r="A500" s="609" t="str">
        <f>'A IV.A'!$A$22</f>
        <v>2.0</v>
      </c>
      <c r="B500" s="610"/>
      <c r="C500" s="605"/>
      <c r="D500" s="605"/>
      <c r="E500" s="605"/>
      <c r="F500" s="605"/>
      <c r="G500" s="605"/>
      <c r="H500" s="605"/>
      <c r="I500" s="605"/>
      <c r="J500" s="606"/>
      <c r="K500" s="132"/>
      <c r="L500" s="133"/>
    </row>
    <row r="501" spans="1:14" ht="13.5" thickBot="1" x14ac:dyDescent="0.25">
      <c r="A501" s="611"/>
      <c r="B501" s="612"/>
      <c r="C501" s="607"/>
      <c r="D501" s="607"/>
      <c r="E501" s="607"/>
      <c r="F501" s="607"/>
      <c r="G501" s="607"/>
      <c r="H501" s="607"/>
      <c r="I501" s="607"/>
      <c r="J501" s="608"/>
      <c r="K501" s="132"/>
      <c r="L501" s="133"/>
    </row>
    <row r="502" spans="1:14" ht="13.5" thickBot="1" x14ac:dyDescent="0.25">
      <c r="A502" s="169"/>
      <c r="B502" s="169"/>
      <c r="C502" s="613"/>
      <c r="D502" s="613"/>
      <c r="E502" s="613"/>
      <c r="F502" s="613"/>
      <c r="G502" s="613"/>
      <c r="H502" s="613"/>
      <c r="I502" s="613"/>
      <c r="J502" s="169"/>
      <c r="K502" s="132"/>
      <c r="L502" s="133"/>
    </row>
    <row r="503" spans="1:14" ht="13.5" thickBot="1" x14ac:dyDescent="0.25">
      <c r="A503" s="632" t="s">
        <v>60</v>
      </c>
      <c r="B503" s="633"/>
      <c r="C503" s="656" t="s">
        <v>61</v>
      </c>
      <c r="D503" s="656"/>
      <c r="E503" s="656"/>
      <c r="F503" s="656"/>
      <c r="G503" s="656"/>
      <c r="H503" s="656"/>
      <c r="I503" s="656"/>
      <c r="J503" s="260" t="s">
        <v>0</v>
      </c>
      <c r="K503" s="132"/>
      <c r="L503" s="133"/>
    </row>
    <row r="504" spans="1:14" x14ac:dyDescent="0.2">
      <c r="A504" s="136"/>
      <c r="B504" s="137"/>
      <c r="C504" s="619"/>
      <c r="D504" s="620"/>
      <c r="E504" s="621"/>
      <c r="F504" s="621"/>
      <c r="G504" s="621"/>
      <c r="H504" s="621"/>
      <c r="I504" s="622"/>
      <c r="J504" s="138"/>
      <c r="K504" s="132"/>
      <c r="L504" s="133"/>
    </row>
    <row r="505" spans="1:14" x14ac:dyDescent="0.2">
      <c r="A505" s="625" t="str">
        <f>'A IV.A'!$A$29</f>
        <v>2.1.5</v>
      </c>
      <c r="B505" s="624"/>
      <c r="C505" s="626" t="str">
        <f>'A IV.A'!$B$29</f>
        <v>REMOÇÃO MANUAL DE PORTÃO, GRADE DE PROTEÇÃO E ESQUADRIAS METÁLICAS EM GERAL, COM OU SEM REAPROVEITAMENTO</v>
      </c>
      <c r="D505" s="627"/>
      <c r="E505" s="627"/>
      <c r="F505" s="627"/>
      <c r="G505" s="627"/>
      <c r="H505" s="627"/>
      <c r="I505" s="628"/>
      <c r="J505" s="629" t="str">
        <f>'A IV.A'!$C$29</f>
        <v>M2</v>
      </c>
      <c r="K505" s="630" t="str">
        <f>VLOOKUP(A505,'A IV.A'!$A$14:$M$233,2,FALSE)</f>
        <v>REMOÇÃO MANUAL DE PORTÃO, GRADE DE PROTEÇÃO E ESQUADRIAS METÁLICAS EM GERAL, COM OU SEM REAPROVEITAMENTO</v>
      </c>
      <c r="L505" s="631" t="str">
        <f>IF(C505=K505,"sim","nao")</f>
        <v>sim</v>
      </c>
      <c r="M505" s="631" t="str">
        <f>VLOOKUP(A505,'A IV.A'!$A$14:$M$233,3,FALSE)</f>
        <v>M2</v>
      </c>
      <c r="N505" s="631" t="str">
        <f>IF(J505=M505,"sim","nao")</f>
        <v>sim</v>
      </c>
    </row>
    <row r="506" spans="1:14" x14ac:dyDescent="0.2">
      <c r="A506" s="625"/>
      <c r="B506" s="624"/>
      <c r="C506" s="626"/>
      <c r="D506" s="627"/>
      <c r="E506" s="627"/>
      <c r="F506" s="627"/>
      <c r="G506" s="627"/>
      <c r="H506" s="627"/>
      <c r="I506" s="628"/>
      <c r="J506" s="629"/>
      <c r="K506" s="630"/>
      <c r="L506" s="631"/>
      <c r="M506" s="631"/>
      <c r="N506" s="631"/>
    </row>
    <row r="507" spans="1:14" x14ac:dyDescent="0.2">
      <c r="A507" s="139"/>
      <c r="B507" s="140"/>
      <c r="C507" s="141"/>
      <c r="D507" s="142"/>
      <c r="E507" s="142"/>
      <c r="F507" s="142"/>
      <c r="G507" s="142"/>
      <c r="H507" s="142"/>
      <c r="I507" s="143"/>
      <c r="J507" s="144"/>
      <c r="K507" s="132"/>
      <c r="L507" s="133"/>
    </row>
    <row r="508" spans="1:14" x14ac:dyDescent="0.2">
      <c r="A508" s="625"/>
      <c r="B508" s="624"/>
      <c r="C508" s="626"/>
      <c r="D508" s="627"/>
      <c r="E508" s="627"/>
      <c r="F508" s="627"/>
      <c r="G508" s="627"/>
      <c r="H508" s="627"/>
      <c r="I508" s="628"/>
      <c r="J508" s="629"/>
      <c r="K508" s="630"/>
      <c r="L508" s="631"/>
      <c r="M508" s="631"/>
      <c r="N508" s="631"/>
    </row>
    <row r="509" spans="1:14" x14ac:dyDescent="0.2">
      <c r="A509" s="625"/>
      <c r="B509" s="624"/>
      <c r="C509" s="626"/>
      <c r="D509" s="627"/>
      <c r="E509" s="627"/>
      <c r="F509" s="627"/>
      <c r="G509" s="627"/>
      <c r="H509" s="627"/>
      <c r="I509" s="628"/>
      <c r="J509" s="629"/>
      <c r="K509" s="630"/>
      <c r="L509" s="631"/>
      <c r="M509" s="631"/>
      <c r="N509" s="631"/>
    </row>
    <row r="510" spans="1:14" x14ac:dyDescent="0.2">
      <c r="A510" s="145"/>
      <c r="B510" s="146"/>
      <c r="C510" s="147"/>
      <c r="D510" s="147"/>
      <c r="E510" s="147"/>
      <c r="F510" s="147"/>
      <c r="G510" s="147"/>
      <c r="H510" s="147"/>
      <c r="I510" s="147"/>
      <c r="J510" s="148"/>
      <c r="K510" s="132"/>
      <c r="L510" s="133"/>
    </row>
    <row r="511" spans="1:14" x14ac:dyDescent="0.2">
      <c r="A511" s="625"/>
      <c r="B511" s="624"/>
      <c r="C511" s="626"/>
      <c r="D511" s="627"/>
      <c r="E511" s="627"/>
      <c r="F511" s="627"/>
      <c r="G511" s="627"/>
      <c r="H511" s="627"/>
      <c r="I511" s="628"/>
      <c r="J511" s="629"/>
      <c r="K511" s="630"/>
      <c r="L511" s="631"/>
      <c r="M511" s="631"/>
      <c r="N511" s="631"/>
    </row>
    <row r="512" spans="1:14" x14ac:dyDescent="0.2">
      <c r="A512" s="625"/>
      <c r="B512" s="624"/>
      <c r="C512" s="626"/>
      <c r="D512" s="627"/>
      <c r="E512" s="627"/>
      <c r="F512" s="627"/>
      <c r="G512" s="627"/>
      <c r="H512" s="627"/>
      <c r="I512" s="628"/>
      <c r="J512" s="629"/>
      <c r="K512" s="630"/>
      <c r="L512" s="631"/>
      <c r="M512" s="631"/>
      <c r="N512" s="631"/>
    </row>
    <row r="513" spans="1:12" x14ac:dyDescent="0.2">
      <c r="A513" s="145"/>
      <c r="B513" s="146"/>
      <c r="C513" s="147"/>
      <c r="D513" s="147"/>
      <c r="E513" s="147"/>
      <c r="F513" s="147"/>
      <c r="G513" s="147"/>
      <c r="H513" s="147"/>
      <c r="I513" s="147"/>
      <c r="J513" s="148"/>
      <c r="K513" s="132"/>
      <c r="L513" s="133"/>
    </row>
    <row r="514" spans="1:12" x14ac:dyDescent="0.2">
      <c r="A514" s="145"/>
      <c r="B514" s="146"/>
      <c r="C514" s="147"/>
      <c r="D514" s="147"/>
      <c r="E514" s="147"/>
      <c r="F514" s="147"/>
      <c r="G514" s="147"/>
      <c r="H514" s="147"/>
      <c r="I514" s="147"/>
      <c r="J514" s="148"/>
      <c r="K514" s="132"/>
      <c r="L514" s="133"/>
    </row>
    <row r="515" spans="1:12" x14ac:dyDescent="0.2">
      <c r="A515" s="145"/>
      <c r="B515" s="146"/>
      <c r="C515" s="147"/>
      <c r="D515" s="147"/>
      <c r="E515" s="147"/>
      <c r="F515" s="147"/>
      <c r="G515" s="147"/>
      <c r="H515" s="147"/>
      <c r="I515" s="147"/>
      <c r="J515" s="148"/>
      <c r="K515" s="132"/>
      <c r="L515" s="133"/>
    </row>
    <row r="516" spans="1:12" x14ac:dyDescent="0.2">
      <c r="A516" s="145"/>
      <c r="B516" s="146"/>
      <c r="C516" s="147"/>
      <c r="D516" s="147"/>
      <c r="E516" s="147"/>
      <c r="F516" s="147"/>
      <c r="G516" s="147"/>
      <c r="H516" s="147"/>
      <c r="I516" s="147"/>
      <c r="J516" s="148"/>
      <c r="K516" s="132"/>
      <c r="L516" s="133"/>
    </row>
    <row r="517" spans="1:12" x14ac:dyDescent="0.2">
      <c r="A517" s="145"/>
      <c r="B517" s="146"/>
      <c r="C517" s="147"/>
      <c r="D517" s="147"/>
      <c r="E517" s="147"/>
      <c r="F517" s="147"/>
      <c r="G517" s="147"/>
      <c r="H517" s="147"/>
      <c r="I517" s="147"/>
      <c r="J517" s="148"/>
      <c r="K517" s="132"/>
      <c r="L517" s="133"/>
    </row>
    <row r="518" spans="1:12" x14ac:dyDescent="0.2">
      <c r="A518" s="145"/>
      <c r="B518" s="146"/>
      <c r="C518" s="147"/>
      <c r="D518" s="147"/>
      <c r="E518" s="147"/>
      <c r="F518" s="147"/>
      <c r="G518" s="147"/>
      <c r="H518" s="147"/>
      <c r="I518" s="147"/>
      <c r="J518" s="148"/>
      <c r="K518" s="132"/>
      <c r="L518" s="133"/>
    </row>
    <row r="519" spans="1:12" x14ac:dyDescent="0.2">
      <c r="A519" s="145"/>
      <c r="B519" s="146"/>
      <c r="C519" s="147"/>
      <c r="D519" s="147"/>
      <c r="E519" s="147"/>
      <c r="F519" s="147"/>
      <c r="G519" s="147"/>
      <c r="H519" s="147"/>
      <c r="I519" s="147"/>
      <c r="J519" s="148"/>
      <c r="K519" s="132"/>
      <c r="L519" s="133"/>
    </row>
    <row r="520" spans="1:12" x14ac:dyDescent="0.2">
      <c r="A520" s="145"/>
      <c r="B520" s="146"/>
      <c r="C520" s="147"/>
      <c r="D520" s="147"/>
      <c r="E520" s="147"/>
      <c r="F520" s="147"/>
      <c r="G520" s="147"/>
      <c r="H520" s="147"/>
      <c r="I520" s="147"/>
      <c r="J520" s="148"/>
      <c r="K520" s="132"/>
      <c r="L520" s="133"/>
    </row>
    <row r="521" spans="1:12" x14ac:dyDescent="0.2">
      <c r="A521" s="145"/>
      <c r="B521" s="146"/>
      <c r="C521" s="147"/>
      <c r="D521" s="147"/>
      <c r="E521" s="147"/>
      <c r="F521" s="147"/>
      <c r="G521" s="147"/>
      <c r="H521" s="147"/>
      <c r="I521" s="147"/>
      <c r="J521" s="148"/>
      <c r="K521" s="132"/>
      <c r="L521" s="133"/>
    </row>
    <row r="522" spans="1:12" x14ac:dyDescent="0.2">
      <c r="A522" s="145"/>
      <c r="B522" s="146"/>
      <c r="C522" s="147"/>
      <c r="D522" s="147"/>
      <c r="E522" s="147"/>
      <c r="F522" s="147"/>
      <c r="G522" s="147"/>
      <c r="H522" s="147"/>
      <c r="I522" s="147"/>
      <c r="J522" s="148"/>
      <c r="K522" s="132"/>
      <c r="L522" s="133"/>
    </row>
    <row r="523" spans="1:12" x14ac:dyDescent="0.2">
      <c r="A523" s="145"/>
      <c r="B523" s="146"/>
      <c r="C523" s="147"/>
      <c r="D523" s="147"/>
      <c r="E523" s="147"/>
      <c r="F523" s="147"/>
      <c r="G523" s="147"/>
      <c r="H523" s="147"/>
      <c r="I523" s="147"/>
      <c r="J523" s="148"/>
      <c r="K523" s="132"/>
      <c r="L523" s="133"/>
    </row>
    <row r="524" spans="1:12" x14ac:dyDescent="0.2">
      <c r="A524" s="145"/>
      <c r="B524" s="146"/>
      <c r="C524" s="147"/>
      <c r="D524" s="147"/>
      <c r="E524" s="147"/>
      <c r="F524" s="147"/>
      <c r="G524" s="147"/>
      <c r="H524" s="147"/>
      <c r="I524" s="147"/>
      <c r="J524" s="148"/>
      <c r="K524" s="132"/>
      <c r="L524" s="133"/>
    </row>
    <row r="525" spans="1:12" x14ac:dyDescent="0.2">
      <c r="A525" s="145"/>
      <c r="B525" s="146"/>
      <c r="C525" s="147"/>
      <c r="D525" s="147"/>
      <c r="E525" s="147"/>
      <c r="F525" s="147"/>
      <c r="G525" s="147"/>
      <c r="H525" s="147"/>
      <c r="I525" s="147"/>
      <c r="J525" s="148"/>
      <c r="K525" s="132"/>
      <c r="L525" s="133"/>
    </row>
    <row r="526" spans="1:12" ht="13.5" thickBot="1" x14ac:dyDescent="0.25">
      <c r="A526" s="149"/>
      <c r="B526" s="150"/>
      <c r="C526" s="151"/>
      <c r="D526" s="151"/>
      <c r="E526" s="151"/>
      <c r="F526" s="151"/>
      <c r="G526" s="151"/>
      <c r="H526" s="151"/>
      <c r="I526" s="151"/>
      <c r="J526" s="152"/>
      <c r="K526" s="132"/>
      <c r="L526" s="133"/>
    </row>
    <row r="527" spans="1:12" ht="13.5" thickBot="1" x14ac:dyDescent="0.25">
      <c r="A527" s="153"/>
      <c r="B527" s="153"/>
      <c r="C527" s="154"/>
      <c r="D527" s="154"/>
      <c r="E527" s="154"/>
      <c r="F527" s="154"/>
      <c r="G527" s="154"/>
      <c r="H527" s="154"/>
      <c r="I527" s="154"/>
      <c r="J527" s="153"/>
      <c r="K527" s="132"/>
      <c r="L527" s="133"/>
    </row>
    <row r="528" spans="1:12" ht="13.5" thickBot="1" x14ac:dyDescent="0.25">
      <c r="A528" s="614" t="s">
        <v>62</v>
      </c>
      <c r="B528" s="648"/>
      <c r="C528" s="648"/>
      <c r="D528" s="648"/>
      <c r="E528" s="648"/>
      <c r="F528" s="648"/>
      <c r="G528" s="648"/>
      <c r="H528" s="648"/>
      <c r="I528" s="648"/>
      <c r="J528" s="649"/>
      <c r="K528" s="132"/>
      <c r="L528" s="133"/>
    </row>
    <row r="529" spans="1:12" x14ac:dyDescent="0.2">
      <c r="A529" s="136"/>
      <c r="B529" s="155"/>
      <c r="C529" s="156"/>
      <c r="D529" s="156"/>
      <c r="E529" s="156"/>
      <c r="F529" s="156"/>
      <c r="G529" s="156"/>
      <c r="H529" s="156"/>
      <c r="I529" s="156"/>
      <c r="J529" s="157"/>
      <c r="K529" s="132"/>
      <c r="L529" s="133"/>
    </row>
    <row r="530" spans="1:12" ht="12.75" customHeight="1" x14ac:dyDescent="0.2">
      <c r="A530" s="598" t="s">
        <v>63</v>
      </c>
      <c r="B530" s="638"/>
      <c r="C530" s="596" t="s">
        <v>446</v>
      </c>
      <c r="D530" s="596"/>
      <c r="E530" s="596"/>
      <c r="F530" s="596"/>
      <c r="G530" s="596"/>
      <c r="H530" s="596"/>
      <c r="I530" s="596"/>
      <c r="J530" s="597"/>
      <c r="K530" s="132"/>
      <c r="L530" s="133"/>
    </row>
    <row r="531" spans="1:12" x14ac:dyDescent="0.2">
      <c r="A531" s="177"/>
      <c r="B531" s="74"/>
      <c r="C531" s="596"/>
      <c r="D531" s="596"/>
      <c r="E531" s="596"/>
      <c r="F531" s="596"/>
      <c r="G531" s="596"/>
      <c r="H531" s="596"/>
      <c r="I531" s="596"/>
      <c r="J531" s="597"/>
      <c r="K531" s="132"/>
      <c r="L531" s="133"/>
    </row>
    <row r="532" spans="1:12" x14ac:dyDescent="0.2">
      <c r="C532" s="596"/>
      <c r="D532" s="596"/>
      <c r="E532" s="596"/>
      <c r="F532" s="596"/>
      <c r="G532" s="596"/>
      <c r="H532" s="596"/>
      <c r="I532" s="596"/>
      <c r="J532" s="597"/>
      <c r="K532" s="132"/>
      <c r="L532" s="133"/>
    </row>
    <row r="533" spans="1:12" ht="12.75" customHeight="1" x14ac:dyDescent="0.2">
      <c r="J533" s="315"/>
      <c r="K533" s="132"/>
      <c r="L533" s="133"/>
    </row>
    <row r="534" spans="1:12" x14ac:dyDescent="0.2">
      <c r="A534" s="598" t="s">
        <v>64</v>
      </c>
      <c r="B534" s="638"/>
      <c r="C534" s="713" t="s">
        <v>447</v>
      </c>
      <c r="D534" s="713"/>
      <c r="E534" s="713"/>
      <c r="F534" s="713"/>
      <c r="G534" s="713"/>
      <c r="H534" s="713"/>
      <c r="I534" s="713"/>
      <c r="J534" s="714"/>
      <c r="K534" s="132"/>
      <c r="L534" s="133"/>
    </row>
    <row r="535" spans="1:12" ht="12.75" customHeight="1" x14ac:dyDescent="0.2">
      <c r="A535" s="177"/>
      <c r="B535" s="74"/>
      <c r="C535" s="178"/>
      <c r="D535" s="178"/>
      <c r="E535" s="178"/>
      <c r="F535" s="178"/>
      <c r="G535" s="178"/>
      <c r="H535" s="178"/>
      <c r="I535" s="178"/>
      <c r="J535" s="179"/>
      <c r="K535" s="132"/>
      <c r="L535" s="133"/>
    </row>
    <row r="536" spans="1:12" x14ac:dyDescent="0.2">
      <c r="A536" s="177" t="s">
        <v>157</v>
      </c>
      <c r="B536" s="182"/>
      <c r="C536" s="652" t="s">
        <v>829</v>
      </c>
      <c r="D536" s="652"/>
      <c r="E536" s="652"/>
      <c r="F536" s="652"/>
      <c r="G536" s="652"/>
      <c r="H536" s="652"/>
      <c r="I536" s="652"/>
      <c r="J536" s="653"/>
      <c r="K536" s="132"/>
      <c r="L536" s="133"/>
    </row>
    <row r="537" spans="1:12" x14ac:dyDescent="0.2">
      <c r="A537" s="177"/>
      <c r="B537" s="182"/>
      <c r="C537" s="662" t="s">
        <v>832</v>
      </c>
      <c r="D537" s="662"/>
      <c r="E537" s="662"/>
      <c r="F537" s="662"/>
      <c r="G537" s="662"/>
      <c r="H537" s="662"/>
      <c r="I537" s="662"/>
      <c r="J537" s="663"/>
      <c r="K537" s="132"/>
      <c r="L537" s="133"/>
    </row>
    <row r="538" spans="1:12" x14ac:dyDescent="0.2">
      <c r="A538" s="158"/>
      <c r="B538" s="55"/>
      <c r="C538" s="662"/>
      <c r="D538" s="662"/>
      <c r="E538" s="662"/>
      <c r="F538" s="662"/>
      <c r="G538" s="662"/>
      <c r="H538" s="662"/>
      <c r="I538" s="662"/>
      <c r="J538" s="663"/>
      <c r="K538" s="132"/>
      <c r="L538" s="133"/>
    </row>
    <row r="539" spans="1:12" x14ac:dyDescent="0.2">
      <c r="A539" s="158"/>
      <c r="B539" s="55"/>
      <c r="C539" s="71"/>
      <c r="D539" s="71"/>
      <c r="E539" s="71"/>
      <c r="F539" s="71"/>
      <c r="G539" s="71"/>
      <c r="H539" s="71"/>
      <c r="I539" s="71"/>
      <c r="J539" s="174"/>
      <c r="K539" s="132"/>
      <c r="L539" s="133"/>
    </row>
    <row r="540" spans="1:12" x14ac:dyDescent="0.2">
      <c r="A540" s="158"/>
      <c r="B540" s="55"/>
      <c r="C540" s="71"/>
      <c r="D540" s="71"/>
      <c r="E540" s="71"/>
      <c r="F540" s="71"/>
      <c r="G540" s="71"/>
      <c r="H540" s="71"/>
      <c r="I540" s="71"/>
      <c r="J540" s="174"/>
      <c r="K540" s="132"/>
      <c r="L540" s="133"/>
    </row>
    <row r="541" spans="1:12" x14ac:dyDescent="0.2">
      <c r="A541" s="158"/>
      <c r="B541" s="55"/>
      <c r="C541" s="71"/>
      <c r="D541" s="71"/>
      <c r="E541" s="71"/>
      <c r="F541" s="71"/>
      <c r="G541" s="71"/>
      <c r="H541" s="71"/>
      <c r="I541" s="71"/>
      <c r="J541" s="174"/>
      <c r="K541" s="132"/>
      <c r="L541" s="133"/>
    </row>
    <row r="542" spans="1:12" x14ac:dyDescent="0.2">
      <c r="A542" s="158"/>
      <c r="B542" s="55"/>
      <c r="C542" s="71"/>
      <c r="D542" s="71"/>
      <c r="E542" s="71"/>
      <c r="F542" s="71"/>
      <c r="G542" s="71"/>
      <c r="H542" s="71"/>
      <c r="I542" s="71"/>
      <c r="J542" s="174"/>
      <c r="K542" s="132"/>
      <c r="L542" s="133"/>
    </row>
    <row r="543" spans="1:12" x14ac:dyDescent="0.2">
      <c r="J543" s="315"/>
      <c r="K543" s="132"/>
      <c r="L543" s="133"/>
    </row>
    <row r="544" spans="1:12" x14ac:dyDescent="0.2">
      <c r="A544" s="158"/>
      <c r="B544" s="55"/>
      <c r="C544" s="71"/>
      <c r="D544" s="71"/>
      <c r="E544" s="71"/>
      <c r="F544" s="71"/>
      <c r="G544" s="71"/>
      <c r="H544" s="71"/>
      <c r="I544" s="71"/>
      <c r="J544" s="174"/>
      <c r="K544" s="132"/>
      <c r="L544" s="133"/>
    </row>
    <row r="545" spans="1:14" x14ac:dyDescent="0.2">
      <c r="A545" s="158"/>
      <c r="B545" s="55"/>
      <c r="C545" s="71"/>
      <c r="D545" s="71"/>
      <c r="E545" s="71"/>
      <c r="F545" s="71"/>
      <c r="G545" s="71"/>
      <c r="H545" s="71"/>
      <c r="I545" s="71"/>
      <c r="J545" s="174"/>
      <c r="K545" s="132"/>
      <c r="L545" s="133"/>
    </row>
    <row r="546" spans="1:14" x14ac:dyDescent="0.2">
      <c r="A546" s="158"/>
      <c r="B546" s="55"/>
      <c r="C546" s="71"/>
      <c r="D546" s="71"/>
      <c r="E546" s="71"/>
      <c r="F546" s="71"/>
      <c r="G546" s="71"/>
      <c r="H546" s="71"/>
      <c r="I546" s="71"/>
      <c r="J546" s="174"/>
      <c r="K546" s="132"/>
      <c r="L546" s="133"/>
    </row>
    <row r="547" spans="1:14" x14ac:dyDescent="0.2">
      <c r="A547" s="158"/>
      <c r="B547" s="55"/>
      <c r="C547" s="71"/>
      <c r="D547" s="71"/>
      <c r="E547" s="71"/>
      <c r="F547" s="71"/>
      <c r="G547" s="71"/>
      <c r="H547" s="71"/>
      <c r="I547" s="71"/>
      <c r="J547" s="174"/>
      <c r="K547" s="132"/>
      <c r="L547" s="133"/>
    </row>
    <row r="548" spans="1:14" x14ac:dyDescent="0.2">
      <c r="A548" s="158"/>
      <c r="B548" s="55"/>
      <c r="C548" s="71"/>
      <c r="D548" s="71"/>
      <c r="E548" s="71"/>
      <c r="F548" s="71"/>
      <c r="G548" s="71"/>
      <c r="H548" s="71"/>
      <c r="I548" s="71"/>
      <c r="J548" s="174"/>
      <c r="K548" s="132"/>
      <c r="L548" s="133"/>
    </row>
    <row r="549" spans="1:14" x14ac:dyDescent="0.2">
      <c r="A549" s="158"/>
      <c r="B549" s="55"/>
      <c r="C549" s="71"/>
      <c r="D549" s="71"/>
      <c r="E549" s="71"/>
      <c r="F549" s="71"/>
      <c r="G549" s="71"/>
      <c r="H549" s="71"/>
      <c r="I549" s="71"/>
      <c r="J549" s="174"/>
      <c r="K549" s="132"/>
      <c r="L549" s="133"/>
    </row>
    <row r="550" spans="1:14" x14ac:dyDescent="0.2">
      <c r="A550" s="158"/>
      <c r="B550" s="55"/>
      <c r="C550" s="71"/>
      <c r="D550" s="71"/>
      <c r="E550" s="71"/>
      <c r="F550" s="71"/>
      <c r="G550" s="71"/>
      <c r="H550" s="71"/>
      <c r="I550" s="71"/>
      <c r="J550" s="174"/>
      <c r="K550" s="132"/>
      <c r="L550" s="133"/>
    </row>
    <row r="551" spans="1:14" x14ac:dyDescent="0.2">
      <c r="A551" s="158"/>
      <c r="B551" s="55"/>
      <c r="C551" s="71"/>
      <c r="D551" s="71"/>
      <c r="E551" s="71"/>
      <c r="F551" s="71"/>
      <c r="G551" s="71"/>
      <c r="H551" s="71"/>
      <c r="I551" s="71"/>
      <c r="J551" s="174"/>
      <c r="K551" s="132"/>
      <c r="L551" s="133"/>
    </row>
    <row r="552" spans="1:14" x14ac:dyDescent="0.2">
      <c r="A552" s="158"/>
      <c r="B552" s="55"/>
      <c r="C552" s="175"/>
      <c r="D552" s="175"/>
      <c r="E552" s="172"/>
      <c r="F552" s="172"/>
      <c r="G552" s="172"/>
      <c r="H552" s="172"/>
      <c r="I552" s="172"/>
      <c r="J552" s="173"/>
      <c r="K552" s="132"/>
      <c r="L552" s="133"/>
    </row>
    <row r="553" spans="1:14" ht="13.5" thickBot="1" x14ac:dyDescent="0.25">
      <c r="A553" s="183"/>
      <c r="B553" s="184"/>
      <c r="C553" s="185"/>
      <c r="D553" s="185"/>
      <c r="E553" s="186"/>
      <c r="F553" s="186"/>
      <c r="G553" s="186"/>
      <c r="H553" s="186"/>
      <c r="I553" s="186"/>
      <c r="J553" s="187"/>
      <c r="K553" s="132"/>
      <c r="L553" s="133"/>
    </row>
    <row r="554" spans="1:14" ht="15.75" x14ac:dyDescent="0.2">
      <c r="A554" s="602" t="s">
        <v>4</v>
      </c>
      <c r="B554" s="603"/>
      <c r="C554" s="603" t="str">
        <f>'A IV.A'!$B$22</f>
        <v>SERVIÇOS INICIAIS</v>
      </c>
      <c r="D554" s="603"/>
      <c r="E554" s="603"/>
      <c r="F554" s="603"/>
      <c r="G554" s="603"/>
      <c r="H554" s="603"/>
      <c r="I554" s="603"/>
      <c r="J554" s="604"/>
      <c r="K554" s="132"/>
      <c r="L554" s="133"/>
    </row>
    <row r="555" spans="1:14" x14ac:dyDescent="0.2">
      <c r="A555" s="609" t="str">
        <f>'A IV.A'!$A$22</f>
        <v>2.0</v>
      </c>
      <c r="B555" s="610"/>
      <c r="C555" s="605"/>
      <c r="D555" s="605"/>
      <c r="E555" s="605"/>
      <c r="F555" s="605"/>
      <c r="G555" s="605"/>
      <c r="H555" s="605"/>
      <c r="I555" s="605"/>
      <c r="J555" s="606"/>
      <c r="K555" s="132"/>
      <c r="L555" s="133"/>
    </row>
    <row r="556" spans="1:14" ht="13.5" thickBot="1" x14ac:dyDescent="0.25">
      <c r="A556" s="611"/>
      <c r="B556" s="612"/>
      <c r="C556" s="607"/>
      <c r="D556" s="607"/>
      <c r="E556" s="607"/>
      <c r="F556" s="607"/>
      <c r="G556" s="607"/>
      <c r="H556" s="607"/>
      <c r="I556" s="607"/>
      <c r="J556" s="608"/>
      <c r="K556" s="132"/>
      <c r="L556" s="133"/>
    </row>
    <row r="557" spans="1:14" ht="13.5" thickBot="1" x14ac:dyDescent="0.25">
      <c r="A557" s="169"/>
      <c r="B557" s="169"/>
      <c r="C557" s="613"/>
      <c r="D557" s="613"/>
      <c r="E557" s="613"/>
      <c r="F557" s="613"/>
      <c r="G557" s="613"/>
      <c r="H557" s="613"/>
      <c r="I557" s="613"/>
      <c r="J557" s="169"/>
      <c r="K557" s="132"/>
      <c r="L557" s="133"/>
    </row>
    <row r="558" spans="1:14" ht="13.5" thickBot="1" x14ac:dyDescent="0.25">
      <c r="A558" s="632" t="s">
        <v>60</v>
      </c>
      <c r="B558" s="633"/>
      <c r="C558" s="656" t="s">
        <v>61</v>
      </c>
      <c r="D558" s="656"/>
      <c r="E558" s="656"/>
      <c r="F558" s="656"/>
      <c r="G558" s="656"/>
      <c r="H558" s="656"/>
      <c r="I558" s="656"/>
      <c r="J558" s="260" t="s">
        <v>0</v>
      </c>
      <c r="K558" s="132"/>
      <c r="L558" s="133"/>
    </row>
    <row r="559" spans="1:14" x14ac:dyDescent="0.2">
      <c r="A559" s="136"/>
      <c r="B559" s="137"/>
      <c r="C559" s="619"/>
      <c r="D559" s="620"/>
      <c r="E559" s="621"/>
      <c r="F559" s="621"/>
      <c r="G559" s="621"/>
      <c r="H559" s="621"/>
      <c r="I559" s="622"/>
      <c r="J559" s="138"/>
      <c r="K559" s="132"/>
      <c r="L559" s="133"/>
    </row>
    <row r="560" spans="1:14" x14ac:dyDescent="0.2">
      <c r="A560" s="625" t="str">
        <f>'A IV.A'!$A$30</f>
        <v>2.1.6</v>
      </c>
      <c r="B560" s="624"/>
      <c r="C560" s="626" t="str">
        <f>'A IV.A'!$B$30</f>
        <v>REMOÇÃO DE CALHAS, RUFOS, PINGADEIRAS E CONDUTORES VERTICAIS</v>
      </c>
      <c r="D560" s="627"/>
      <c r="E560" s="627"/>
      <c r="F560" s="627"/>
      <c r="G560" s="627"/>
      <c r="H560" s="627"/>
      <c r="I560" s="628"/>
      <c r="J560" s="629" t="str">
        <f>'A IV.A'!$C$30</f>
        <v>M</v>
      </c>
      <c r="K560" s="630" t="str">
        <f>VLOOKUP(A560,'A IV.A'!$A$14:$M$233,2,FALSE)</f>
        <v>REMOÇÃO DE CALHAS, RUFOS, PINGADEIRAS E CONDUTORES VERTICAIS</v>
      </c>
      <c r="L560" s="631" t="str">
        <f>IF(C560=K560,"sim","nao")</f>
        <v>sim</v>
      </c>
      <c r="M560" s="631" t="str">
        <f>VLOOKUP(A560,'A IV.A'!$A$14:$M$233,3,FALSE)</f>
        <v>M</v>
      </c>
      <c r="N560" s="631" t="str">
        <f>IF(J560=M560,"sim","nao")</f>
        <v>sim</v>
      </c>
    </row>
    <row r="561" spans="1:14" x14ac:dyDescent="0.2">
      <c r="A561" s="625"/>
      <c r="B561" s="624"/>
      <c r="C561" s="626"/>
      <c r="D561" s="627"/>
      <c r="E561" s="627"/>
      <c r="F561" s="627"/>
      <c r="G561" s="627"/>
      <c r="H561" s="627"/>
      <c r="I561" s="628"/>
      <c r="J561" s="629"/>
      <c r="K561" s="630"/>
      <c r="L561" s="631"/>
      <c r="M561" s="631"/>
      <c r="N561" s="631"/>
    </row>
    <row r="562" spans="1:14" x14ac:dyDescent="0.2">
      <c r="A562" s="139"/>
      <c r="B562" s="140"/>
      <c r="C562" s="141"/>
      <c r="D562" s="142"/>
      <c r="E562" s="142"/>
      <c r="F562" s="142"/>
      <c r="G562" s="142"/>
      <c r="H562" s="142"/>
      <c r="I562" s="143"/>
      <c r="J562" s="144"/>
      <c r="K562" s="132"/>
      <c r="L562" s="133"/>
    </row>
    <row r="563" spans="1:14" x14ac:dyDescent="0.2">
      <c r="A563" s="145"/>
      <c r="B563" s="146"/>
      <c r="C563" s="147"/>
      <c r="D563" s="147"/>
      <c r="E563" s="147"/>
      <c r="F563" s="147"/>
      <c r="G563" s="147"/>
      <c r="H563" s="147"/>
      <c r="I563" s="147"/>
      <c r="J563" s="148"/>
      <c r="K563" s="132"/>
      <c r="L563" s="133"/>
    </row>
    <row r="564" spans="1:14" x14ac:dyDescent="0.2">
      <c r="A564" s="145"/>
      <c r="B564" s="146"/>
      <c r="C564" s="147"/>
      <c r="D564" s="147"/>
      <c r="E564" s="147"/>
      <c r="F564" s="147"/>
      <c r="G564" s="147"/>
      <c r="H564" s="147"/>
      <c r="I564" s="147"/>
      <c r="J564" s="148"/>
      <c r="K564" s="132"/>
      <c r="L564" s="133"/>
    </row>
    <row r="565" spans="1:14" x14ac:dyDescent="0.2">
      <c r="A565" s="145"/>
      <c r="B565" s="146"/>
      <c r="C565" s="147"/>
      <c r="D565" s="147"/>
      <c r="E565" s="147"/>
      <c r="F565" s="147"/>
      <c r="G565" s="147"/>
      <c r="H565" s="147"/>
      <c r="I565" s="147"/>
      <c r="J565" s="148"/>
      <c r="K565" s="132"/>
      <c r="L565" s="133"/>
    </row>
    <row r="566" spans="1:14" x14ac:dyDescent="0.2">
      <c r="A566" s="145"/>
      <c r="B566" s="146"/>
      <c r="C566" s="147"/>
      <c r="D566" s="147"/>
      <c r="E566" s="147"/>
      <c r="F566" s="147"/>
      <c r="G566" s="147"/>
      <c r="H566" s="147"/>
      <c r="I566" s="147"/>
      <c r="J566" s="148"/>
      <c r="K566" s="132"/>
      <c r="L566" s="133"/>
    </row>
    <row r="567" spans="1:14" x14ac:dyDescent="0.2">
      <c r="A567" s="145"/>
      <c r="B567" s="146"/>
      <c r="C567" s="147"/>
      <c r="D567" s="147"/>
      <c r="E567" s="147"/>
      <c r="F567" s="147"/>
      <c r="G567" s="147"/>
      <c r="H567" s="147"/>
      <c r="I567" s="147"/>
      <c r="J567" s="148"/>
      <c r="K567" s="132"/>
      <c r="L567" s="133"/>
    </row>
    <row r="568" spans="1:14" x14ac:dyDescent="0.2">
      <c r="A568" s="145"/>
      <c r="B568" s="146"/>
      <c r="C568" s="147"/>
      <c r="D568" s="147"/>
      <c r="E568" s="147"/>
      <c r="F568" s="147"/>
      <c r="G568" s="147"/>
      <c r="H568" s="147"/>
      <c r="I568" s="147"/>
      <c r="J568" s="148"/>
      <c r="K568" s="132"/>
      <c r="L568" s="133"/>
    </row>
    <row r="569" spans="1:14" x14ac:dyDescent="0.2">
      <c r="A569" s="145"/>
      <c r="B569" s="146"/>
      <c r="C569" s="147"/>
      <c r="D569" s="147"/>
      <c r="E569" s="147"/>
      <c r="F569" s="147"/>
      <c r="G569" s="147"/>
      <c r="H569" s="147"/>
      <c r="I569" s="147"/>
      <c r="J569" s="148"/>
      <c r="K569" s="132"/>
      <c r="L569" s="133"/>
    </row>
    <row r="570" spans="1:14" x14ac:dyDescent="0.2">
      <c r="A570" s="145"/>
      <c r="B570" s="146"/>
      <c r="C570" s="147"/>
      <c r="D570" s="147"/>
      <c r="E570" s="147"/>
      <c r="F570" s="147"/>
      <c r="G570" s="147"/>
      <c r="H570" s="147"/>
      <c r="I570" s="147"/>
      <c r="J570" s="148"/>
      <c r="K570" s="132"/>
      <c r="L570" s="133"/>
    </row>
    <row r="571" spans="1:14" x14ac:dyDescent="0.2">
      <c r="A571" s="145"/>
      <c r="B571" s="146"/>
      <c r="C571" s="147"/>
      <c r="D571" s="147"/>
      <c r="E571" s="147"/>
      <c r="F571" s="147"/>
      <c r="G571" s="147"/>
      <c r="H571" s="147"/>
      <c r="I571" s="147"/>
      <c r="J571" s="148"/>
      <c r="K571" s="132"/>
      <c r="L571" s="133"/>
    </row>
    <row r="572" spans="1:14" x14ac:dyDescent="0.2">
      <c r="A572" s="145"/>
      <c r="B572" s="146"/>
      <c r="C572" s="147"/>
      <c r="D572" s="147"/>
      <c r="E572" s="147"/>
      <c r="F572" s="147"/>
      <c r="G572" s="147"/>
      <c r="H572" s="147"/>
      <c r="I572" s="147"/>
      <c r="J572" s="148"/>
      <c r="K572" s="132"/>
      <c r="L572" s="133"/>
    </row>
    <row r="573" spans="1:14" x14ac:dyDescent="0.2">
      <c r="A573" s="145"/>
      <c r="B573" s="146"/>
      <c r="C573" s="147"/>
      <c r="D573" s="147"/>
      <c r="E573" s="147"/>
      <c r="F573" s="147"/>
      <c r="G573" s="147"/>
      <c r="H573" s="147"/>
      <c r="I573" s="147"/>
      <c r="J573" s="148"/>
      <c r="K573" s="132"/>
      <c r="L573" s="133"/>
    </row>
    <row r="574" spans="1:14" x14ac:dyDescent="0.2">
      <c r="A574" s="145"/>
      <c r="B574" s="146"/>
      <c r="C574" s="147"/>
      <c r="D574" s="147"/>
      <c r="E574" s="147"/>
      <c r="F574" s="147"/>
      <c r="G574" s="147"/>
      <c r="H574" s="147"/>
      <c r="I574" s="147"/>
      <c r="J574" s="148"/>
      <c r="K574" s="132"/>
      <c r="L574" s="133"/>
    </row>
    <row r="575" spans="1:14" x14ac:dyDescent="0.2">
      <c r="A575" s="145"/>
      <c r="B575" s="146"/>
      <c r="C575" s="147"/>
      <c r="D575" s="147"/>
      <c r="E575" s="147"/>
      <c r="F575" s="147"/>
      <c r="G575" s="147"/>
      <c r="H575" s="147"/>
      <c r="I575" s="147"/>
      <c r="J575" s="148"/>
      <c r="K575" s="132"/>
      <c r="L575" s="133"/>
    </row>
    <row r="576" spans="1:14" x14ac:dyDescent="0.2">
      <c r="A576" s="145"/>
      <c r="B576" s="146"/>
      <c r="C576" s="147"/>
      <c r="D576" s="147"/>
      <c r="E576" s="147"/>
      <c r="F576" s="147"/>
      <c r="G576" s="147"/>
      <c r="H576" s="147"/>
      <c r="I576" s="147"/>
      <c r="J576" s="148"/>
      <c r="K576" s="132"/>
      <c r="L576" s="133"/>
    </row>
    <row r="577" spans="1:12" x14ac:dyDescent="0.2">
      <c r="A577" s="145"/>
      <c r="B577" s="146"/>
      <c r="C577" s="147"/>
      <c r="D577" s="147"/>
      <c r="E577" s="147"/>
      <c r="F577" s="147"/>
      <c r="G577" s="147"/>
      <c r="H577" s="147"/>
      <c r="I577" s="147"/>
      <c r="J577" s="148"/>
      <c r="K577" s="132"/>
      <c r="L577" s="133"/>
    </row>
    <row r="578" spans="1:12" x14ac:dyDescent="0.2">
      <c r="A578" s="145"/>
      <c r="B578" s="146"/>
      <c r="C578" s="147"/>
      <c r="D578" s="147"/>
      <c r="E578" s="147"/>
      <c r="F578" s="147"/>
      <c r="G578" s="147"/>
      <c r="H578" s="147"/>
      <c r="I578" s="147"/>
      <c r="J578" s="148"/>
      <c r="K578" s="132"/>
      <c r="L578" s="133"/>
    </row>
    <row r="579" spans="1:12" x14ac:dyDescent="0.2">
      <c r="A579" s="145"/>
      <c r="B579" s="146"/>
      <c r="C579" s="147"/>
      <c r="D579" s="147"/>
      <c r="E579" s="147"/>
      <c r="F579" s="147"/>
      <c r="G579" s="147"/>
      <c r="H579" s="147"/>
      <c r="I579" s="147"/>
      <c r="J579" s="148"/>
      <c r="K579" s="132"/>
      <c r="L579" s="133"/>
    </row>
    <row r="580" spans="1:12" x14ac:dyDescent="0.2">
      <c r="A580" s="145"/>
      <c r="B580" s="146"/>
      <c r="C580" s="147"/>
      <c r="D580" s="147"/>
      <c r="E580" s="147"/>
      <c r="F580" s="147"/>
      <c r="G580" s="147"/>
      <c r="H580" s="147"/>
      <c r="I580" s="147"/>
      <c r="J580" s="148"/>
      <c r="K580" s="132"/>
      <c r="L580" s="133"/>
    </row>
    <row r="581" spans="1:12" ht="13.5" thickBot="1" x14ac:dyDescent="0.25">
      <c r="A581" s="149"/>
      <c r="B581" s="150"/>
      <c r="C581" s="151"/>
      <c r="D581" s="151"/>
      <c r="E581" s="151"/>
      <c r="F581" s="151"/>
      <c r="G581" s="151"/>
      <c r="H581" s="151"/>
      <c r="I581" s="151"/>
      <c r="J581" s="152"/>
      <c r="K581" s="132"/>
      <c r="L581" s="133"/>
    </row>
    <row r="582" spans="1:12" ht="13.5" thickBot="1" x14ac:dyDescent="0.25">
      <c r="A582" s="153"/>
      <c r="B582" s="153"/>
      <c r="C582" s="154"/>
      <c r="D582" s="154"/>
      <c r="E582" s="154"/>
      <c r="F582" s="154"/>
      <c r="G582" s="154"/>
      <c r="H582" s="154"/>
      <c r="I582" s="154"/>
      <c r="J582" s="153"/>
      <c r="K582" s="132"/>
      <c r="L582" s="133"/>
    </row>
    <row r="583" spans="1:12" ht="13.5" thickBot="1" x14ac:dyDescent="0.25">
      <c r="A583" s="614" t="s">
        <v>62</v>
      </c>
      <c r="B583" s="648"/>
      <c r="C583" s="648"/>
      <c r="D583" s="648"/>
      <c r="E583" s="648"/>
      <c r="F583" s="648"/>
      <c r="G583" s="648"/>
      <c r="H583" s="648"/>
      <c r="I583" s="648"/>
      <c r="J583" s="649"/>
      <c r="K583" s="132"/>
      <c r="L583" s="133"/>
    </row>
    <row r="584" spans="1:12" x14ac:dyDescent="0.2">
      <c r="A584" s="136"/>
      <c r="B584" s="155"/>
      <c r="C584" s="156"/>
      <c r="D584" s="156"/>
      <c r="E584" s="156"/>
      <c r="F584" s="156"/>
      <c r="G584" s="156"/>
      <c r="H584" s="156"/>
      <c r="I584" s="156"/>
      <c r="J584" s="157"/>
      <c r="K584" s="132"/>
      <c r="L584" s="133"/>
    </row>
    <row r="585" spans="1:12" ht="12.75" customHeight="1" x14ac:dyDescent="0.2">
      <c r="A585" s="158" t="s">
        <v>63</v>
      </c>
      <c r="B585" s="55"/>
      <c r="C585" s="596" t="s">
        <v>452</v>
      </c>
      <c r="D585" s="596"/>
      <c r="E585" s="596"/>
      <c r="F585" s="596"/>
      <c r="G585" s="596"/>
      <c r="H585" s="596"/>
      <c r="I585" s="596"/>
      <c r="J585" s="597"/>
      <c r="K585" s="132"/>
      <c r="L585" s="133"/>
    </row>
    <row r="586" spans="1:12" x14ac:dyDescent="0.2">
      <c r="A586" s="158"/>
      <c r="B586" s="55"/>
      <c r="C586" s="596"/>
      <c r="D586" s="596"/>
      <c r="E586" s="596"/>
      <c r="F586" s="596"/>
      <c r="G586" s="596"/>
      <c r="H586" s="596"/>
      <c r="I586" s="596"/>
      <c r="J586" s="597"/>
      <c r="K586" s="132"/>
      <c r="L586" s="133"/>
    </row>
    <row r="587" spans="1:12" x14ac:dyDescent="0.2">
      <c r="A587" s="177"/>
      <c r="B587" s="74"/>
      <c r="C587" s="596"/>
      <c r="D587" s="596"/>
      <c r="E587" s="596"/>
      <c r="F587" s="596"/>
      <c r="G587" s="596"/>
      <c r="H587" s="596"/>
      <c r="I587" s="596"/>
      <c r="J587" s="597"/>
      <c r="K587" s="132"/>
      <c r="L587" s="133"/>
    </row>
    <row r="588" spans="1:12" ht="12.75" customHeight="1" x14ac:dyDescent="0.2">
      <c r="J588" s="315"/>
      <c r="K588" s="132"/>
      <c r="L588" s="133"/>
    </row>
    <row r="589" spans="1:12" x14ac:dyDescent="0.2">
      <c r="A589" s="598" t="s">
        <v>64</v>
      </c>
      <c r="B589" s="638"/>
      <c r="C589" s="713" t="s">
        <v>450</v>
      </c>
      <c r="D589" s="713"/>
      <c r="E589" s="713"/>
      <c r="F589" s="713"/>
      <c r="G589" s="713"/>
      <c r="H589" s="713"/>
      <c r="I589" s="713"/>
      <c r="J589" s="714"/>
      <c r="K589" s="132"/>
      <c r="L589" s="133"/>
    </row>
    <row r="590" spans="1:12" ht="12.75" customHeight="1" x14ac:dyDescent="0.2">
      <c r="A590" s="177"/>
      <c r="B590" s="182"/>
      <c r="C590" s="71"/>
      <c r="D590" s="71"/>
      <c r="E590" s="71"/>
      <c r="F590" s="71"/>
      <c r="G590" s="71"/>
      <c r="H590" s="71"/>
      <c r="I590" s="71"/>
      <c r="J590" s="174"/>
      <c r="K590" s="132"/>
      <c r="L590" s="133"/>
    </row>
    <row r="591" spans="1:12" ht="12.75" customHeight="1" x14ac:dyDescent="0.2">
      <c r="A591" s="192" t="s">
        <v>65</v>
      </c>
      <c r="B591" s="171"/>
      <c r="C591" s="662" t="s">
        <v>829</v>
      </c>
      <c r="D591" s="662"/>
      <c r="E591" s="662"/>
      <c r="F591" s="662"/>
      <c r="G591" s="662"/>
      <c r="H591" s="662"/>
      <c r="I591" s="662"/>
      <c r="J591" s="663"/>
      <c r="K591" s="132"/>
      <c r="L591" s="133"/>
    </row>
    <row r="592" spans="1:12" ht="12.75" customHeight="1" x14ac:dyDescent="0.2">
      <c r="A592" s="177"/>
      <c r="B592" s="74"/>
      <c r="C592" s="652" t="s">
        <v>943</v>
      </c>
      <c r="D592" s="652"/>
      <c r="E592" s="652"/>
      <c r="F592" s="652"/>
      <c r="G592" s="652"/>
      <c r="H592" s="652"/>
      <c r="I592" s="652"/>
      <c r="J592" s="653"/>
      <c r="K592" s="132"/>
      <c r="L592" s="133"/>
    </row>
    <row r="593" spans="1:12" x14ac:dyDescent="0.2">
      <c r="A593" s="177"/>
      <c r="B593" s="182"/>
      <c r="C593" s="652"/>
      <c r="D593" s="652"/>
      <c r="E593" s="652"/>
      <c r="F593" s="652"/>
      <c r="G593" s="652"/>
      <c r="H593" s="652"/>
      <c r="I593" s="652"/>
      <c r="J593" s="653"/>
      <c r="K593" s="132"/>
      <c r="L593" s="133"/>
    </row>
    <row r="594" spans="1:12" x14ac:dyDescent="0.2">
      <c r="A594" s="177"/>
      <c r="B594" s="74"/>
      <c r="C594" s="71"/>
      <c r="D594" s="71"/>
      <c r="E594" s="71"/>
      <c r="F594" s="71"/>
      <c r="G594" s="71"/>
      <c r="H594" s="71"/>
      <c r="I594" s="71"/>
      <c r="J594" s="174"/>
      <c r="K594" s="132"/>
      <c r="L594" s="133"/>
    </row>
    <row r="595" spans="1:12" x14ac:dyDescent="0.2">
      <c r="A595" s="158"/>
      <c r="B595" s="55"/>
      <c r="C595" s="71"/>
      <c r="D595" s="71"/>
      <c r="E595" s="71"/>
      <c r="F595" s="71"/>
      <c r="G595" s="71"/>
      <c r="H595" s="71"/>
      <c r="I595" s="71"/>
      <c r="J595" s="174"/>
      <c r="K595" s="132"/>
      <c r="L595" s="133"/>
    </row>
    <row r="596" spans="1:12" x14ac:dyDescent="0.2">
      <c r="A596" s="158"/>
      <c r="B596" s="55"/>
      <c r="C596" s="71"/>
      <c r="D596" s="71"/>
      <c r="E596" s="71"/>
      <c r="F596" s="71"/>
      <c r="G596" s="71"/>
      <c r="H596" s="71"/>
      <c r="I596" s="71"/>
      <c r="J596" s="174"/>
      <c r="K596" s="132"/>
      <c r="L596" s="133"/>
    </row>
    <row r="597" spans="1:12" x14ac:dyDescent="0.2">
      <c r="A597" s="158"/>
      <c r="B597" s="55"/>
      <c r="C597" s="71"/>
      <c r="D597" s="71"/>
      <c r="E597" s="71"/>
      <c r="F597" s="71"/>
      <c r="G597" s="71"/>
      <c r="H597" s="71"/>
      <c r="I597" s="71"/>
      <c r="J597" s="174"/>
      <c r="K597" s="132"/>
      <c r="L597" s="133"/>
    </row>
    <row r="598" spans="1:12" x14ac:dyDescent="0.2">
      <c r="A598" s="158"/>
      <c r="B598" s="55"/>
      <c r="C598" s="71"/>
      <c r="D598" s="71"/>
      <c r="E598" s="71"/>
      <c r="F598" s="71"/>
      <c r="G598" s="71"/>
      <c r="H598" s="71"/>
      <c r="I598" s="71"/>
      <c r="J598" s="174"/>
      <c r="K598" s="132"/>
      <c r="L598" s="133"/>
    </row>
    <row r="599" spans="1:12" x14ac:dyDescent="0.2">
      <c r="A599" s="158"/>
      <c r="B599" s="55"/>
      <c r="C599" s="71"/>
      <c r="D599" s="71"/>
      <c r="E599" s="71"/>
      <c r="F599" s="71"/>
      <c r="G599" s="71"/>
      <c r="H599" s="71"/>
      <c r="I599" s="71"/>
      <c r="J599" s="174"/>
      <c r="K599" s="132"/>
      <c r="L599" s="133"/>
    </row>
    <row r="600" spans="1:12" x14ac:dyDescent="0.2">
      <c r="A600" s="158"/>
      <c r="B600" s="55"/>
      <c r="C600" s="71"/>
      <c r="D600" s="71"/>
      <c r="E600" s="71"/>
      <c r="F600" s="71"/>
      <c r="G600" s="71"/>
      <c r="H600" s="71"/>
      <c r="I600" s="71"/>
      <c r="J600" s="174"/>
      <c r="K600" s="132"/>
      <c r="L600" s="133"/>
    </row>
    <row r="601" spans="1:12" x14ac:dyDescent="0.2">
      <c r="A601" s="158"/>
      <c r="B601" s="55"/>
      <c r="C601" s="71"/>
      <c r="D601" s="71"/>
      <c r="E601" s="71"/>
      <c r="F601" s="71"/>
      <c r="G601" s="71"/>
      <c r="H601" s="71"/>
      <c r="I601" s="71"/>
      <c r="J601" s="174"/>
      <c r="K601" s="132"/>
      <c r="L601" s="133"/>
    </row>
    <row r="602" spans="1:12" x14ac:dyDescent="0.2">
      <c r="A602" s="158"/>
      <c r="B602" s="55"/>
      <c r="C602" s="71"/>
      <c r="D602" s="71"/>
      <c r="E602" s="71"/>
      <c r="F602" s="71"/>
      <c r="G602" s="71"/>
      <c r="H602" s="71"/>
      <c r="I602" s="71"/>
      <c r="J602" s="174"/>
      <c r="K602" s="132"/>
      <c r="L602" s="133"/>
    </row>
    <row r="603" spans="1:12" x14ac:dyDescent="0.2">
      <c r="A603" s="158"/>
      <c r="B603" s="55"/>
      <c r="C603" s="71"/>
      <c r="D603" s="71"/>
      <c r="E603" s="71"/>
      <c r="F603" s="71"/>
      <c r="G603" s="71"/>
      <c r="H603" s="71"/>
      <c r="I603" s="71"/>
      <c r="J603" s="174"/>
      <c r="K603" s="132"/>
      <c r="L603" s="133"/>
    </row>
    <row r="604" spans="1:12" x14ac:dyDescent="0.2">
      <c r="A604" s="158"/>
      <c r="B604" s="55"/>
      <c r="C604" s="71"/>
      <c r="D604" s="71"/>
      <c r="E604" s="71"/>
      <c r="F604" s="71"/>
      <c r="G604" s="71"/>
      <c r="H604" s="71"/>
      <c r="I604" s="71"/>
      <c r="J604" s="174"/>
      <c r="K604" s="132"/>
      <c r="L604" s="133"/>
    </row>
    <row r="605" spans="1:12" x14ac:dyDescent="0.2">
      <c r="A605" s="158"/>
      <c r="B605" s="55"/>
      <c r="C605" s="71"/>
      <c r="D605" s="71"/>
      <c r="E605" s="71"/>
      <c r="F605" s="71"/>
      <c r="G605" s="71"/>
      <c r="H605" s="71"/>
      <c r="I605" s="71"/>
      <c r="J605" s="174"/>
      <c r="K605" s="132"/>
      <c r="L605" s="133"/>
    </row>
    <row r="606" spans="1:12" x14ac:dyDescent="0.2">
      <c r="A606" s="158"/>
      <c r="B606" s="55"/>
      <c r="C606" s="71"/>
      <c r="D606" s="71"/>
      <c r="E606" s="71"/>
      <c r="F606" s="71"/>
      <c r="G606" s="71"/>
      <c r="H606" s="71"/>
      <c r="I606" s="71"/>
      <c r="J606" s="174"/>
      <c r="K606" s="132"/>
      <c r="L606" s="133"/>
    </row>
    <row r="607" spans="1:12" x14ac:dyDescent="0.2">
      <c r="A607" s="158"/>
      <c r="B607" s="55"/>
      <c r="C607" s="175"/>
      <c r="D607" s="175"/>
      <c r="E607" s="172"/>
      <c r="F607" s="172"/>
      <c r="G607" s="172"/>
      <c r="H607" s="172"/>
      <c r="I607" s="172"/>
      <c r="J607" s="173"/>
      <c r="K607" s="132"/>
      <c r="L607" s="133"/>
    </row>
    <row r="608" spans="1:12" ht="13.5" thickBot="1" x14ac:dyDescent="0.25">
      <c r="A608" s="183"/>
      <c r="B608" s="184"/>
      <c r="C608" s="185"/>
      <c r="D608" s="185"/>
      <c r="E608" s="186"/>
      <c r="F608" s="186"/>
      <c r="G608" s="186"/>
      <c r="H608" s="186"/>
      <c r="I608" s="186"/>
      <c r="J608" s="187"/>
      <c r="K608" s="132"/>
      <c r="L608" s="133"/>
    </row>
    <row r="609" spans="1:14" ht="15.75" x14ac:dyDescent="0.2">
      <c r="A609" s="602" t="s">
        <v>4</v>
      </c>
      <c r="B609" s="603"/>
      <c r="C609" s="603" t="str">
        <f>'A IV.A'!$B$22</f>
        <v>SERVIÇOS INICIAIS</v>
      </c>
      <c r="D609" s="603"/>
      <c r="E609" s="603"/>
      <c r="F609" s="603"/>
      <c r="G609" s="603"/>
      <c r="H609" s="603"/>
      <c r="I609" s="603"/>
      <c r="J609" s="604"/>
      <c r="K609" s="132"/>
      <c r="L609" s="133"/>
    </row>
    <row r="610" spans="1:14" x14ac:dyDescent="0.2">
      <c r="A610" s="609" t="str">
        <f>'A IV.A'!$A$22</f>
        <v>2.0</v>
      </c>
      <c r="B610" s="610"/>
      <c r="C610" s="605"/>
      <c r="D610" s="605"/>
      <c r="E610" s="605"/>
      <c r="F610" s="605"/>
      <c r="G610" s="605"/>
      <c r="H610" s="605"/>
      <c r="I610" s="605"/>
      <c r="J610" s="606"/>
      <c r="K610" s="132"/>
      <c r="L610" s="133"/>
    </row>
    <row r="611" spans="1:14" ht="13.5" thickBot="1" x14ac:dyDescent="0.25">
      <c r="A611" s="611"/>
      <c r="B611" s="612"/>
      <c r="C611" s="607"/>
      <c r="D611" s="607"/>
      <c r="E611" s="607"/>
      <c r="F611" s="607"/>
      <c r="G611" s="607"/>
      <c r="H611" s="607"/>
      <c r="I611" s="607"/>
      <c r="J611" s="608"/>
      <c r="K611" s="132"/>
      <c r="L611" s="133"/>
    </row>
    <row r="612" spans="1:14" ht="13.5" thickBot="1" x14ac:dyDescent="0.25">
      <c r="A612" s="169"/>
      <c r="B612" s="169"/>
      <c r="C612" s="613"/>
      <c r="D612" s="613"/>
      <c r="E612" s="613"/>
      <c r="F612" s="613"/>
      <c r="G612" s="613"/>
      <c r="H612" s="613"/>
      <c r="I612" s="613"/>
      <c r="J612" s="169"/>
      <c r="K612" s="132"/>
      <c r="L612" s="133"/>
    </row>
    <row r="613" spans="1:14" ht="13.5" thickBot="1" x14ac:dyDescent="0.25">
      <c r="A613" s="632" t="s">
        <v>60</v>
      </c>
      <c r="B613" s="633"/>
      <c r="C613" s="656" t="s">
        <v>61</v>
      </c>
      <c r="D613" s="656"/>
      <c r="E613" s="656"/>
      <c r="F613" s="656"/>
      <c r="G613" s="656"/>
      <c r="H613" s="656"/>
      <c r="I613" s="656"/>
      <c r="J613" s="260" t="s">
        <v>0</v>
      </c>
      <c r="K613" s="132"/>
      <c r="L613" s="133"/>
    </row>
    <row r="614" spans="1:14" x14ac:dyDescent="0.2">
      <c r="A614" s="136"/>
      <c r="B614" s="137"/>
      <c r="C614" s="619"/>
      <c r="D614" s="620"/>
      <c r="E614" s="621"/>
      <c r="F614" s="621"/>
      <c r="G614" s="621"/>
      <c r="H614" s="621"/>
      <c r="I614" s="622"/>
      <c r="J614" s="138"/>
      <c r="K614" s="132"/>
      <c r="L614" s="133"/>
    </row>
    <row r="615" spans="1:14" x14ac:dyDescent="0.2">
      <c r="A615" s="625" t="str">
        <f>'A IV.A'!$A$31</f>
        <v>2.1.7</v>
      </c>
      <c r="B615" s="624"/>
      <c r="C615" s="626" t="str">
        <f>'A IV.A'!$B$31</f>
        <v>REMOÇÃO COMPLETA DE CERCA DE ALAMBRADO COM OU SEM REAPROVEITAMENTO</v>
      </c>
      <c r="D615" s="627"/>
      <c r="E615" s="627"/>
      <c r="F615" s="627"/>
      <c r="G615" s="627"/>
      <c r="H615" s="627"/>
      <c r="I615" s="628"/>
      <c r="J615" s="629" t="str">
        <f>'A IV.A'!$C$31</f>
        <v>M</v>
      </c>
      <c r="K615" s="630" t="str">
        <f>VLOOKUP(A615,'A IV.A'!$A$14:$M$233,2,FALSE)</f>
        <v>REMOÇÃO COMPLETA DE CERCA DE ALAMBRADO COM OU SEM REAPROVEITAMENTO</v>
      </c>
      <c r="L615" s="631" t="str">
        <f>IF(C615=K615,"sim","nao")</f>
        <v>sim</v>
      </c>
      <c r="M615" s="631" t="str">
        <f>VLOOKUP(A615,'A IV.A'!$A$14:$M$233,3,FALSE)</f>
        <v>M</v>
      </c>
      <c r="N615" s="631" t="str">
        <f>IF(J615=M615,"sim","nao")</f>
        <v>sim</v>
      </c>
    </row>
    <row r="616" spans="1:14" x14ac:dyDescent="0.2">
      <c r="A616" s="625"/>
      <c r="B616" s="624"/>
      <c r="C616" s="626"/>
      <c r="D616" s="627"/>
      <c r="E616" s="627"/>
      <c r="F616" s="627"/>
      <c r="G616" s="627"/>
      <c r="H616" s="627"/>
      <c r="I616" s="628"/>
      <c r="J616" s="629"/>
      <c r="K616" s="630"/>
      <c r="L616" s="631"/>
      <c r="M616" s="631"/>
      <c r="N616" s="631"/>
    </row>
    <row r="617" spans="1:14" x14ac:dyDescent="0.2">
      <c r="A617" s="139"/>
      <c r="B617" s="140"/>
      <c r="C617" s="141"/>
      <c r="D617" s="142"/>
      <c r="E617" s="142"/>
      <c r="F617" s="142"/>
      <c r="G617" s="142"/>
      <c r="H617" s="142"/>
      <c r="I617" s="143"/>
      <c r="J617" s="144"/>
      <c r="K617" s="132"/>
      <c r="L617" s="133"/>
    </row>
    <row r="618" spans="1:14" x14ac:dyDescent="0.2">
      <c r="A618" s="145"/>
      <c r="B618" s="146"/>
      <c r="C618" s="147"/>
      <c r="D618" s="147"/>
      <c r="E618" s="147"/>
      <c r="F618" s="147"/>
      <c r="G618" s="147"/>
      <c r="H618" s="147"/>
      <c r="I618" s="147"/>
      <c r="J618" s="148"/>
      <c r="K618" s="132"/>
      <c r="L618" s="133"/>
    </row>
    <row r="619" spans="1:14" x14ac:dyDescent="0.2">
      <c r="A619" s="145"/>
      <c r="B619" s="146"/>
      <c r="C619" s="147"/>
      <c r="D619" s="147"/>
      <c r="E619" s="147"/>
      <c r="F619" s="147"/>
      <c r="G619" s="147"/>
      <c r="H619" s="147"/>
      <c r="I619" s="147"/>
      <c r="J619" s="148"/>
      <c r="K619" s="132"/>
      <c r="L619" s="133"/>
    </row>
    <row r="620" spans="1:14" x14ac:dyDescent="0.2">
      <c r="A620" s="145"/>
      <c r="B620" s="146"/>
      <c r="C620" s="147"/>
      <c r="D620" s="147"/>
      <c r="E620" s="147"/>
      <c r="F620" s="147"/>
      <c r="G620" s="147"/>
      <c r="H620" s="147"/>
      <c r="I620" s="147"/>
      <c r="J620" s="148"/>
      <c r="K620" s="132"/>
      <c r="L620" s="133"/>
    </row>
    <row r="621" spans="1:14" x14ac:dyDescent="0.2">
      <c r="A621" s="145"/>
      <c r="B621" s="146"/>
      <c r="C621" s="147"/>
      <c r="D621" s="147"/>
      <c r="E621" s="147"/>
      <c r="F621" s="147"/>
      <c r="G621" s="147"/>
      <c r="H621" s="147"/>
      <c r="I621" s="147"/>
      <c r="J621" s="148"/>
      <c r="K621" s="132"/>
      <c r="L621" s="133"/>
    </row>
    <row r="622" spans="1:14" x14ac:dyDescent="0.2">
      <c r="A622" s="145"/>
      <c r="B622" s="146"/>
      <c r="C622" s="147"/>
      <c r="D622" s="147"/>
      <c r="E622" s="147"/>
      <c r="F622" s="147"/>
      <c r="G622" s="147"/>
      <c r="H622" s="147"/>
      <c r="I622" s="147"/>
      <c r="J622" s="148"/>
      <c r="K622" s="132"/>
      <c r="L622" s="133"/>
    </row>
    <row r="623" spans="1:14" x14ac:dyDescent="0.2">
      <c r="A623" s="145"/>
      <c r="B623" s="146"/>
      <c r="C623" s="147"/>
      <c r="D623" s="147"/>
      <c r="E623" s="147"/>
      <c r="F623" s="147"/>
      <c r="G623" s="147"/>
      <c r="H623" s="147"/>
      <c r="I623" s="147"/>
      <c r="J623" s="148"/>
      <c r="K623" s="132"/>
      <c r="L623" s="133"/>
    </row>
    <row r="624" spans="1:14" x14ac:dyDescent="0.2">
      <c r="A624" s="145"/>
      <c r="B624" s="146"/>
      <c r="C624" s="147"/>
      <c r="D624" s="147"/>
      <c r="E624" s="147"/>
      <c r="F624" s="147"/>
      <c r="G624" s="147"/>
      <c r="H624" s="147"/>
      <c r="I624" s="147"/>
      <c r="J624" s="148"/>
      <c r="K624" s="132"/>
      <c r="L624" s="133"/>
    </row>
    <row r="625" spans="1:12" x14ac:dyDescent="0.2">
      <c r="A625" s="145"/>
      <c r="B625" s="146"/>
      <c r="C625" s="147"/>
      <c r="D625" s="147"/>
      <c r="E625" s="147"/>
      <c r="F625" s="147"/>
      <c r="G625" s="147"/>
      <c r="H625" s="147"/>
      <c r="I625" s="147"/>
      <c r="J625" s="148"/>
      <c r="K625" s="132"/>
      <c r="L625" s="133"/>
    </row>
    <row r="626" spans="1:12" x14ac:dyDescent="0.2">
      <c r="A626" s="145"/>
      <c r="B626" s="146"/>
      <c r="C626" s="147"/>
      <c r="D626" s="147"/>
      <c r="E626" s="147"/>
      <c r="F626" s="147"/>
      <c r="G626" s="147"/>
      <c r="H626" s="147"/>
      <c r="I626" s="147"/>
      <c r="J626" s="148"/>
      <c r="K626" s="132"/>
      <c r="L626" s="133"/>
    </row>
    <row r="627" spans="1:12" x14ac:dyDescent="0.2">
      <c r="A627" s="145"/>
      <c r="B627" s="146"/>
      <c r="C627" s="147"/>
      <c r="D627" s="147"/>
      <c r="E627" s="147"/>
      <c r="F627" s="147"/>
      <c r="G627" s="147"/>
      <c r="H627" s="147"/>
      <c r="I627" s="147"/>
      <c r="J627" s="148"/>
      <c r="K627" s="132"/>
      <c r="L627" s="133"/>
    </row>
    <row r="628" spans="1:12" x14ac:dyDescent="0.2">
      <c r="A628" s="145"/>
      <c r="B628" s="146"/>
      <c r="C628" s="147"/>
      <c r="D628" s="147"/>
      <c r="E628" s="147"/>
      <c r="F628" s="147"/>
      <c r="G628" s="147"/>
      <c r="H628" s="147"/>
      <c r="I628" s="147"/>
      <c r="J628" s="148"/>
      <c r="K628" s="132"/>
      <c r="L628" s="133"/>
    </row>
    <row r="629" spans="1:12" x14ac:dyDescent="0.2">
      <c r="A629" s="145"/>
      <c r="B629" s="146"/>
      <c r="C629" s="147"/>
      <c r="D629" s="147"/>
      <c r="E629" s="147"/>
      <c r="F629" s="147"/>
      <c r="G629" s="147"/>
      <c r="H629" s="147"/>
      <c r="I629" s="147"/>
      <c r="J629" s="148"/>
      <c r="K629" s="132"/>
      <c r="L629" s="133"/>
    </row>
    <row r="630" spans="1:12" x14ac:dyDescent="0.2">
      <c r="A630" s="145"/>
      <c r="B630" s="146"/>
      <c r="C630" s="147"/>
      <c r="D630" s="147"/>
      <c r="E630" s="147"/>
      <c r="F630" s="147"/>
      <c r="G630" s="147"/>
      <c r="H630" s="147"/>
      <c r="I630" s="147"/>
      <c r="J630" s="148"/>
      <c r="K630" s="132"/>
      <c r="L630" s="133"/>
    </row>
    <row r="631" spans="1:12" x14ac:dyDescent="0.2">
      <c r="A631" s="145"/>
      <c r="B631" s="146"/>
      <c r="C631" s="147"/>
      <c r="D631" s="147"/>
      <c r="E631" s="147"/>
      <c r="F631" s="147"/>
      <c r="G631" s="147"/>
      <c r="H631" s="147"/>
      <c r="I631" s="147"/>
      <c r="J631" s="148"/>
      <c r="K631" s="132"/>
      <c r="L631" s="133"/>
    </row>
    <row r="632" spans="1:12" x14ac:dyDescent="0.2">
      <c r="A632" s="145"/>
      <c r="B632" s="146"/>
      <c r="C632" s="147"/>
      <c r="D632" s="147"/>
      <c r="E632" s="147"/>
      <c r="F632" s="147"/>
      <c r="G632" s="147"/>
      <c r="H632" s="147"/>
      <c r="I632" s="147"/>
      <c r="J632" s="148"/>
      <c r="K632" s="132"/>
      <c r="L632" s="133"/>
    </row>
    <row r="633" spans="1:12" x14ac:dyDescent="0.2">
      <c r="A633" s="145"/>
      <c r="B633" s="146"/>
      <c r="C633" s="147"/>
      <c r="D633" s="147"/>
      <c r="E633" s="147"/>
      <c r="F633" s="147"/>
      <c r="G633" s="147"/>
      <c r="H633" s="147"/>
      <c r="I633" s="147"/>
      <c r="J633" s="148"/>
      <c r="K633" s="132"/>
      <c r="L633" s="133"/>
    </row>
    <row r="634" spans="1:12" x14ac:dyDescent="0.2">
      <c r="A634" s="145"/>
      <c r="B634" s="146"/>
      <c r="C634" s="147"/>
      <c r="D634" s="147"/>
      <c r="E634" s="147"/>
      <c r="F634" s="147"/>
      <c r="G634" s="147"/>
      <c r="H634" s="147"/>
      <c r="I634" s="147"/>
      <c r="J634" s="148"/>
      <c r="K634" s="132"/>
      <c r="L634" s="133"/>
    </row>
    <row r="635" spans="1:12" x14ac:dyDescent="0.2">
      <c r="A635" s="145"/>
      <c r="B635" s="146"/>
      <c r="C635" s="147"/>
      <c r="D635" s="147"/>
      <c r="E635" s="147"/>
      <c r="F635" s="147"/>
      <c r="G635" s="147"/>
      <c r="H635" s="147"/>
      <c r="I635" s="147"/>
      <c r="J635" s="148"/>
      <c r="K635" s="132"/>
      <c r="L635" s="133"/>
    </row>
    <row r="636" spans="1:12" ht="13.5" thickBot="1" x14ac:dyDescent="0.25">
      <c r="A636" s="149"/>
      <c r="B636" s="150"/>
      <c r="C636" s="151"/>
      <c r="D636" s="151"/>
      <c r="E636" s="151"/>
      <c r="F636" s="151"/>
      <c r="G636" s="151"/>
      <c r="H636" s="151"/>
      <c r="I636" s="151"/>
      <c r="J636" s="152"/>
      <c r="K636" s="132"/>
      <c r="L636" s="133"/>
    </row>
    <row r="637" spans="1:12" ht="13.5" thickBot="1" x14ac:dyDescent="0.25">
      <c r="A637" s="153"/>
      <c r="B637" s="153"/>
      <c r="C637" s="154"/>
      <c r="D637" s="154"/>
      <c r="E637" s="154"/>
      <c r="F637" s="154"/>
      <c r="G637" s="154"/>
      <c r="H637" s="154"/>
      <c r="I637" s="154"/>
      <c r="J637" s="153"/>
      <c r="K637" s="132"/>
      <c r="L637" s="133"/>
    </row>
    <row r="638" spans="1:12" ht="13.5" thickBot="1" x14ac:dyDescent="0.25">
      <c r="A638" s="614" t="s">
        <v>62</v>
      </c>
      <c r="B638" s="648"/>
      <c r="C638" s="648"/>
      <c r="D638" s="648"/>
      <c r="E638" s="648"/>
      <c r="F638" s="648"/>
      <c r="G638" s="648"/>
      <c r="H638" s="648"/>
      <c r="I638" s="648"/>
      <c r="J638" s="649"/>
      <c r="K638" s="132"/>
      <c r="L638" s="133"/>
    </row>
    <row r="639" spans="1:12" x14ac:dyDescent="0.2">
      <c r="A639" s="136"/>
      <c r="B639" s="155"/>
      <c r="C639" s="156"/>
      <c r="D639" s="156"/>
      <c r="E639" s="156"/>
      <c r="F639" s="156"/>
      <c r="G639" s="156"/>
      <c r="H639" s="156"/>
      <c r="I639" s="156"/>
      <c r="J639" s="157"/>
      <c r="K639" s="132"/>
      <c r="L639" s="133"/>
    </row>
    <row r="640" spans="1:12" ht="12.75" customHeight="1" x14ac:dyDescent="0.2">
      <c r="A640" s="158" t="s">
        <v>63</v>
      </c>
      <c r="B640" s="55"/>
      <c r="C640" s="596" t="s">
        <v>451</v>
      </c>
      <c r="D640" s="596"/>
      <c r="E640" s="596"/>
      <c r="F640" s="596"/>
      <c r="G640" s="596"/>
      <c r="H640" s="596"/>
      <c r="I640" s="596"/>
      <c r="J640" s="597"/>
      <c r="K640" s="132"/>
      <c r="L640" s="133"/>
    </row>
    <row r="641" spans="1:12" x14ac:dyDescent="0.2">
      <c r="A641" s="158"/>
      <c r="B641" s="55"/>
      <c r="C641" s="596"/>
      <c r="D641" s="596"/>
      <c r="E641" s="596"/>
      <c r="F641" s="596"/>
      <c r="G641" s="596"/>
      <c r="H641" s="596"/>
      <c r="I641" s="596"/>
      <c r="J641" s="597"/>
      <c r="K641" s="132"/>
      <c r="L641" s="133"/>
    </row>
    <row r="642" spans="1:12" x14ac:dyDescent="0.2">
      <c r="A642" s="177"/>
      <c r="B642" s="74"/>
      <c r="C642" s="175"/>
      <c r="D642" s="175"/>
      <c r="E642" s="175"/>
      <c r="F642" s="175"/>
      <c r="G642" s="175"/>
      <c r="H642" s="175"/>
      <c r="I642" s="175"/>
      <c r="J642" s="176"/>
      <c r="K642" s="132"/>
      <c r="L642" s="133"/>
    </row>
    <row r="643" spans="1:12" x14ac:dyDescent="0.2">
      <c r="A643" s="598" t="s">
        <v>64</v>
      </c>
      <c r="B643" s="638"/>
      <c r="C643" s="713" t="s">
        <v>449</v>
      </c>
      <c r="D643" s="713"/>
      <c r="E643" s="713"/>
      <c r="F643" s="713"/>
      <c r="G643" s="713"/>
      <c r="H643" s="713"/>
      <c r="I643" s="713"/>
      <c r="J643" s="714"/>
      <c r="K643" s="132"/>
      <c r="L643" s="133"/>
    </row>
    <row r="644" spans="1:12" x14ac:dyDescent="0.2">
      <c r="A644" s="177"/>
      <c r="B644" s="74"/>
      <c r="C644" s="178"/>
      <c r="D644" s="178"/>
      <c r="E644" s="178"/>
      <c r="F644" s="178"/>
      <c r="G644" s="178"/>
      <c r="H644" s="178"/>
      <c r="I644" s="178"/>
      <c r="J644" s="179"/>
      <c r="K644" s="132"/>
      <c r="L644" s="133"/>
    </row>
    <row r="645" spans="1:12" ht="12.75" customHeight="1" x14ac:dyDescent="0.2">
      <c r="A645" s="177" t="s">
        <v>65</v>
      </c>
      <c r="B645" s="182"/>
      <c r="C645" s="662" t="s">
        <v>829</v>
      </c>
      <c r="D645" s="662"/>
      <c r="E645" s="662"/>
      <c r="F645" s="662"/>
      <c r="G645" s="662"/>
      <c r="H645" s="662"/>
      <c r="I645" s="662"/>
      <c r="J645" s="663"/>
      <c r="K645" s="132"/>
      <c r="L645" s="133"/>
    </row>
    <row r="646" spans="1:12" x14ac:dyDescent="0.2">
      <c r="A646" s="177"/>
      <c r="B646" s="74"/>
      <c r="C646" s="652" t="s">
        <v>943</v>
      </c>
      <c r="D646" s="652"/>
      <c r="E646" s="652"/>
      <c r="F646" s="652"/>
      <c r="G646" s="652"/>
      <c r="H646" s="652"/>
      <c r="I646" s="652"/>
      <c r="J646" s="653"/>
      <c r="K646" s="132"/>
      <c r="L646" s="133"/>
    </row>
    <row r="647" spans="1:12" ht="12.75" customHeight="1" x14ac:dyDescent="0.2">
      <c r="A647" s="177"/>
      <c r="B647" s="74"/>
      <c r="C647" s="652"/>
      <c r="D647" s="652"/>
      <c r="E647" s="652"/>
      <c r="F647" s="652"/>
      <c r="G647" s="652"/>
      <c r="H647" s="652"/>
      <c r="I647" s="652"/>
      <c r="J647" s="653"/>
      <c r="K647" s="132"/>
      <c r="L647" s="133"/>
    </row>
    <row r="648" spans="1:12" x14ac:dyDescent="0.2">
      <c r="A648" s="177"/>
      <c r="B648" s="2"/>
      <c r="C648" s="159"/>
      <c r="D648" s="159"/>
      <c r="E648" s="159"/>
      <c r="F648" s="159"/>
      <c r="G648" s="159"/>
      <c r="H648" s="159"/>
      <c r="I648" s="159"/>
      <c r="J648" s="160"/>
      <c r="K648" s="132"/>
      <c r="L648" s="133"/>
    </row>
    <row r="649" spans="1:12" x14ac:dyDescent="0.2">
      <c r="A649" s="158"/>
      <c r="B649" s="55"/>
      <c r="C649" s="71"/>
      <c r="D649" s="71"/>
      <c r="E649" s="71"/>
      <c r="F649" s="71"/>
      <c r="G649" s="71"/>
      <c r="H649" s="71"/>
      <c r="I649" s="71"/>
      <c r="J649" s="174"/>
      <c r="K649" s="132"/>
      <c r="L649" s="133"/>
    </row>
    <row r="650" spans="1:12" x14ac:dyDescent="0.2">
      <c r="A650" s="158"/>
      <c r="B650" s="55"/>
      <c r="C650" s="71"/>
      <c r="D650" s="71"/>
      <c r="E650" s="71"/>
      <c r="F650" s="71"/>
      <c r="G650" s="71"/>
      <c r="H650" s="71"/>
      <c r="I650" s="71"/>
      <c r="J650" s="174"/>
      <c r="K650" s="132"/>
      <c r="L650" s="133"/>
    </row>
    <row r="651" spans="1:12" x14ac:dyDescent="0.2">
      <c r="A651" s="158"/>
      <c r="B651" s="55"/>
      <c r="C651" s="71"/>
      <c r="D651" s="71"/>
      <c r="E651" s="71"/>
      <c r="F651" s="71"/>
      <c r="G651" s="71"/>
      <c r="H651" s="71"/>
      <c r="I651" s="71"/>
      <c r="J651" s="174"/>
      <c r="K651" s="132"/>
      <c r="L651" s="133"/>
    </row>
    <row r="652" spans="1:12" x14ac:dyDescent="0.2">
      <c r="A652" s="158"/>
      <c r="B652" s="55"/>
      <c r="C652" s="71"/>
      <c r="D652" s="71"/>
      <c r="E652" s="71"/>
      <c r="F652" s="71"/>
      <c r="G652" s="71"/>
      <c r="H652" s="71"/>
      <c r="I652" s="71"/>
      <c r="J652" s="174"/>
      <c r="K652" s="132"/>
      <c r="L652" s="133"/>
    </row>
    <row r="653" spans="1:12" x14ac:dyDescent="0.2">
      <c r="A653" s="158"/>
      <c r="B653" s="55"/>
      <c r="C653" s="71"/>
      <c r="D653" s="71"/>
      <c r="E653" s="71"/>
      <c r="F653" s="71"/>
      <c r="G653" s="71"/>
      <c r="H653" s="71"/>
      <c r="I653" s="71"/>
      <c r="J653" s="174"/>
      <c r="K653" s="132"/>
      <c r="L653" s="133"/>
    </row>
    <row r="654" spans="1:12" x14ac:dyDescent="0.2">
      <c r="A654" s="158"/>
      <c r="B654" s="55"/>
      <c r="C654" s="71"/>
      <c r="D654" s="71"/>
      <c r="E654" s="71"/>
      <c r="F654" s="71"/>
      <c r="G654" s="71"/>
      <c r="H654" s="71"/>
      <c r="I654" s="71"/>
      <c r="J654" s="174"/>
      <c r="K654" s="132"/>
      <c r="L654" s="133"/>
    </row>
    <row r="655" spans="1:12" x14ac:dyDescent="0.2">
      <c r="A655" s="158"/>
      <c r="B655" s="55"/>
      <c r="C655" s="71"/>
      <c r="D655" s="71"/>
      <c r="E655" s="71"/>
      <c r="F655" s="71"/>
      <c r="G655" s="71"/>
      <c r="H655" s="71"/>
      <c r="I655" s="71"/>
      <c r="J655" s="174"/>
      <c r="K655" s="132"/>
      <c r="L655" s="133"/>
    </row>
    <row r="656" spans="1:12" x14ac:dyDescent="0.2">
      <c r="A656" s="158"/>
      <c r="B656" s="55"/>
      <c r="C656" s="71"/>
      <c r="D656" s="71"/>
      <c r="E656" s="71"/>
      <c r="F656" s="71"/>
      <c r="G656" s="71"/>
      <c r="H656" s="71"/>
      <c r="I656" s="71"/>
      <c r="J656" s="174"/>
      <c r="K656" s="132"/>
      <c r="L656" s="133"/>
    </row>
    <row r="657" spans="1:14" x14ac:dyDescent="0.2">
      <c r="A657" s="158"/>
      <c r="B657" s="55"/>
      <c r="C657" s="71"/>
      <c r="D657" s="71"/>
      <c r="E657" s="71"/>
      <c r="F657" s="71"/>
      <c r="G657" s="71"/>
      <c r="H657" s="71"/>
      <c r="I657" s="71"/>
      <c r="J657" s="174"/>
      <c r="K657" s="132"/>
      <c r="L657" s="133"/>
    </row>
    <row r="658" spans="1:14" x14ac:dyDescent="0.2">
      <c r="A658" s="158"/>
      <c r="B658" s="55"/>
      <c r="C658" s="71"/>
      <c r="D658" s="71"/>
      <c r="E658" s="71"/>
      <c r="F658" s="71"/>
      <c r="G658" s="71"/>
      <c r="H658" s="71"/>
      <c r="I658" s="71"/>
      <c r="J658" s="174"/>
      <c r="K658" s="132"/>
      <c r="L658" s="133"/>
    </row>
    <row r="659" spans="1:14" x14ac:dyDescent="0.2">
      <c r="A659" s="158"/>
      <c r="B659" s="55"/>
      <c r="C659" s="71"/>
      <c r="D659" s="71"/>
      <c r="E659" s="71"/>
      <c r="F659" s="71"/>
      <c r="G659" s="71"/>
      <c r="H659" s="71"/>
      <c r="I659" s="71"/>
      <c r="J659" s="174"/>
      <c r="K659" s="132"/>
      <c r="L659" s="133"/>
    </row>
    <row r="660" spans="1:14" x14ac:dyDescent="0.2">
      <c r="A660" s="158"/>
      <c r="B660" s="55"/>
      <c r="C660" s="71"/>
      <c r="D660" s="71"/>
      <c r="E660" s="71"/>
      <c r="F660" s="71"/>
      <c r="G660" s="71"/>
      <c r="H660" s="71"/>
      <c r="I660" s="71"/>
      <c r="J660" s="174"/>
      <c r="K660" s="132"/>
      <c r="L660" s="133"/>
    </row>
    <row r="661" spans="1:14" x14ac:dyDescent="0.2">
      <c r="A661" s="158"/>
      <c r="B661" s="55"/>
      <c r="C661" s="175"/>
      <c r="D661" s="175"/>
      <c r="E661" s="172"/>
      <c r="F661" s="172"/>
      <c r="G661" s="172"/>
      <c r="H661" s="172"/>
      <c r="I661" s="172"/>
      <c r="J661" s="173"/>
      <c r="K661" s="132"/>
      <c r="L661" s="133"/>
    </row>
    <row r="662" spans="1:14" x14ac:dyDescent="0.2">
      <c r="A662" s="158"/>
      <c r="B662" s="55"/>
      <c r="C662" s="175"/>
      <c r="D662" s="175"/>
      <c r="E662" s="172"/>
      <c r="F662" s="172"/>
      <c r="G662" s="172"/>
      <c r="H662" s="172"/>
      <c r="I662" s="172"/>
      <c r="J662" s="173"/>
      <c r="K662" s="132"/>
      <c r="L662" s="133"/>
    </row>
    <row r="663" spans="1:14" ht="13.5" thickBot="1" x14ac:dyDescent="0.25">
      <c r="A663" s="149"/>
      <c r="B663" s="167"/>
      <c r="C663" s="151"/>
      <c r="D663" s="151"/>
      <c r="E663" s="151"/>
      <c r="F663" s="151"/>
      <c r="G663" s="151"/>
      <c r="H663" s="151"/>
      <c r="I663" s="151"/>
      <c r="J663" s="168"/>
      <c r="K663" s="132"/>
      <c r="L663" s="133"/>
    </row>
    <row r="664" spans="1:14" ht="15.75" x14ac:dyDescent="0.2">
      <c r="A664" s="602" t="s">
        <v>4</v>
      </c>
      <c r="B664" s="603"/>
      <c r="C664" s="603" t="str">
        <f>'A IV.A'!$B$22</f>
        <v>SERVIÇOS INICIAIS</v>
      </c>
      <c r="D664" s="603"/>
      <c r="E664" s="603"/>
      <c r="F664" s="603"/>
      <c r="G664" s="603"/>
      <c r="H664" s="603"/>
      <c r="I664" s="603"/>
      <c r="J664" s="604"/>
      <c r="K664" s="132"/>
      <c r="L664" s="133"/>
    </row>
    <row r="665" spans="1:14" x14ac:dyDescent="0.2">
      <c r="A665" s="609" t="str">
        <f>'A IV.A'!$A$22</f>
        <v>2.0</v>
      </c>
      <c r="B665" s="610"/>
      <c r="C665" s="605"/>
      <c r="D665" s="605"/>
      <c r="E665" s="605"/>
      <c r="F665" s="605"/>
      <c r="G665" s="605"/>
      <c r="H665" s="605"/>
      <c r="I665" s="605"/>
      <c r="J665" s="606"/>
      <c r="K665" s="132"/>
      <c r="L665" s="133"/>
    </row>
    <row r="666" spans="1:14" ht="13.5" thickBot="1" x14ac:dyDescent="0.25">
      <c r="A666" s="611"/>
      <c r="B666" s="612"/>
      <c r="C666" s="607"/>
      <c r="D666" s="607"/>
      <c r="E666" s="607"/>
      <c r="F666" s="607"/>
      <c r="G666" s="607"/>
      <c r="H666" s="607"/>
      <c r="I666" s="607"/>
      <c r="J666" s="608"/>
      <c r="K666" s="132"/>
      <c r="L666" s="133"/>
    </row>
    <row r="667" spans="1:14" ht="13.5" thickBot="1" x14ac:dyDescent="0.25">
      <c r="A667" s="169"/>
      <c r="B667" s="169"/>
      <c r="C667" s="613"/>
      <c r="D667" s="613"/>
      <c r="E667" s="613"/>
      <c r="F667" s="613"/>
      <c r="G667" s="613"/>
      <c r="H667" s="613"/>
      <c r="I667" s="613"/>
      <c r="J667" s="169"/>
      <c r="K667" s="132"/>
      <c r="L667" s="133"/>
    </row>
    <row r="668" spans="1:14" ht="13.5" thickBot="1" x14ac:dyDescent="0.25">
      <c r="A668" s="632" t="s">
        <v>60</v>
      </c>
      <c r="B668" s="633"/>
      <c r="C668" s="656" t="s">
        <v>61</v>
      </c>
      <c r="D668" s="656"/>
      <c r="E668" s="656"/>
      <c r="F668" s="656"/>
      <c r="G668" s="656"/>
      <c r="H668" s="656"/>
      <c r="I668" s="656"/>
      <c r="J668" s="260" t="s">
        <v>0</v>
      </c>
      <c r="K668" s="132"/>
      <c r="L668" s="133"/>
    </row>
    <row r="669" spans="1:14" x14ac:dyDescent="0.2">
      <c r="A669" s="136"/>
      <c r="B669" s="137"/>
      <c r="C669" s="619"/>
      <c r="D669" s="620"/>
      <c r="E669" s="621"/>
      <c r="F669" s="621"/>
      <c r="G669" s="621"/>
      <c r="H669" s="621"/>
      <c r="I669" s="622"/>
      <c r="J669" s="138"/>
      <c r="K669" s="132"/>
      <c r="L669" s="133"/>
    </row>
    <row r="670" spans="1:14" x14ac:dyDescent="0.2">
      <c r="A670" s="625" t="str">
        <f>'A IV.A'!$A$33</f>
        <v>2.2.1</v>
      </c>
      <c r="B670" s="624"/>
      <c r="C670" s="626" t="str">
        <f>'A IV.A'!$B$33</f>
        <v>CARGA MANUAL DE MATERIAIS PROVENIENTES DE DEMOLIÇÕES EM GERAL</v>
      </c>
      <c r="D670" s="627"/>
      <c r="E670" s="627"/>
      <c r="F670" s="627"/>
      <c r="G670" s="627"/>
      <c r="H670" s="627"/>
      <c r="I670" s="628"/>
      <c r="J670" s="629" t="str">
        <f>'A IV.A'!$C$33</f>
        <v>M3</v>
      </c>
      <c r="K670" s="630" t="str">
        <f>VLOOKUP(A670,'A IV.A'!$A$14:$M$233,2,FALSE)</f>
        <v>CARGA MANUAL DE MATERIAIS PROVENIENTES DE DEMOLIÇÕES EM GERAL</v>
      </c>
      <c r="L670" s="631" t="str">
        <f>IF(C670=K670,"sim","nao")</f>
        <v>sim</v>
      </c>
      <c r="M670" s="631" t="str">
        <f>VLOOKUP(A670,'A IV.A'!$A$14:$M$233,3,FALSE)</f>
        <v>M3</v>
      </c>
      <c r="N670" s="631" t="str">
        <f>IF(J670=M670,"sim","nao")</f>
        <v>sim</v>
      </c>
    </row>
    <row r="671" spans="1:14" x14ac:dyDescent="0.2">
      <c r="A671" s="625"/>
      <c r="B671" s="624"/>
      <c r="C671" s="626"/>
      <c r="D671" s="627"/>
      <c r="E671" s="627"/>
      <c r="F671" s="627"/>
      <c r="G671" s="627"/>
      <c r="H671" s="627"/>
      <c r="I671" s="628"/>
      <c r="J671" s="629"/>
      <c r="K671" s="630"/>
      <c r="L671" s="631"/>
      <c r="M671" s="631"/>
      <c r="N671" s="631"/>
    </row>
    <row r="672" spans="1:14" x14ac:dyDescent="0.2">
      <c r="A672" s="139"/>
      <c r="B672" s="140"/>
      <c r="C672" s="141"/>
      <c r="D672" s="142"/>
      <c r="E672" s="142"/>
      <c r="F672" s="142"/>
      <c r="G672" s="142"/>
      <c r="H672" s="142"/>
      <c r="I672" s="143"/>
      <c r="J672" s="144"/>
      <c r="K672" s="132"/>
      <c r="L672" s="133"/>
    </row>
    <row r="673" spans="1:14" x14ac:dyDescent="0.2">
      <c r="A673" s="158"/>
      <c r="B673" s="188"/>
      <c r="C673" s="189"/>
      <c r="D673" s="165"/>
      <c r="E673" s="165"/>
      <c r="F673" s="165"/>
      <c r="G673" s="165"/>
      <c r="H673" s="165"/>
      <c r="I673" s="190"/>
      <c r="J673" s="191"/>
      <c r="K673" s="630"/>
      <c r="L673" s="631"/>
      <c r="M673" s="631"/>
      <c r="N673" s="631"/>
    </row>
    <row r="674" spans="1:14" x14ac:dyDescent="0.2">
      <c r="A674" s="158"/>
      <c r="B674" s="188"/>
      <c r="C674" s="189"/>
      <c r="D674" s="165"/>
      <c r="E674" s="165"/>
      <c r="F674" s="165"/>
      <c r="G674" s="165"/>
      <c r="H674" s="165"/>
      <c r="I674" s="190"/>
      <c r="J674" s="191"/>
      <c r="K674" s="630"/>
      <c r="L674" s="631"/>
      <c r="M674" s="631"/>
      <c r="N674" s="631"/>
    </row>
    <row r="675" spans="1:14" x14ac:dyDescent="0.2">
      <c r="A675" s="145"/>
      <c r="B675" s="146"/>
      <c r="C675" s="147"/>
      <c r="D675" s="147"/>
      <c r="E675" s="147"/>
      <c r="F675" s="147"/>
      <c r="G675" s="147"/>
      <c r="H675" s="147"/>
      <c r="I675" s="147"/>
      <c r="J675" s="148"/>
      <c r="K675" s="132"/>
      <c r="L675" s="133"/>
    </row>
    <row r="676" spans="1:14" x14ac:dyDescent="0.2">
      <c r="A676" s="158"/>
      <c r="B676" s="188"/>
      <c r="C676" s="189"/>
      <c r="D676" s="165"/>
      <c r="E676" s="165"/>
      <c r="F676" s="165"/>
      <c r="G676" s="165"/>
      <c r="H676" s="165"/>
      <c r="I676" s="190"/>
      <c r="J676" s="191"/>
      <c r="K676" s="630"/>
      <c r="L676" s="631"/>
      <c r="M676" s="631"/>
      <c r="N676" s="631"/>
    </row>
    <row r="677" spans="1:14" x14ac:dyDescent="0.2">
      <c r="A677" s="158"/>
      <c r="B677" s="188"/>
      <c r="C677" s="189"/>
      <c r="D677" s="165"/>
      <c r="E677" s="165"/>
      <c r="F677" s="165"/>
      <c r="G677" s="165"/>
      <c r="H677" s="165"/>
      <c r="I677" s="190"/>
      <c r="J677" s="191"/>
      <c r="K677" s="630"/>
      <c r="L677" s="631"/>
      <c r="M677" s="631"/>
      <c r="N677" s="631"/>
    </row>
    <row r="678" spans="1:14" x14ac:dyDescent="0.2">
      <c r="A678" s="145"/>
      <c r="B678" s="146"/>
      <c r="C678" s="147"/>
      <c r="D678" s="147"/>
      <c r="E678" s="147"/>
      <c r="F678" s="147"/>
      <c r="G678" s="147"/>
      <c r="H678" s="147"/>
      <c r="I678" s="147"/>
      <c r="J678" s="148"/>
      <c r="K678" s="132"/>
      <c r="L678" s="133"/>
    </row>
    <row r="679" spans="1:14" x14ac:dyDescent="0.2">
      <c r="A679" s="145"/>
      <c r="B679" s="146"/>
      <c r="C679" s="147"/>
      <c r="D679" s="147"/>
      <c r="E679" s="147"/>
      <c r="F679" s="147"/>
      <c r="G679" s="147"/>
      <c r="H679" s="147"/>
      <c r="I679" s="147"/>
      <c r="J679" s="148"/>
      <c r="K679" s="132"/>
      <c r="L679" s="133"/>
    </row>
    <row r="680" spans="1:14" x14ac:dyDescent="0.2">
      <c r="A680" s="145"/>
      <c r="B680" s="146"/>
      <c r="C680" s="147"/>
      <c r="D680" s="147"/>
      <c r="E680" s="147"/>
      <c r="F680" s="147"/>
      <c r="G680" s="147"/>
      <c r="H680" s="147"/>
      <c r="I680" s="147"/>
      <c r="J680" s="148"/>
      <c r="K680" s="132"/>
      <c r="L680" s="133"/>
    </row>
    <row r="681" spans="1:14" x14ac:dyDescent="0.2">
      <c r="A681" s="145"/>
      <c r="B681" s="146"/>
      <c r="C681" s="147"/>
      <c r="D681" s="147"/>
      <c r="E681" s="147"/>
      <c r="F681" s="147"/>
      <c r="G681" s="147"/>
      <c r="H681" s="147"/>
      <c r="I681" s="147"/>
      <c r="J681" s="148"/>
      <c r="K681" s="132"/>
      <c r="L681" s="133"/>
    </row>
    <row r="682" spans="1:14" x14ac:dyDescent="0.2">
      <c r="A682" s="145"/>
      <c r="B682" s="146"/>
      <c r="C682" s="147"/>
      <c r="D682" s="147"/>
      <c r="E682" s="147"/>
      <c r="F682" s="147"/>
      <c r="G682" s="147"/>
      <c r="H682" s="147"/>
      <c r="I682" s="147"/>
      <c r="J682" s="148"/>
      <c r="K682" s="132"/>
      <c r="L682" s="133"/>
    </row>
    <row r="683" spans="1:14" x14ac:dyDescent="0.2">
      <c r="A683" s="145"/>
      <c r="B683" s="146"/>
      <c r="C683" s="147"/>
      <c r="D683" s="147"/>
      <c r="E683" s="147"/>
      <c r="F683" s="147"/>
      <c r="G683" s="147"/>
      <c r="H683" s="147"/>
      <c r="I683" s="147"/>
      <c r="J683" s="148"/>
      <c r="K683" s="132"/>
      <c r="L683" s="133"/>
    </row>
    <row r="684" spans="1:14" x14ac:dyDescent="0.2">
      <c r="A684" s="145"/>
      <c r="B684" s="146"/>
      <c r="C684" s="147"/>
      <c r="D684" s="147"/>
      <c r="E684" s="147"/>
      <c r="F684" s="147"/>
      <c r="G684" s="147"/>
      <c r="H684" s="147"/>
      <c r="I684" s="147"/>
      <c r="J684" s="148"/>
      <c r="K684" s="132"/>
      <c r="L684" s="133"/>
    </row>
    <row r="685" spans="1:14" x14ac:dyDescent="0.2">
      <c r="A685" s="145"/>
      <c r="B685" s="146"/>
      <c r="C685" s="147"/>
      <c r="D685" s="147"/>
      <c r="E685" s="147"/>
      <c r="F685" s="147"/>
      <c r="G685" s="147"/>
      <c r="H685" s="147"/>
      <c r="I685" s="147"/>
      <c r="J685" s="148"/>
      <c r="K685" s="132"/>
      <c r="L685" s="133"/>
    </row>
    <row r="686" spans="1:14" x14ac:dyDescent="0.2">
      <c r="A686" s="145"/>
      <c r="B686" s="146"/>
      <c r="C686" s="147"/>
      <c r="D686" s="147"/>
      <c r="E686" s="147"/>
      <c r="F686" s="147"/>
      <c r="G686" s="147"/>
      <c r="H686" s="147"/>
      <c r="I686" s="147"/>
      <c r="J686" s="148"/>
      <c r="K686" s="132"/>
      <c r="L686" s="133"/>
    </row>
    <row r="687" spans="1:14" x14ac:dyDescent="0.2">
      <c r="A687" s="145"/>
      <c r="B687" s="146"/>
      <c r="C687" s="147"/>
      <c r="D687" s="147"/>
      <c r="E687" s="147"/>
      <c r="F687" s="147"/>
      <c r="G687" s="147"/>
      <c r="H687" s="147"/>
      <c r="I687" s="147"/>
      <c r="J687" s="148"/>
      <c r="K687" s="132"/>
      <c r="L687" s="133"/>
    </row>
    <row r="688" spans="1:14" x14ac:dyDescent="0.2">
      <c r="A688" s="145"/>
      <c r="B688" s="146"/>
      <c r="C688" s="147"/>
      <c r="D688" s="147"/>
      <c r="E688" s="147"/>
      <c r="F688" s="147"/>
      <c r="G688" s="147"/>
      <c r="H688" s="147"/>
      <c r="I688" s="147"/>
      <c r="J688" s="148"/>
      <c r="K688" s="132"/>
      <c r="L688" s="133"/>
    </row>
    <row r="689" spans="1:12" x14ac:dyDescent="0.2">
      <c r="A689" s="145"/>
      <c r="B689" s="146"/>
      <c r="C689" s="147"/>
      <c r="D689" s="147"/>
      <c r="E689" s="147"/>
      <c r="F689" s="147"/>
      <c r="G689" s="147"/>
      <c r="H689" s="147"/>
      <c r="I689" s="147"/>
      <c r="J689" s="148"/>
      <c r="K689" s="132"/>
      <c r="L689" s="133"/>
    </row>
    <row r="690" spans="1:12" x14ac:dyDescent="0.2">
      <c r="A690" s="145"/>
      <c r="B690" s="146"/>
      <c r="C690" s="147"/>
      <c r="D690" s="147"/>
      <c r="E690" s="147"/>
      <c r="F690" s="147"/>
      <c r="G690" s="147"/>
      <c r="H690" s="147"/>
      <c r="I690" s="147"/>
      <c r="J690" s="148"/>
      <c r="K690" s="132"/>
      <c r="L690" s="133"/>
    </row>
    <row r="691" spans="1:12" ht="13.5" thickBot="1" x14ac:dyDescent="0.25">
      <c r="A691" s="149"/>
      <c r="B691" s="150"/>
      <c r="C691" s="151"/>
      <c r="D691" s="151"/>
      <c r="E691" s="151"/>
      <c r="F691" s="151"/>
      <c r="G691" s="151"/>
      <c r="H691" s="151"/>
      <c r="I691" s="151"/>
      <c r="J691" s="152"/>
      <c r="K691" s="132"/>
      <c r="L691" s="133"/>
    </row>
    <row r="692" spans="1:12" ht="13.5" thickBot="1" x14ac:dyDescent="0.25">
      <c r="A692" s="153"/>
      <c r="B692" s="153"/>
      <c r="C692" s="154"/>
      <c r="D692" s="154"/>
      <c r="E692" s="154"/>
      <c r="F692" s="154"/>
      <c r="G692" s="154"/>
      <c r="H692" s="154"/>
      <c r="I692" s="154"/>
      <c r="J692" s="153"/>
      <c r="K692" s="132"/>
      <c r="L692" s="133"/>
    </row>
    <row r="693" spans="1:12" ht="13.5" thickBot="1" x14ac:dyDescent="0.25">
      <c r="A693" s="614" t="s">
        <v>62</v>
      </c>
      <c r="B693" s="648"/>
      <c r="C693" s="648"/>
      <c r="D693" s="648"/>
      <c r="E693" s="648"/>
      <c r="F693" s="648"/>
      <c r="G693" s="648"/>
      <c r="H693" s="648"/>
      <c r="I693" s="648"/>
      <c r="J693" s="649"/>
      <c r="K693" s="132"/>
      <c r="L693" s="133"/>
    </row>
    <row r="694" spans="1:12" x14ac:dyDescent="0.2">
      <c r="A694" s="136"/>
      <c r="B694" s="155"/>
      <c r="C694" s="156"/>
      <c r="D694" s="156"/>
      <c r="E694" s="156"/>
      <c r="F694" s="156"/>
      <c r="G694" s="156"/>
      <c r="H694" s="156"/>
      <c r="I694" s="156"/>
      <c r="J694" s="157"/>
      <c r="K694" s="132"/>
      <c r="L694" s="133"/>
    </row>
    <row r="695" spans="1:12" ht="12.75" customHeight="1" x14ac:dyDescent="0.2">
      <c r="A695" s="158" t="s">
        <v>63</v>
      </c>
      <c r="B695" s="55"/>
      <c r="C695" s="596" t="s">
        <v>455</v>
      </c>
      <c r="D695" s="596"/>
      <c r="E695" s="596"/>
      <c r="F695" s="596"/>
      <c r="G695" s="596"/>
      <c r="H695" s="596"/>
      <c r="I695" s="596"/>
      <c r="J695" s="597"/>
      <c r="K695" s="132"/>
      <c r="L695" s="133"/>
    </row>
    <row r="696" spans="1:12" x14ac:dyDescent="0.2">
      <c r="A696" s="158"/>
      <c r="B696" s="55"/>
      <c r="C696" s="596"/>
      <c r="D696" s="596"/>
      <c r="E696" s="596"/>
      <c r="F696" s="596"/>
      <c r="G696" s="596"/>
      <c r="H696" s="596"/>
      <c r="I696" s="596"/>
      <c r="J696" s="597"/>
      <c r="K696" s="132"/>
      <c r="L696" s="133"/>
    </row>
    <row r="697" spans="1:12" x14ac:dyDescent="0.2">
      <c r="A697" s="158"/>
      <c r="B697" s="55"/>
      <c r="C697" s="178"/>
      <c r="D697" s="178"/>
      <c r="E697" s="178"/>
      <c r="F697" s="178"/>
      <c r="G697" s="178"/>
      <c r="H697" s="178"/>
      <c r="I697" s="178"/>
      <c r="J697" s="179"/>
      <c r="K697" s="132"/>
      <c r="L697" s="133"/>
    </row>
    <row r="698" spans="1:12" ht="12.75" customHeight="1" x14ac:dyDescent="0.2">
      <c r="A698" s="158" t="s">
        <v>64</v>
      </c>
      <c r="B698" s="55"/>
      <c r="C698" s="596" t="s">
        <v>457</v>
      </c>
      <c r="D698" s="596"/>
      <c r="E698" s="596"/>
      <c r="F698" s="596"/>
      <c r="G698" s="596"/>
      <c r="H698" s="596"/>
      <c r="I698" s="596"/>
      <c r="J698" s="597"/>
      <c r="K698" s="132"/>
      <c r="L698" s="133"/>
    </row>
    <row r="699" spans="1:12" x14ac:dyDescent="0.2">
      <c r="A699" s="158"/>
      <c r="B699" s="55"/>
      <c r="C699" s="596"/>
      <c r="D699" s="596"/>
      <c r="E699" s="596"/>
      <c r="F699" s="596"/>
      <c r="G699" s="596"/>
      <c r="H699" s="596"/>
      <c r="I699" s="596"/>
      <c r="J699" s="597"/>
      <c r="K699" s="132"/>
      <c r="L699" s="133"/>
    </row>
    <row r="700" spans="1:12" x14ac:dyDescent="0.2">
      <c r="A700" s="158"/>
      <c r="B700" s="55"/>
      <c r="C700" s="596"/>
      <c r="D700" s="596"/>
      <c r="E700" s="596"/>
      <c r="F700" s="596"/>
      <c r="G700" s="596"/>
      <c r="H700" s="596"/>
      <c r="I700" s="596"/>
      <c r="J700" s="597"/>
      <c r="K700" s="132"/>
      <c r="L700" s="133"/>
    </row>
    <row r="701" spans="1:12" x14ac:dyDescent="0.2">
      <c r="A701" s="158"/>
      <c r="B701" s="55"/>
      <c r="C701" s="175"/>
      <c r="D701" s="175"/>
      <c r="E701" s="175"/>
      <c r="F701" s="175"/>
      <c r="G701" s="175"/>
      <c r="H701" s="175"/>
      <c r="I701" s="175"/>
      <c r="J701" s="176"/>
      <c r="K701" s="132"/>
      <c r="L701" s="133"/>
    </row>
    <row r="702" spans="1:12" x14ac:dyDescent="0.2">
      <c r="A702" s="158" t="s">
        <v>65</v>
      </c>
      <c r="B702" s="55"/>
      <c r="C702" s="652" t="s">
        <v>833</v>
      </c>
      <c r="D702" s="652"/>
      <c r="E702" s="652"/>
      <c r="F702" s="652"/>
      <c r="G702" s="652"/>
      <c r="H702" s="652"/>
      <c r="I702" s="652"/>
      <c r="J702" s="653"/>
      <c r="K702" s="132"/>
      <c r="L702" s="133"/>
    </row>
    <row r="703" spans="1:12" x14ac:dyDescent="0.2">
      <c r="A703" s="158"/>
      <c r="B703" s="55"/>
      <c r="C703" s="652"/>
      <c r="D703" s="652"/>
      <c r="E703" s="652"/>
      <c r="F703" s="652"/>
      <c r="G703" s="652"/>
      <c r="H703" s="652"/>
      <c r="I703" s="652"/>
      <c r="J703" s="653"/>
      <c r="K703" s="132"/>
      <c r="L703" s="133"/>
    </row>
    <row r="704" spans="1:12" x14ac:dyDescent="0.2">
      <c r="A704" s="158"/>
      <c r="B704" s="55"/>
      <c r="C704" s="652"/>
      <c r="D704" s="652"/>
      <c r="E704" s="652"/>
      <c r="F704" s="652"/>
      <c r="G704" s="652"/>
      <c r="H704" s="652"/>
      <c r="I704" s="652"/>
      <c r="J704" s="653"/>
      <c r="K704" s="132"/>
      <c r="L704" s="133"/>
    </row>
    <row r="705" spans="1:12" x14ac:dyDescent="0.2">
      <c r="A705" s="158"/>
      <c r="B705" s="55"/>
      <c r="C705" s="71"/>
      <c r="D705" s="71"/>
      <c r="E705" s="71"/>
      <c r="F705" s="71"/>
      <c r="G705" s="71"/>
      <c r="H705" s="71"/>
      <c r="I705" s="71"/>
      <c r="J705" s="174"/>
      <c r="K705" s="132"/>
      <c r="L705" s="133"/>
    </row>
    <row r="706" spans="1:12" x14ac:dyDescent="0.2">
      <c r="A706" s="158"/>
      <c r="B706" s="55"/>
      <c r="C706" s="71"/>
      <c r="D706" s="71"/>
      <c r="E706" s="71"/>
      <c r="F706" s="71"/>
      <c r="G706" s="71"/>
      <c r="H706" s="71"/>
      <c r="I706" s="71"/>
      <c r="J706" s="174"/>
      <c r="K706" s="132"/>
      <c r="L706" s="133"/>
    </row>
    <row r="707" spans="1:12" x14ac:dyDescent="0.2">
      <c r="A707" s="158"/>
      <c r="B707" s="55"/>
      <c r="C707" s="71"/>
      <c r="D707" s="71"/>
      <c r="E707" s="71"/>
      <c r="F707" s="71"/>
      <c r="G707" s="71"/>
      <c r="H707" s="71"/>
      <c r="I707" s="71"/>
      <c r="J707" s="174"/>
      <c r="K707" s="132"/>
      <c r="L707" s="133"/>
    </row>
    <row r="708" spans="1:12" x14ac:dyDescent="0.2">
      <c r="A708" s="158"/>
      <c r="B708" s="55"/>
      <c r="C708" s="175"/>
      <c r="D708" s="175"/>
      <c r="E708" s="175"/>
      <c r="F708" s="175"/>
      <c r="G708" s="175"/>
      <c r="H708" s="175"/>
      <c r="I708" s="175"/>
      <c r="J708" s="176"/>
      <c r="K708" s="132"/>
      <c r="L708" s="133"/>
    </row>
    <row r="709" spans="1:12" x14ac:dyDescent="0.2">
      <c r="A709" s="158"/>
      <c r="B709" s="55"/>
      <c r="C709" s="71"/>
      <c r="D709" s="71"/>
      <c r="E709" s="71"/>
      <c r="F709" s="71"/>
      <c r="G709" s="71"/>
      <c r="H709" s="71"/>
      <c r="I709" s="71"/>
      <c r="J709" s="174"/>
      <c r="K709" s="132"/>
      <c r="L709" s="133"/>
    </row>
    <row r="710" spans="1:12" x14ac:dyDescent="0.2">
      <c r="A710" s="158"/>
      <c r="B710" s="55"/>
      <c r="C710" s="175"/>
      <c r="D710" s="175"/>
      <c r="E710" s="175"/>
      <c r="F710" s="175"/>
      <c r="G710" s="175"/>
      <c r="H710" s="175"/>
      <c r="I710" s="175"/>
      <c r="J710" s="176"/>
      <c r="K710" s="132"/>
      <c r="L710" s="133"/>
    </row>
    <row r="711" spans="1:12" x14ac:dyDescent="0.2">
      <c r="A711" s="158"/>
      <c r="B711" s="55"/>
      <c r="C711" s="175"/>
      <c r="D711" s="175"/>
      <c r="E711" s="175"/>
      <c r="F711" s="175"/>
      <c r="G711" s="175"/>
      <c r="H711" s="175"/>
      <c r="I711" s="175"/>
      <c r="J711" s="176"/>
      <c r="K711" s="132"/>
      <c r="L711" s="133"/>
    </row>
    <row r="712" spans="1:12" x14ac:dyDescent="0.2">
      <c r="A712" s="158"/>
      <c r="B712" s="55"/>
      <c r="C712" s="175"/>
      <c r="D712" s="175"/>
      <c r="E712" s="175"/>
      <c r="F712" s="175"/>
      <c r="G712" s="175"/>
      <c r="H712" s="175"/>
      <c r="I712" s="175"/>
      <c r="J712" s="176"/>
      <c r="K712" s="132"/>
      <c r="L712" s="133"/>
    </row>
    <row r="713" spans="1:12" x14ac:dyDescent="0.2">
      <c r="A713" s="158"/>
      <c r="B713" s="55"/>
      <c r="C713" s="71"/>
      <c r="D713" s="71"/>
      <c r="E713" s="71"/>
      <c r="F713" s="71"/>
      <c r="G713" s="71"/>
      <c r="H713" s="71"/>
      <c r="I713" s="71"/>
      <c r="J713" s="174"/>
      <c r="K713" s="132"/>
      <c r="L713" s="133"/>
    </row>
    <row r="714" spans="1:12" x14ac:dyDescent="0.2">
      <c r="A714" s="158"/>
      <c r="B714" s="55"/>
      <c r="C714" s="71"/>
      <c r="D714" s="71"/>
      <c r="E714" s="71"/>
      <c r="F714" s="71"/>
      <c r="G714" s="71"/>
      <c r="H714" s="71"/>
      <c r="I714" s="71"/>
      <c r="J714" s="174"/>
      <c r="K714" s="132"/>
      <c r="L714" s="133"/>
    </row>
    <row r="715" spans="1:12" x14ac:dyDescent="0.2">
      <c r="A715" s="158"/>
      <c r="B715" s="55"/>
      <c r="C715" s="71"/>
      <c r="D715" s="71"/>
      <c r="E715" s="71"/>
      <c r="F715" s="71"/>
      <c r="G715" s="71"/>
      <c r="H715" s="71"/>
      <c r="I715" s="71"/>
      <c r="J715" s="174"/>
      <c r="K715" s="132"/>
      <c r="L715" s="133"/>
    </row>
    <row r="716" spans="1:12" x14ac:dyDescent="0.2">
      <c r="A716" s="158"/>
      <c r="B716" s="55"/>
      <c r="C716" s="71"/>
      <c r="D716" s="71"/>
      <c r="E716" s="71"/>
      <c r="F716" s="71"/>
      <c r="G716" s="71"/>
      <c r="H716" s="71"/>
      <c r="I716" s="71"/>
      <c r="J716" s="174"/>
      <c r="K716" s="132"/>
      <c r="L716" s="133"/>
    </row>
    <row r="717" spans="1:12" ht="13.5" thickBot="1" x14ac:dyDescent="0.25">
      <c r="A717" s="149"/>
      <c r="B717" s="167"/>
      <c r="C717" s="151"/>
      <c r="D717" s="151"/>
      <c r="E717" s="151"/>
      <c r="F717" s="151"/>
      <c r="G717" s="151"/>
      <c r="H717" s="151"/>
      <c r="I717" s="151"/>
      <c r="J717" s="168"/>
      <c r="K717" s="132"/>
      <c r="L717" s="133"/>
    </row>
    <row r="718" spans="1:12" ht="15.75" x14ac:dyDescent="0.2">
      <c r="A718" s="715" t="s">
        <v>4</v>
      </c>
      <c r="B718" s="716"/>
      <c r="C718" s="688" t="str">
        <f>'A IV.A'!$B$22</f>
        <v>SERVIÇOS INICIAIS</v>
      </c>
      <c r="D718" s="689"/>
      <c r="E718" s="689"/>
      <c r="F718" s="689"/>
      <c r="G718" s="689"/>
      <c r="H718" s="689"/>
      <c r="I718" s="689"/>
      <c r="J718" s="690"/>
      <c r="K718" s="132"/>
      <c r="L718" s="133"/>
    </row>
    <row r="719" spans="1:12" ht="12.75" customHeight="1" x14ac:dyDescent="0.2">
      <c r="A719" s="609" t="str">
        <f>'A IV.A'!$A$22</f>
        <v>2.0</v>
      </c>
      <c r="B719" s="610"/>
      <c r="C719" s="691"/>
      <c r="D719" s="692"/>
      <c r="E719" s="692"/>
      <c r="F719" s="692"/>
      <c r="G719" s="692"/>
      <c r="H719" s="692"/>
      <c r="I719" s="692"/>
      <c r="J719" s="693"/>
      <c r="K719" s="132"/>
      <c r="L719" s="133"/>
    </row>
    <row r="720" spans="1:12" ht="13.5" customHeight="1" thickBot="1" x14ac:dyDescent="0.25">
      <c r="A720" s="611"/>
      <c r="B720" s="612"/>
      <c r="C720" s="694"/>
      <c r="D720" s="695"/>
      <c r="E720" s="695"/>
      <c r="F720" s="695"/>
      <c r="G720" s="695"/>
      <c r="H720" s="695"/>
      <c r="I720" s="695"/>
      <c r="J720" s="696"/>
      <c r="K720" s="132"/>
      <c r="L720" s="133"/>
    </row>
    <row r="721" spans="1:14" ht="13.5" thickBot="1" x14ac:dyDescent="0.25">
      <c r="A721" s="169"/>
      <c r="B721" s="169"/>
      <c r="C721" s="613"/>
      <c r="D721" s="613"/>
      <c r="E721" s="613"/>
      <c r="F721" s="613"/>
      <c r="G721" s="613"/>
      <c r="H721" s="613"/>
      <c r="I721" s="613"/>
      <c r="J721" s="169"/>
      <c r="K721" s="132"/>
      <c r="L721" s="133"/>
    </row>
    <row r="722" spans="1:14" ht="13.5" thickBot="1" x14ac:dyDescent="0.25">
      <c r="A722" s="614" t="s">
        <v>60</v>
      </c>
      <c r="B722" s="615"/>
      <c r="C722" s="616" t="s">
        <v>61</v>
      </c>
      <c r="D722" s="617"/>
      <c r="E722" s="617"/>
      <c r="F722" s="617"/>
      <c r="G722" s="617"/>
      <c r="H722" s="617"/>
      <c r="I722" s="618"/>
      <c r="J722" s="260" t="s">
        <v>0</v>
      </c>
      <c r="K722" s="132"/>
      <c r="L722" s="133"/>
    </row>
    <row r="723" spans="1:14" x14ac:dyDescent="0.2">
      <c r="A723" s="136"/>
      <c r="B723" s="137"/>
      <c r="C723" s="619"/>
      <c r="D723" s="620"/>
      <c r="E723" s="620"/>
      <c r="F723" s="620"/>
      <c r="G723" s="620"/>
      <c r="H723" s="620"/>
      <c r="I723" s="687"/>
      <c r="J723" s="138"/>
      <c r="K723" s="132"/>
      <c r="L723" s="133"/>
    </row>
    <row r="724" spans="1:14" ht="12.75" customHeight="1" x14ac:dyDescent="0.2">
      <c r="A724" s="625" t="str">
        <f>'A IV.A'!$A$34</f>
        <v>2.2.2</v>
      </c>
      <c r="B724" s="624"/>
      <c r="C724" s="626" t="str">
        <f>'A IV.A'!$B$34</f>
        <v>CARGA MECANIZADA DE MATERIAIS PROVENIENTES DE DEMOLIÇÕES EM GERAL</v>
      </c>
      <c r="D724" s="627"/>
      <c r="E724" s="627"/>
      <c r="F724" s="627"/>
      <c r="G724" s="627"/>
      <c r="H724" s="627"/>
      <c r="I724" s="628"/>
      <c r="J724" s="629" t="str">
        <f>'A IV.A'!$C$34</f>
        <v>M3</v>
      </c>
      <c r="K724" s="630" t="str">
        <f>VLOOKUP(A724,'A IV.A'!$A$14:$M$233,2,FALSE)</f>
        <v>CARGA MECANIZADA DE MATERIAIS PROVENIENTES DE DEMOLIÇÕES EM GERAL</v>
      </c>
      <c r="L724" s="631" t="str">
        <f>IF(C724=K724,"sim","nao")</f>
        <v>sim</v>
      </c>
      <c r="M724" s="631" t="str">
        <f>VLOOKUP(A724,'A IV.A'!$A$14:$M$233,3,FALSE)</f>
        <v>M3</v>
      </c>
      <c r="N724" s="631" t="str">
        <f>IF(J724=M724,"sim","nao")</f>
        <v>sim</v>
      </c>
    </row>
    <row r="725" spans="1:14" x14ac:dyDescent="0.2">
      <c r="A725" s="625"/>
      <c r="B725" s="624"/>
      <c r="C725" s="626"/>
      <c r="D725" s="627"/>
      <c r="E725" s="627"/>
      <c r="F725" s="627"/>
      <c r="G725" s="627"/>
      <c r="H725" s="627"/>
      <c r="I725" s="628"/>
      <c r="J725" s="629"/>
      <c r="K725" s="630"/>
      <c r="L725" s="631"/>
      <c r="M725" s="631"/>
      <c r="N725" s="631"/>
    </row>
    <row r="726" spans="1:14" x14ac:dyDescent="0.2">
      <c r="A726" s="139"/>
      <c r="B726" s="140"/>
      <c r="C726" s="141"/>
      <c r="D726" s="142"/>
      <c r="E726" s="142"/>
      <c r="F726" s="142"/>
      <c r="G726" s="142"/>
      <c r="H726" s="142"/>
      <c r="I726" s="143"/>
      <c r="J726" s="144"/>
      <c r="K726" s="132"/>
      <c r="L726" s="133"/>
    </row>
    <row r="727" spans="1:14" x14ac:dyDescent="0.2">
      <c r="A727" s="158"/>
      <c r="B727" s="188"/>
      <c r="C727" s="189"/>
      <c r="D727" s="165"/>
      <c r="E727" s="165"/>
      <c r="F727" s="165"/>
      <c r="G727" s="165"/>
      <c r="H727" s="165"/>
      <c r="I727" s="190"/>
      <c r="J727" s="191"/>
      <c r="K727" s="192"/>
      <c r="L727" s="55"/>
      <c r="M727" s="55"/>
      <c r="N727" s="55"/>
    </row>
    <row r="728" spans="1:14" x14ac:dyDescent="0.2">
      <c r="A728" s="158"/>
      <c r="B728" s="188"/>
      <c r="C728" s="189"/>
      <c r="D728" s="165"/>
      <c r="E728" s="165"/>
      <c r="F728" s="165"/>
      <c r="G728" s="165"/>
      <c r="H728" s="165"/>
      <c r="I728" s="190"/>
      <c r="J728" s="191"/>
      <c r="K728" s="192"/>
      <c r="L728" s="55"/>
      <c r="M728" s="55"/>
      <c r="N728" s="55"/>
    </row>
    <row r="729" spans="1:14" x14ac:dyDescent="0.2">
      <c r="A729" s="145"/>
      <c r="B729" s="146"/>
      <c r="C729" s="147"/>
      <c r="D729" s="147"/>
      <c r="E729" s="147"/>
      <c r="F729" s="147"/>
      <c r="G729" s="147"/>
      <c r="H729" s="147"/>
      <c r="I729" s="147"/>
      <c r="J729" s="148"/>
      <c r="K729" s="132"/>
      <c r="L729" s="133"/>
    </row>
    <row r="730" spans="1:14" x14ac:dyDescent="0.2">
      <c r="A730" s="158"/>
      <c r="B730" s="188"/>
      <c r="C730" s="189"/>
      <c r="D730" s="165"/>
      <c r="E730" s="165"/>
      <c r="F730" s="165"/>
      <c r="G730" s="165"/>
      <c r="H730" s="165"/>
      <c r="I730" s="190"/>
      <c r="J730" s="191"/>
      <c r="K730" s="630"/>
      <c r="L730" s="631"/>
      <c r="M730" s="631"/>
      <c r="N730" s="631"/>
    </row>
    <row r="731" spans="1:14" x14ac:dyDescent="0.2">
      <c r="A731" s="158"/>
      <c r="B731" s="188"/>
      <c r="C731" s="189"/>
      <c r="D731" s="165"/>
      <c r="E731" s="165"/>
      <c r="F731" s="165"/>
      <c r="G731" s="165"/>
      <c r="H731" s="165"/>
      <c r="I731" s="190"/>
      <c r="J731" s="191"/>
      <c r="K731" s="630"/>
      <c r="L731" s="631"/>
      <c r="M731" s="631"/>
      <c r="N731" s="631"/>
    </row>
    <row r="732" spans="1:14" x14ac:dyDescent="0.2">
      <c r="A732" s="145"/>
      <c r="B732" s="146"/>
      <c r="C732" s="147"/>
      <c r="D732" s="147"/>
      <c r="E732" s="147"/>
      <c r="F732" s="147"/>
      <c r="G732" s="147"/>
      <c r="H732" s="147"/>
      <c r="I732" s="147"/>
      <c r="J732" s="148"/>
      <c r="K732" s="132"/>
      <c r="L732" s="133"/>
    </row>
    <row r="733" spans="1:14" x14ac:dyDescent="0.2">
      <c r="A733" s="145"/>
      <c r="B733" s="146"/>
      <c r="C733" s="147"/>
      <c r="D733" s="147"/>
      <c r="E733" s="147"/>
      <c r="F733" s="147"/>
      <c r="G733" s="147"/>
      <c r="H733" s="147"/>
      <c r="I733" s="147"/>
      <c r="J733" s="148"/>
      <c r="K733" s="132"/>
      <c r="L733" s="133"/>
    </row>
    <row r="734" spans="1:14" x14ac:dyDescent="0.2">
      <c r="A734" s="145"/>
      <c r="B734" s="146"/>
      <c r="C734" s="147"/>
      <c r="D734" s="147"/>
      <c r="E734" s="147"/>
      <c r="F734" s="147"/>
      <c r="G734" s="147"/>
      <c r="H734" s="147"/>
      <c r="I734" s="147"/>
      <c r="J734" s="148"/>
      <c r="K734" s="132"/>
      <c r="L734" s="133"/>
    </row>
    <row r="735" spans="1:14" x14ac:dyDescent="0.2">
      <c r="A735" s="145"/>
      <c r="B735" s="146"/>
      <c r="C735" s="147"/>
      <c r="D735" s="147"/>
      <c r="E735" s="147"/>
      <c r="F735" s="147"/>
      <c r="G735" s="147"/>
      <c r="H735" s="147"/>
      <c r="I735" s="147"/>
      <c r="J735" s="148"/>
      <c r="K735" s="132"/>
      <c r="L735" s="133"/>
    </row>
    <row r="736" spans="1:14" x14ac:dyDescent="0.2">
      <c r="A736" s="145"/>
      <c r="B736" s="146"/>
      <c r="C736" s="147"/>
      <c r="D736" s="147"/>
      <c r="E736" s="147"/>
      <c r="F736" s="147"/>
      <c r="G736" s="147"/>
      <c r="H736" s="147"/>
      <c r="I736" s="147"/>
      <c r="J736" s="148"/>
      <c r="K736" s="132"/>
      <c r="L736" s="133"/>
    </row>
    <row r="737" spans="1:12" x14ac:dyDescent="0.2">
      <c r="A737" s="145"/>
      <c r="B737" s="146"/>
      <c r="C737" s="147"/>
      <c r="D737" s="147"/>
      <c r="E737" s="147"/>
      <c r="F737" s="147"/>
      <c r="G737" s="147"/>
      <c r="H737" s="147"/>
      <c r="I737" s="147"/>
      <c r="J737" s="148"/>
      <c r="K737" s="132"/>
      <c r="L737" s="133"/>
    </row>
    <row r="738" spans="1:12" x14ac:dyDescent="0.2">
      <c r="A738" s="145"/>
      <c r="B738" s="146"/>
      <c r="C738" s="147"/>
      <c r="D738" s="147"/>
      <c r="E738" s="147"/>
      <c r="F738" s="147"/>
      <c r="G738" s="147"/>
      <c r="H738" s="147"/>
      <c r="I738" s="147"/>
      <c r="J738" s="148"/>
      <c r="K738" s="132"/>
      <c r="L738" s="133"/>
    </row>
    <row r="739" spans="1:12" x14ac:dyDescent="0.2">
      <c r="A739" s="145"/>
      <c r="B739" s="146"/>
      <c r="C739" s="147"/>
      <c r="D739" s="147"/>
      <c r="E739" s="147"/>
      <c r="F739" s="147"/>
      <c r="G739" s="147"/>
      <c r="H739" s="147"/>
      <c r="I739" s="147"/>
      <c r="J739" s="148"/>
      <c r="K739" s="132"/>
      <c r="L739" s="133"/>
    </row>
    <row r="740" spans="1:12" x14ac:dyDescent="0.2">
      <c r="A740" s="145"/>
      <c r="B740" s="146"/>
      <c r="C740" s="147"/>
      <c r="D740" s="147"/>
      <c r="E740" s="147"/>
      <c r="F740" s="147"/>
      <c r="G740" s="147"/>
      <c r="H740" s="147"/>
      <c r="I740" s="147"/>
      <c r="J740" s="148"/>
      <c r="K740" s="132"/>
      <c r="L740" s="133"/>
    </row>
    <row r="741" spans="1:12" x14ac:dyDescent="0.2">
      <c r="A741" s="145"/>
      <c r="B741" s="146"/>
      <c r="C741" s="147"/>
      <c r="D741" s="147"/>
      <c r="E741" s="147"/>
      <c r="F741" s="147"/>
      <c r="G741" s="147"/>
      <c r="H741" s="147"/>
      <c r="I741" s="147"/>
      <c r="J741" s="148"/>
      <c r="K741" s="132"/>
      <c r="L741" s="133"/>
    </row>
    <row r="742" spans="1:12" x14ac:dyDescent="0.2">
      <c r="A742" s="145"/>
      <c r="B742" s="146"/>
      <c r="C742" s="147"/>
      <c r="D742" s="147"/>
      <c r="E742" s="147"/>
      <c r="F742" s="147"/>
      <c r="G742" s="147"/>
      <c r="H742" s="147"/>
      <c r="I742" s="147"/>
      <c r="J742" s="148"/>
      <c r="K742" s="132"/>
      <c r="L742" s="133"/>
    </row>
    <row r="743" spans="1:12" x14ac:dyDescent="0.2">
      <c r="A743" s="145"/>
      <c r="B743" s="146"/>
      <c r="C743" s="147"/>
      <c r="D743" s="147"/>
      <c r="E743" s="147"/>
      <c r="F743" s="147"/>
      <c r="G743" s="147"/>
      <c r="H743" s="147"/>
      <c r="I743" s="147"/>
      <c r="J743" s="148"/>
      <c r="K743" s="132"/>
      <c r="L743" s="133"/>
    </row>
    <row r="744" spans="1:12" x14ac:dyDescent="0.2">
      <c r="A744" s="145"/>
      <c r="B744" s="146"/>
      <c r="C744" s="147"/>
      <c r="D744" s="147"/>
      <c r="E744" s="147"/>
      <c r="F744" s="147"/>
      <c r="G744" s="147"/>
      <c r="H744" s="147"/>
      <c r="I744" s="147"/>
      <c r="J744" s="148"/>
      <c r="K744" s="132"/>
      <c r="L744" s="133"/>
    </row>
    <row r="745" spans="1:12" ht="13.5" thickBot="1" x14ac:dyDescent="0.25">
      <c r="A745" s="149"/>
      <c r="B745" s="150"/>
      <c r="C745" s="151"/>
      <c r="D745" s="151"/>
      <c r="E745" s="151"/>
      <c r="F745" s="151"/>
      <c r="G745" s="151"/>
      <c r="H745" s="151"/>
      <c r="I745" s="151"/>
      <c r="J745" s="152"/>
      <c r="K745" s="132"/>
      <c r="L745" s="133"/>
    </row>
    <row r="746" spans="1:12" ht="13.5" thickBot="1" x14ac:dyDescent="0.25">
      <c r="A746" s="153"/>
      <c r="B746" s="153"/>
      <c r="C746" s="154"/>
      <c r="D746" s="154"/>
      <c r="E746" s="154"/>
      <c r="F746" s="154"/>
      <c r="G746" s="154"/>
      <c r="H746" s="154"/>
      <c r="I746" s="154"/>
      <c r="J746" s="153"/>
      <c r="K746" s="132"/>
      <c r="L746" s="133"/>
    </row>
    <row r="747" spans="1:12" ht="13.5" thickBot="1" x14ac:dyDescent="0.25">
      <c r="A747" s="614" t="s">
        <v>62</v>
      </c>
      <c r="B747" s="648"/>
      <c r="C747" s="648"/>
      <c r="D747" s="648"/>
      <c r="E747" s="648"/>
      <c r="F747" s="648"/>
      <c r="G747" s="648"/>
      <c r="H747" s="648"/>
      <c r="I747" s="648"/>
      <c r="J747" s="649"/>
      <c r="K747" s="132"/>
      <c r="L747" s="133"/>
    </row>
    <row r="748" spans="1:12" x14ac:dyDescent="0.2">
      <c r="A748" s="136"/>
      <c r="B748" s="155"/>
      <c r="C748" s="156"/>
      <c r="D748" s="156"/>
      <c r="E748" s="156"/>
      <c r="F748" s="156"/>
      <c r="G748" s="156"/>
      <c r="H748" s="156"/>
      <c r="I748" s="156"/>
      <c r="J748" s="157"/>
      <c r="K748" s="132"/>
      <c r="L748" s="133"/>
    </row>
    <row r="749" spans="1:12" ht="12.75" customHeight="1" x14ac:dyDescent="0.2">
      <c r="A749" s="158" t="s">
        <v>63</v>
      </c>
      <c r="B749" s="55"/>
      <c r="C749" s="596" t="s">
        <v>453</v>
      </c>
      <c r="D749" s="596"/>
      <c r="E749" s="596"/>
      <c r="F749" s="596"/>
      <c r="G749" s="596"/>
      <c r="H749" s="596"/>
      <c r="I749" s="596"/>
      <c r="J749" s="597"/>
      <c r="K749" s="132"/>
      <c r="L749" s="133"/>
    </row>
    <row r="750" spans="1:12" x14ac:dyDescent="0.2">
      <c r="A750" s="158"/>
      <c r="B750" s="55"/>
      <c r="C750" s="596"/>
      <c r="D750" s="596"/>
      <c r="E750" s="596"/>
      <c r="F750" s="596"/>
      <c r="G750" s="596"/>
      <c r="H750" s="596"/>
      <c r="I750" s="596"/>
      <c r="J750" s="597"/>
      <c r="K750" s="132"/>
      <c r="L750" s="133"/>
    </row>
    <row r="751" spans="1:12" x14ac:dyDescent="0.2">
      <c r="A751" s="158"/>
      <c r="B751" s="55"/>
      <c r="C751" s="175"/>
      <c r="D751" s="175"/>
      <c r="E751" s="175"/>
      <c r="F751" s="175"/>
      <c r="G751" s="175"/>
      <c r="H751" s="175"/>
      <c r="I751" s="175"/>
      <c r="J751" s="176"/>
      <c r="K751" s="132"/>
      <c r="L751" s="133"/>
    </row>
    <row r="752" spans="1:12" ht="12.75" customHeight="1" x14ac:dyDescent="0.2">
      <c r="A752" s="158" t="s">
        <v>64</v>
      </c>
      <c r="B752" s="55"/>
      <c r="C752" s="675" t="s">
        <v>454</v>
      </c>
      <c r="D752" s="675"/>
      <c r="E752" s="675"/>
      <c r="F752" s="675"/>
      <c r="G752" s="675"/>
      <c r="H752" s="675"/>
      <c r="I752" s="675"/>
      <c r="J752" s="676"/>
      <c r="K752" s="132"/>
      <c r="L752" s="133"/>
    </row>
    <row r="753" spans="1:12" x14ac:dyDescent="0.2">
      <c r="A753" s="158"/>
      <c r="B753" s="55"/>
      <c r="C753" s="71"/>
      <c r="D753" s="71"/>
      <c r="E753" s="71"/>
      <c r="F753" s="71"/>
      <c r="G753" s="71"/>
      <c r="H753" s="71"/>
      <c r="I753" s="71"/>
      <c r="J753" s="174"/>
      <c r="K753" s="132"/>
      <c r="L753" s="133"/>
    </row>
    <row r="754" spans="1:12" ht="12.75" customHeight="1" x14ac:dyDescent="0.2">
      <c r="A754" s="158" t="s">
        <v>65</v>
      </c>
      <c r="B754" s="55"/>
      <c r="C754" s="652" t="s">
        <v>833</v>
      </c>
      <c r="D754" s="652"/>
      <c r="E754" s="652"/>
      <c r="F754" s="652"/>
      <c r="G754" s="652"/>
      <c r="H754" s="652"/>
      <c r="I754" s="652"/>
      <c r="J754" s="653"/>
      <c r="K754" s="132"/>
      <c r="L754" s="133"/>
    </row>
    <row r="755" spans="1:12" x14ac:dyDescent="0.2">
      <c r="A755" s="158"/>
      <c r="B755" s="55"/>
      <c r="C755" s="652"/>
      <c r="D755" s="652"/>
      <c r="E755" s="652"/>
      <c r="F755" s="652"/>
      <c r="G755" s="652"/>
      <c r="H755" s="652"/>
      <c r="I755" s="652"/>
      <c r="J755" s="653"/>
      <c r="K755" s="132"/>
      <c r="L755" s="133"/>
    </row>
    <row r="756" spans="1:12" x14ac:dyDescent="0.2">
      <c r="A756" s="158"/>
      <c r="B756" s="55"/>
      <c r="C756" s="652"/>
      <c r="D756" s="652"/>
      <c r="E756" s="652"/>
      <c r="F756" s="652"/>
      <c r="G756" s="652"/>
      <c r="H756" s="652"/>
      <c r="I756" s="652"/>
      <c r="J756" s="653"/>
      <c r="K756" s="132"/>
      <c r="L756" s="133"/>
    </row>
    <row r="757" spans="1:12" x14ac:dyDescent="0.2">
      <c r="A757" s="158"/>
      <c r="B757" s="55"/>
      <c r="C757" s="71"/>
      <c r="D757" s="71"/>
      <c r="E757" s="71"/>
      <c r="F757" s="71"/>
      <c r="G757" s="71"/>
      <c r="H757" s="71"/>
      <c r="I757" s="71"/>
      <c r="J757" s="174"/>
      <c r="K757" s="132"/>
      <c r="L757" s="133"/>
    </row>
    <row r="758" spans="1:12" x14ac:dyDescent="0.2">
      <c r="A758" s="158"/>
      <c r="B758" s="55"/>
      <c r="C758" s="71"/>
      <c r="D758" s="71"/>
      <c r="E758" s="71"/>
      <c r="F758" s="71"/>
      <c r="G758" s="71"/>
      <c r="H758" s="71"/>
      <c r="I758" s="71"/>
      <c r="J758" s="174"/>
      <c r="K758" s="132"/>
      <c r="L758" s="133"/>
    </row>
    <row r="759" spans="1:12" x14ac:dyDescent="0.2">
      <c r="A759" s="158"/>
      <c r="B759" s="55"/>
      <c r="C759" s="71"/>
      <c r="D759" s="71"/>
      <c r="E759" s="71"/>
      <c r="F759" s="71"/>
      <c r="G759" s="71"/>
      <c r="H759" s="71"/>
      <c r="I759" s="71"/>
      <c r="J759" s="174"/>
      <c r="K759" s="132"/>
      <c r="L759" s="133"/>
    </row>
    <row r="760" spans="1:12" x14ac:dyDescent="0.2">
      <c r="A760" s="158"/>
      <c r="B760" s="55"/>
      <c r="C760" s="71"/>
      <c r="D760" s="71"/>
      <c r="E760" s="71"/>
      <c r="F760" s="71"/>
      <c r="G760" s="71"/>
      <c r="H760" s="71"/>
      <c r="I760" s="71"/>
      <c r="J760" s="174"/>
      <c r="K760" s="132"/>
      <c r="L760" s="133"/>
    </row>
    <row r="761" spans="1:12" x14ac:dyDescent="0.2">
      <c r="A761" s="158"/>
      <c r="B761" s="55"/>
      <c r="C761" s="71"/>
      <c r="D761" s="71"/>
      <c r="E761" s="71"/>
      <c r="F761" s="71"/>
      <c r="G761" s="71"/>
      <c r="H761" s="71"/>
      <c r="I761" s="71"/>
      <c r="J761" s="174"/>
      <c r="K761" s="132"/>
      <c r="L761" s="133"/>
    </row>
    <row r="762" spans="1:12" x14ac:dyDescent="0.2">
      <c r="A762" s="158"/>
      <c r="B762" s="55"/>
      <c r="C762" s="71"/>
      <c r="D762" s="71"/>
      <c r="E762" s="71"/>
      <c r="F762" s="71"/>
      <c r="G762" s="71"/>
      <c r="H762" s="71"/>
      <c r="I762" s="71"/>
      <c r="J762" s="174"/>
      <c r="K762" s="132"/>
      <c r="L762" s="133"/>
    </row>
    <row r="763" spans="1:12" x14ac:dyDescent="0.2">
      <c r="A763" s="158"/>
      <c r="B763" s="55"/>
      <c r="C763" s="175"/>
      <c r="D763" s="175"/>
      <c r="E763" s="175"/>
      <c r="F763" s="175"/>
      <c r="G763" s="175"/>
      <c r="H763" s="175"/>
      <c r="I763" s="175"/>
      <c r="J763" s="176"/>
      <c r="K763" s="132"/>
      <c r="L763" s="133"/>
    </row>
    <row r="764" spans="1:12" x14ac:dyDescent="0.2">
      <c r="A764" s="158"/>
      <c r="B764" s="55"/>
      <c r="C764" s="159"/>
      <c r="D764" s="159"/>
      <c r="E764" s="159"/>
      <c r="F764" s="159"/>
      <c r="G764" s="159"/>
      <c r="H764" s="159"/>
      <c r="I764" s="159"/>
      <c r="J764" s="160"/>
      <c r="K764" s="132"/>
      <c r="L764" s="133"/>
    </row>
    <row r="765" spans="1:12" ht="12.75" customHeight="1" x14ac:dyDescent="0.2">
      <c r="A765" s="158"/>
      <c r="B765" s="55"/>
      <c r="C765" s="159"/>
      <c r="D765" s="159"/>
      <c r="E765" s="159"/>
      <c r="F765" s="159"/>
      <c r="G765" s="159"/>
      <c r="H765" s="159"/>
      <c r="I765" s="159"/>
      <c r="J765" s="160"/>
      <c r="K765" s="132"/>
      <c r="L765" s="133"/>
    </row>
    <row r="766" spans="1:12" x14ac:dyDescent="0.2">
      <c r="A766" s="158"/>
      <c r="B766" s="55"/>
      <c r="C766" s="71"/>
      <c r="D766" s="71"/>
      <c r="E766" s="71"/>
      <c r="F766" s="71"/>
      <c r="G766" s="71"/>
      <c r="H766" s="71"/>
      <c r="I766" s="71"/>
      <c r="J766" s="174"/>
      <c r="K766" s="132"/>
      <c r="L766" s="133"/>
    </row>
    <row r="767" spans="1:12" x14ac:dyDescent="0.2">
      <c r="A767" s="158"/>
      <c r="B767" s="55"/>
      <c r="C767" s="175"/>
      <c r="D767" s="175"/>
      <c r="E767" s="172"/>
      <c r="F767" s="172"/>
      <c r="G767" s="172"/>
      <c r="H767" s="172"/>
      <c r="I767" s="172"/>
      <c r="J767" s="173"/>
      <c r="K767" s="132"/>
      <c r="L767" s="133"/>
    </row>
    <row r="768" spans="1:12" x14ac:dyDescent="0.2">
      <c r="A768" s="158"/>
      <c r="B768" s="55"/>
      <c r="C768" s="175"/>
      <c r="D768" s="175"/>
      <c r="E768" s="172"/>
      <c r="F768" s="172"/>
      <c r="G768" s="172"/>
      <c r="H768" s="172"/>
      <c r="I768" s="172"/>
      <c r="J768" s="173"/>
      <c r="K768" s="132"/>
      <c r="L768" s="133"/>
    </row>
    <row r="769" spans="1:14" x14ac:dyDescent="0.2">
      <c r="A769" s="158"/>
      <c r="B769" s="55"/>
      <c r="C769" s="175"/>
      <c r="D769" s="175"/>
      <c r="E769" s="172"/>
      <c r="F769" s="172"/>
      <c r="G769" s="172"/>
      <c r="H769" s="172"/>
      <c r="I769" s="172"/>
      <c r="J769" s="173"/>
      <c r="K769" s="132"/>
      <c r="L769" s="133"/>
    </row>
    <row r="770" spans="1:14" x14ac:dyDescent="0.2">
      <c r="A770" s="158"/>
      <c r="B770" s="55"/>
      <c r="C770" s="175"/>
      <c r="D770" s="175"/>
      <c r="E770" s="175"/>
      <c r="F770" s="175"/>
      <c r="G770" s="175"/>
      <c r="H770" s="175"/>
      <c r="I770" s="175"/>
      <c r="J770" s="176"/>
      <c r="K770" s="132"/>
      <c r="L770" s="133"/>
    </row>
    <row r="771" spans="1:14" ht="13.5" thickBot="1" x14ac:dyDescent="0.25">
      <c r="A771" s="149"/>
      <c r="B771" s="167"/>
      <c r="C771" s="151"/>
      <c r="D771" s="151"/>
      <c r="E771" s="151"/>
      <c r="F771" s="151"/>
      <c r="G771" s="151"/>
      <c r="H771" s="151"/>
      <c r="I771" s="151"/>
      <c r="J771" s="168"/>
      <c r="K771" s="132"/>
      <c r="L771" s="133"/>
    </row>
    <row r="772" spans="1:14" ht="15.75" x14ac:dyDescent="0.2">
      <c r="A772" s="602" t="s">
        <v>4</v>
      </c>
      <c r="B772" s="603"/>
      <c r="C772" s="603" t="str">
        <f>'A IV.A'!$B$22</f>
        <v>SERVIÇOS INICIAIS</v>
      </c>
      <c r="D772" s="603"/>
      <c r="E772" s="603"/>
      <c r="F772" s="603"/>
      <c r="G772" s="603"/>
      <c r="H772" s="603"/>
      <c r="I772" s="603"/>
      <c r="J772" s="604"/>
      <c r="K772" s="132"/>
      <c r="L772" s="133"/>
    </row>
    <row r="773" spans="1:14" x14ac:dyDescent="0.2">
      <c r="A773" s="609" t="str">
        <f>'A IV.A'!$A$22</f>
        <v>2.0</v>
      </c>
      <c r="B773" s="610"/>
      <c r="C773" s="605"/>
      <c r="D773" s="605"/>
      <c r="E773" s="605"/>
      <c r="F773" s="605"/>
      <c r="G773" s="605"/>
      <c r="H773" s="605"/>
      <c r="I773" s="605"/>
      <c r="J773" s="606"/>
      <c r="K773" s="132"/>
      <c r="L773" s="133"/>
    </row>
    <row r="774" spans="1:14" ht="13.5" thickBot="1" x14ac:dyDescent="0.25">
      <c r="A774" s="611"/>
      <c r="B774" s="612"/>
      <c r="C774" s="607"/>
      <c r="D774" s="607"/>
      <c r="E774" s="607"/>
      <c r="F774" s="607"/>
      <c r="G774" s="607"/>
      <c r="H774" s="607"/>
      <c r="I774" s="607"/>
      <c r="J774" s="608"/>
      <c r="K774" s="132"/>
      <c r="L774" s="133"/>
    </row>
    <row r="775" spans="1:14" ht="13.5" thickBot="1" x14ac:dyDescent="0.25">
      <c r="A775" s="169"/>
      <c r="B775" s="169"/>
      <c r="C775" s="613"/>
      <c r="D775" s="613"/>
      <c r="E775" s="613"/>
      <c r="F775" s="613"/>
      <c r="G775" s="613"/>
      <c r="H775" s="613"/>
      <c r="I775" s="613"/>
      <c r="J775" s="169"/>
      <c r="K775" s="132"/>
      <c r="L775" s="133"/>
    </row>
    <row r="776" spans="1:14" ht="13.5" thickBot="1" x14ac:dyDescent="0.25">
      <c r="A776" s="632" t="s">
        <v>60</v>
      </c>
      <c r="B776" s="633"/>
      <c r="C776" s="656" t="s">
        <v>61</v>
      </c>
      <c r="D776" s="656"/>
      <c r="E776" s="656"/>
      <c r="F776" s="656"/>
      <c r="G776" s="656"/>
      <c r="H776" s="656"/>
      <c r="I776" s="656"/>
      <c r="J776" s="260" t="s">
        <v>0</v>
      </c>
      <c r="K776" s="132"/>
      <c r="L776" s="133"/>
    </row>
    <row r="777" spans="1:14" x14ac:dyDescent="0.2">
      <c r="A777" s="136"/>
      <c r="B777" s="137"/>
      <c r="C777" s="619"/>
      <c r="D777" s="620"/>
      <c r="E777" s="621"/>
      <c r="F777" s="621"/>
      <c r="G777" s="621"/>
      <c r="H777" s="621"/>
      <c r="I777" s="622"/>
      <c r="J777" s="138"/>
      <c r="K777" s="132"/>
      <c r="L777" s="133"/>
    </row>
    <row r="778" spans="1:14" x14ac:dyDescent="0.2">
      <c r="A778" s="625" t="str">
        <f>'A IV.A'!$A$35</f>
        <v>2.2.3</v>
      </c>
      <c r="B778" s="624"/>
      <c r="C778" s="626" t="str">
        <f>'A IV.A'!$B$35</f>
        <v>BOTA-FORA E DESCARGA DE MATERIAIS PROVENIENTES DE DEMOLIÇÕES EM GERAL</v>
      </c>
      <c r="D778" s="627"/>
      <c r="E778" s="627"/>
      <c r="F778" s="627"/>
      <c r="G778" s="627"/>
      <c r="H778" s="627"/>
      <c r="I778" s="628"/>
      <c r="J778" s="629" t="str">
        <f>'A IV.A'!$C$35</f>
        <v>M3.KM</v>
      </c>
      <c r="K778" s="630" t="str">
        <f>VLOOKUP(A778,'A IV.A'!$A$14:$M$233,2,FALSE)</f>
        <v>BOTA-FORA E DESCARGA DE MATERIAIS PROVENIENTES DE DEMOLIÇÕES EM GERAL</v>
      </c>
      <c r="L778" s="631" t="str">
        <f>IF(C778=K778,"sim","nao")</f>
        <v>sim</v>
      </c>
      <c r="M778" s="631" t="str">
        <f>VLOOKUP(A778,'A IV.A'!$A$14:$M$233,3,FALSE)</f>
        <v>M3.KM</v>
      </c>
      <c r="N778" s="631" t="str">
        <f>IF(J778=M778,"sim","nao")</f>
        <v>sim</v>
      </c>
    </row>
    <row r="779" spans="1:14" x14ac:dyDescent="0.2">
      <c r="A779" s="625"/>
      <c r="B779" s="624"/>
      <c r="C779" s="626"/>
      <c r="D779" s="627"/>
      <c r="E779" s="627"/>
      <c r="F779" s="627"/>
      <c r="G779" s="627"/>
      <c r="H779" s="627"/>
      <c r="I779" s="628"/>
      <c r="J779" s="629"/>
      <c r="K779" s="630"/>
      <c r="L779" s="631"/>
      <c r="M779" s="631"/>
      <c r="N779" s="631"/>
    </row>
    <row r="780" spans="1:14" x14ac:dyDescent="0.2">
      <c r="A780" s="139"/>
      <c r="B780" s="140"/>
      <c r="C780" s="141"/>
      <c r="D780" s="142"/>
      <c r="E780" s="142"/>
      <c r="F780" s="142"/>
      <c r="G780" s="142"/>
      <c r="H780" s="142"/>
      <c r="I780" s="143"/>
      <c r="J780" s="144"/>
      <c r="K780" s="132"/>
      <c r="L780" s="133"/>
    </row>
    <row r="781" spans="1:14" x14ac:dyDescent="0.2">
      <c r="A781" s="625" t="str">
        <f>'A IV.A'!A36</f>
        <v>2.2.4</v>
      </c>
      <c r="B781" s="624"/>
      <c r="C781" s="626" t="str">
        <f>'A IV.A'!B36</f>
        <v>LOCAL LICENCIADO PARA DEPÓSITO DE BOTA FORA</v>
      </c>
      <c r="D781" s="627"/>
      <c r="E781" s="627"/>
      <c r="F781" s="627"/>
      <c r="G781" s="627"/>
      <c r="H781" s="627"/>
      <c r="I781" s="628"/>
      <c r="J781" s="629" t="str">
        <f>'A IV.A'!$C$36</f>
        <v>M3</v>
      </c>
      <c r="K781" s="192"/>
      <c r="L781" s="55"/>
      <c r="M781" s="55"/>
      <c r="N781" s="55"/>
    </row>
    <row r="782" spans="1:14" x14ac:dyDescent="0.2">
      <c r="A782" s="625"/>
      <c r="B782" s="624"/>
      <c r="C782" s="626"/>
      <c r="D782" s="627"/>
      <c r="E782" s="627"/>
      <c r="F782" s="627"/>
      <c r="G782" s="627"/>
      <c r="H782" s="627"/>
      <c r="I782" s="628"/>
      <c r="J782" s="629"/>
      <c r="K782" s="192"/>
      <c r="L782" s="55"/>
      <c r="M782" s="55"/>
      <c r="N782" s="55"/>
    </row>
    <row r="783" spans="1:14" x14ac:dyDescent="0.2">
      <c r="A783" s="145"/>
      <c r="B783" s="146"/>
      <c r="C783" s="147"/>
      <c r="D783" s="147"/>
      <c r="E783" s="147"/>
      <c r="F783" s="147"/>
      <c r="G783" s="147"/>
      <c r="H783" s="147"/>
      <c r="I783" s="147"/>
      <c r="J783" s="148"/>
      <c r="K783" s="132"/>
      <c r="L783" s="133"/>
    </row>
    <row r="784" spans="1:14" x14ac:dyDescent="0.2">
      <c r="A784" s="158"/>
      <c r="B784" s="188"/>
      <c r="C784" s="189"/>
      <c r="D784" s="165"/>
      <c r="E784" s="165"/>
      <c r="F784" s="165"/>
      <c r="G784" s="165"/>
      <c r="H784" s="165"/>
      <c r="I784" s="190"/>
      <c r="J784" s="191"/>
      <c r="K784" s="630"/>
      <c r="L784" s="631"/>
      <c r="M784" s="631"/>
      <c r="N784" s="631"/>
    </row>
    <row r="785" spans="1:14" x14ac:dyDescent="0.2">
      <c r="A785" s="158"/>
      <c r="B785" s="188"/>
      <c r="C785" s="189"/>
      <c r="D785" s="165"/>
      <c r="E785" s="165"/>
      <c r="F785" s="165"/>
      <c r="G785" s="165"/>
      <c r="H785" s="165"/>
      <c r="I785" s="190"/>
      <c r="J785" s="191"/>
      <c r="K785" s="630"/>
      <c r="L785" s="631"/>
      <c r="M785" s="631"/>
      <c r="N785" s="631"/>
    </row>
    <row r="786" spans="1:14" x14ac:dyDescent="0.2">
      <c r="A786" s="145"/>
      <c r="B786" s="146"/>
      <c r="C786" s="147"/>
      <c r="D786" s="147"/>
      <c r="E786" s="147"/>
      <c r="F786" s="147"/>
      <c r="G786" s="147"/>
      <c r="H786" s="147"/>
      <c r="I786" s="147"/>
      <c r="J786" s="148"/>
      <c r="K786" s="132"/>
      <c r="L786" s="133"/>
    </row>
    <row r="787" spans="1:14" x14ac:dyDescent="0.2">
      <c r="A787" s="145"/>
      <c r="B787" s="146"/>
      <c r="C787" s="147"/>
      <c r="D787" s="147"/>
      <c r="E787" s="147"/>
      <c r="F787" s="147"/>
      <c r="G787" s="147"/>
      <c r="H787" s="147"/>
      <c r="I787" s="147"/>
      <c r="J787" s="148"/>
      <c r="K787" s="132"/>
      <c r="L787" s="133"/>
    </row>
    <row r="788" spans="1:14" x14ac:dyDescent="0.2">
      <c r="A788" s="145"/>
      <c r="B788" s="146"/>
      <c r="C788" s="147"/>
      <c r="D788" s="147"/>
      <c r="E788" s="147"/>
      <c r="F788" s="147"/>
      <c r="G788" s="147"/>
      <c r="H788" s="147"/>
      <c r="I788" s="147"/>
      <c r="J788" s="148"/>
      <c r="K788" s="132"/>
      <c r="L788" s="133"/>
    </row>
    <row r="789" spans="1:14" x14ac:dyDescent="0.2">
      <c r="A789" s="145"/>
      <c r="B789" s="146"/>
      <c r="C789" s="147"/>
      <c r="D789" s="147"/>
      <c r="E789" s="147"/>
      <c r="F789" s="147"/>
      <c r="G789" s="147"/>
      <c r="H789" s="147"/>
      <c r="I789" s="147"/>
      <c r="J789" s="148"/>
      <c r="K789" s="132"/>
      <c r="L789" s="133"/>
    </row>
    <row r="790" spans="1:14" x14ac:dyDescent="0.2">
      <c r="A790" s="145"/>
      <c r="B790" s="146"/>
      <c r="C790" s="147"/>
      <c r="D790" s="147"/>
      <c r="E790" s="147"/>
      <c r="F790" s="147"/>
      <c r="G790" s="147"/>
      <c r="H790" s="147"/>
      <c r="I790" s="147"/>
      <c r="J790" s="148"/>
      <c r="K790" s="132"/>
      <c r="L790" s="133"/>
    </row>
    <row r="791" spans="1:14" x14ac:dyDescent="0.2">
      <c r="A791" s="145"/>
      <c r="B791" s="146"/>
      <c r="C791" s="147"/>
      <c r="D791" s="147"/>
      <c r="E791" s="147"/>
      <c r="F791" s="147"/>
      <c r="G791" s="147"/>
      <c r="H791" s="147"/>
      <c r="I791" s="147"/>
      <c r="J791" s="148"/>
      <c r="K791" s="132"/>
      <c r="L791" s="133"/>
    </row>
    <row r="792" spans="1:14" x14ac:dyDescent="0.2">
      <c r="A792" s="145"/>
      <c r="B792" s="146"/>
      <c r="C792" s="147"/>
      <c r="D792" s="147"/>
      <c r="E792" s="147"/>
      <c r="F792" s="147"/>
      <c r="G792" s="147"/>
      <c r="H792" s="147"/>
      <c r="I792" s="147"/>
      <c r="J792" s="148"/>
      <c r="K792" s="132"/>
      <c r="L792" s="133"/>
    </row>
    <row r="793" spans="1:14" x14ac:dyDescent="0.2">
      <c r="A793" s="145"/>
      <c r="B793" s="146"/>
      <c r="C793" s="147"/>
      <c r="D793" s="147"/>
      <c r="E793" s="147"/>
      <c r="F793" s="147"/>
      <c r="G793" s="147"/>
      <c r="H793" s="147"/>
      <c r="I793" s="147"/>
      <c r="J793" s="148"/>
      <c r="K793" s="132"/>
      <c r="L793" s="133"/>
    </row>
    <row r="794" spans="1:14" x14ac:dyDescent="0.2">
      <c r="A794" s="145"/>
      <c r="B794" s="146"/>
      <c r="C794" s="147"/>
      <c r="D794" s="147"/>
      <c r="E794" s="147"/>
      <c r="F794" s="147"/>
      <c r="G794" s="147"/>
      <c r="H794" s="147"/>
      <c r="I794" s="147"/>
      <c r="J794" s="148"/>
      <c r="K794" s="132"/>
      <c r="L794" s="133"/>
    </row>
    <row r="795" spans="1:14" x14ac:dyDescent="0.2">
      <c r="A795" s="145"/>
      <c r="B795" s="146"/>
      <c r="C795" s="147"/>
      <c r="D795" s="147"/>
      <c r="E795" s="147"/>
      <c r="F795" s="147"/>
      <c r="G795" s="147"/>
      <c r="H795" s="147"/>
      <c r="I795" s="147"/>
      <c r="J795" s="148"/>
      <c r="K795" s="132"/>
      <c r="L795" s="133"/>
    </row>
    <row r="796" spans="1:14" x14ac:dyDescent="0.2">
      <c r="A796" s="145"/>
      <c r="B796" s="146"/>
      <c r="C796" s="147"/>
      <c r="D796" s="147"/>
      <c r="E796" s="147"/>
      <c r="F796" s="147"/>
      <c r="G796" s="147"/>
      <c r="H796" s="147"/>
      <c r="I796" s="147"/>
      <c r="J796" s="148"/>
      <c r="K796" s="132"/>
      <c r="L796" s="133"/>
    </row>
    <row r="797" spans="1:14" x14ac:dyDescent="0.2">
      <c r="A797" s="145"/>
      <c r="B797" s="146"/>
      <c r="C797" s="147"/>
      <c r="D797" s="147"/>
      <c r="E797" s="147"/>
      <c r="F797" s="147"/>
      <c r="G797" s="147"/>
      <c r="H797" s="147"/>
      <c r="I797" s="147"/>
      <c r="J797" s="148"/>
      <c r="K797" s="132"/>
      <c r="L797" s="133"/>
    </row>
    <row r="798" spans="1:14" x14ac:dyDescent="0.2">
      <c r="A798" s="145"/>
      <c r="B798" s="146"/>
      <c r="C798" s="147"/>
      <c r="D798" s="147"/>
      <c r="E798" s="147"/>
      <c r="F798" s="147"/>
      <c r="G798" s="147"/>
      <c r="H798" s="147"/>
      <c r="I798" s="147"/>
      <c r="J798" s="148"/>
      <c r="K798" s="132"/>
      <c r="L798" s="133"/>
    </row>
    <row r="799" spans="1:14" ht="13.5" thickBot="1" x14ac:dyDescent="0.25">
      <c r="A799" s="149"/>
      <c r="B799" s="150"/>
      <c r="C799" s="151"/>
      <c r="D799" s="151"/>
      <c r="E799" s="151"/>
      <c r="F799" s="151"/>
      <c r="G799" s="151"/>
      <c r="H799" s="151"/>
      <c r="I799" s="151"/>
      <c r="J799" s="152"/>
      <c r="K799" s="132"/>
      <c r="L799" s="133"/>
    </row>
    <row r="800" spans="1:14" ht="13.5" thickBot="1" x14ac:dyDescent="0.25">
      <c r="A800" s="153"/>
      <c r="B800" s="153"/>
      <c r="C800" s="154"/>
      <c r="D800" s="154"/>
      <c r="E800" s="154"/>
      <c r="F800" s="154"/>
      <c r="G800" s="154"/>
      <c r="H800" s="154"/>
      <c r="I800" s="154"/>
      <c r="J800" s="153"/>
      <c r="K800" s="132"/>
      <c r="L800" s="133"/>
    </row>
    <row r="801" spans="1:12" ht="13.5" thickBot="1" x14ac:dyDescent="0.25">
      <c r="A801" s="614" t="s">
        <v>62</v>
      </c>
      <c r="B801" s="648"/>
      <c r="C801" s="648"/>
      <c r="D801" s="648"/>
      <c r="E801" s="648"/>
      <c r="F801" s="648"/>
      <c r="G801" s="648"/>
      <c r="H801" s="648"/>
      <c r="I801" s="648"/>
      <c r="J801" s="649"/>
      <c r="K801" s="132"/>
      <c r="L801" s="133"/>
    </row>
    <row r="802" spans="1:12" x14ac:dyDescent="0.2">
      <c r="A802" s="136"/>
      <c r="B802" s="155"/>
      <c r="C802" s="156"/>
      <c r="D802" s="156"/>
      <c r="E802" s="156"/>
      <c r="F802" s="156"/>
      <c r="G802" s="156"/>
      <c r="H802" s="156"/>
      <c r="I802" s="156"/>
      <c r="J802" s="157"/>
      <c r="K802" s="132"/>
      <c r="L802" s="133"/>
    </row>
    <row r="803" spans="1:12" ht="12.75" customHeight="1" x14ac:dyDescent="0.2">
      <c r="A803" s="158" t="s">
        <v>63</v>
      </c>
      <c r="B803" s="55"/>
      <c r="C803" s="634" t="s">
        <v>1135</v>
      </c>
      <c r="D803" s="634"/>
      <c r="E803" s="634"/>
      <c r="F803" s="634"/>
      <c r="G803" s="634"/>
      <c r="H803" s="634"/>
      <c r="I803" s="634"/>
      <c r="J803" s="635"/>
      <c r="K803" s="132"/>
      <c r="L803" s="133"/>
    </row>
    <row r="804" spans="1:12" x14ac:dyDescent="0.2">
      <c r="A804" s="158"/>
      <c r="B804" s="55"/>
      <c r="C804" s="634"/>
      <c r="D804" s="634"/>
      <c r="E804" s="634"/>
      <c r="F804" s="634"/>
      <c r="G804" s="634"/>
      <c r="H804" s="634"/>
      <c r="I804" s="634"/>
      <c r="J804" s="635"/>
      <c r="K804" s="132"/>
      <c r="L804" s="133"/>
    </row>
    <row r="805" spans="1:12" x14ac:dyDescent="0.2">
      <c r="A805" s="158"/>
      <c r="B805" s="55"/>
      <c r="C805" s="634"/>
      <c r="D805" s="634"/>
      <c r="E805" s="634"/>
      <c r="F805" s="634"/>
      <c r="G805" s="634"/>
      <c r="H805" s="634"/>
      <c r="I805" s="634"/>
      <c r="J805" s="635"/>
      <c r="K805" s="132"/>
      <c r="L805" s="133"/>
    </row>
    <row r="806" spans="1:12" x14ac:dyDescent="0.2">
      <c r="A806" s="158"/>
      <c r="B806" s="55"/>
      <c r="C806" s="634"/>
      <c r="D806" s="634"/>
      <c r="E806" s="634"/>
      <c r="F806" s="634"/>
      <c r="G806" s="634"/>
      <c r="H806" s="634"/>
      <c r="I806" s="634"/>
      <c r="J806" s="635"/>
      <c r="K806" s="132"/>
      <c r="L806" s="133"/>
    </row>
    <row r="807" spans="1:12" x14ac:dyDescent="0.2">
      <c r="A807" s="158"/>
      <c r="B807" s="55"/>
      <c r="C807" s="634"/>
      <c r="D807" s="634"/>
      <c r="E807" s="634"/>
      <c r="F807" s="634"/>
      <c r="G807" s="634"/>
      <c r="H807" s="634"/>
      <c r="I807" s="634"/>
      <c r="J807" s="635"/>
      <c r="K807" s="132"/>
      <c r="L807" s="133"/>
    </row>
    <row r="808" spans="1:12" x14ac:dyDescent="0.2">
      <c r="A808" s="158"/>
      <c r="B808" s="55"/>
      <c r="C808" s="634"/>
      <c r="D808" s="634"/>
      <c r="E808" s="634"/>
      <c r="F808" s="634"/>
      <c r="G808" s="634"/>
      <c r="H808" s="634"/>
      <c r="I808" s="634"/>
      <c r="J808" s="635"/>
      <c r="K808" s="132"/>
      <c r="L808" s="133"/>
    </row>
    <row r="809" spans="1:12" x14ac:dyDescent="0.2">
      <c r="A809" s="158"/>
      <c r="B809" s="55"/>
      <c r="C809" s="71"/>
      <c r="D809" s="71"/>
      <c r="E809" s="71"/>
      <c r="F809" s="71"/>
      <c r="G809" s="71"/>
      <c r="H809" s="71"/>
      <c r="I809" s="71"/>
      <c r="J809" s="174"/>
      <c r="K809" s="132"/>
      <c r="L809" s="133"/>
    </row>
    <row r="810" spans="1:12" ht="12.75" customHeight="1" x14ac:dyDescent="0.2">
      <c r="A810" s="158" t="s">
        <v>1136</v>
      </c>
      <c r="B810" s="55"/>
      <c r="C810" s="634" t="s">
        <v>456</v>
      </c>
      <c r="D810" s="634"/>
      <c r="E810" s="634"/>
      <c r="F810" s="634"/>
      <c r="G810" s="634"/>
      <c r="H810" s="634"/>
      <c r="I810" s="634"/>
      <c r="J810" s="635"/>
      <c r="K810" s="132"/>
      <c r="L810" s="133"/>
    </row>
    <row r="811" spans="1:12" x14ac:dyDescent="0.2">
      <c r="A811" s="158"/>
      <c r="B811" s="55"/>
      <c r="C811" s="71"/>
      <c r="D811" s="71"/>
      <c r="E811" s="71"/>
      <c r="F811" s="71"/>
      <c r="G811" s="71"/>
      <c r="H811" s="71"/>
      <c r="I811" s="71"/>
      <c r="J811" s="174"/>
      <c r="K811" s="132"/>
      <c r="L811" s="133"/>
    </row>
    <row r="812" spans="1:12" x14ac:dyDescent="0.2">
      <c r="A812" s="158" t="s">
        <v>1137</v>
      </c>
      <c r="B812" s="55"/>
      <c r="C812" s="634" t="s">
        <v>1138</v>
      </c>
      <c r="D812" s="634"/>
      <c r="E812" s="634"/>
      <c r="F812" s="634"/>
      <c r="G812" s="634"/>
      <c r="H812" s="634"/>
      <c r="I812" s="634"/>
      <c r="J812" s="635"/>
      <c r="K812" s="132"/>
      <c r="L812" s="133"/>
    </row>
    <row r="813" spans="1:12" x14ac:dyDescent="0.2">
      <c r="A813" s="158"/>
      <c r="B813" s="55"/>
      <c r="C813" s="175"/>
      <c r="D813" s="175"/>
      <c r="E813" s="175"/>
      <c r="F813" s="175"/>
      <c r="G813" s="175"/>
      <c r="H813" s="175"/>
      <c r="I813" s="175"/>
      <c r="J813" s="176"/>
      <c r="K813" s="132"/>
      <c r="L813" s="133"/>
    </row>
    <row r="814" spans="1:12" x14ac:dyDescent="0.2">
      <c r="A814" s="158"/>
      <c r="B814" s="55"/>
      <c r="C814" s="71"/>
      <c r="D814" s="71"/>
      <c r="E814" s="71"/>
      <c r="F814" s="71"/>
      <c r="G814" s="71"/>
      <c r="H814" s="71"/>
      <c r="I814" s="71"/>
      <c r="J814" s="174"/>
      <c r="K814" s="132"/>
      <c r="L814" s="133"/>
    </row>
    <row r="815" spans="1:12" ht="12.75" customHeight="1" x14ac:dyDescent="0.2">
      <c r="A815" s="158" t="s">
        <v>65</v>
      </c>
      <c r="B815" s="55"/>
      <c r="C815" s="652" t="s">
        <v>833</v>
      </c>
      <c r="D815" s="652"/>
      <c r="E815" s="652"/>
      <c r="F815" s="652"/>
      <c r="G815" s="652"/>
      <c r="H815" s="652"/>
      <c r="I815" s="652"/>
      <c r="J815" s="653"/>
      <c r="K815" s="132"/>
      <c r="L815" s="133"/>
    </row>
    <row r="816" spans="1:12" x14ac:dyDescent="0.2">
      <c r="A816" s="158"/>
      <c r="B816" s="55"/>
      <c r="C816" s="652"/>
      <c r="D816" s="652"/>
      <c r="E816" s="652"/>
      <c r="F816" s="652"/>
      <c r="G816" s="652"/>
      <c r="H816" s="652"/>
      <c r="I816" s="652"/>
      <c r="J816" s="653"/>
      <c r="K816" s="132"/>
      <c r="L816" s="133"/>
    </row>
    <row r="817" spans="1:12" x14ac:dyDescent="0.2">
      <c r="A817" s="158"/>
      <c r="B817" s="55"/>
      <c r="C817" s="652"/>
      <c r="D817" s="652"/>
      <c r="E817" s="652"/>
      <c r="F817" s="652"/>
      <c r="G817" s="652"/>
      <c r="H817" s="652"/>
      <c r="I817" s="652"/>
      <c r="J817" s="653"/>
      <c r="K817" s="132"/>
      <c r="L817" s="133"/>
    </row>
    <row r="818" spans="1:12" x14ac:dyDescent="0.2">
      <c r="A818" s="158"/>
      <c r="B818" s="55"/>
      <c r="C818" s="71"/>
      <c r="D818" s="71"/>
      <c r="E818" s="71"/>
      <c r="F818" s="71"/>
      <c r="G818" s="71"/>
      <c r="H818" s="71"/>
      <c r="I818" s="71"/>
      <c r="J818" s="174"/>
      <c r="K818" s="132"/>
      <c r="L818" s="133"/>
    </row>
    <row r="819" spans="1:12" x14ac:dyDescent="0.2">
      <c r="A819" s="158"/>
      <c r="B819" s="55"/>
      <c r="C819" s="71"/>
      <c r="D819" s="71"/>
      <c r="E819" s="71"/>
      <c r="F819" s="71"/>
      <c r="G819" s="71"/>
      <c r="H819" s="71"/>
      <c r="I819" s="71"/>
      <c r="J819" s="174"/>
      <c r="K819" s="132"/>
      <c r="L819" s="133"/>
    </row>
    <row r="820" spans="1:12" x14ac:dyDescent="0.2">
      <c r="A820" s="158"/>
      <c r="B820" s="55"/>
      <c r="C820" s="71"/>
      <c r="D820" s="71"/>
      <c r="E820" s="71"/>
      <c r="F820" s="71"/>
      <c r="G820" s="71"/>
      <c r="H820" s="71"/>
      <c r="I820" s="71"/>
      <c r="J820" s="174"/>
      <c r="K820" s="132"/>
      <c r="L820" s="133"/>
    </row>
    <row r="821" spans="1:12" x14ac:dyDescent="0.2">
      <c r="A821" s="158"/>
      <c r="B821" s="55"/>
      <c r="C821" s="71"/>
      <c r="D821" s="71"/>
      <c r="E821" s="71"/>
      <c r="F821" s="71"/>
      <c r="G821" s="71"/>
      <c r="H821" s="71"/>
      <c r="I821" s="71"/>
      <c r="J821" s="174"/>
      <c r="K821" s="132"/>
      <c r="L821" s="133"/>
    </row>
    <row r="822" spans="1:12" x14ac:dyDescent="0.2">
      <c r="A822" s="158"/>
      <c r="B822" s="55"/>
      <c r="C822" s="71"/>
      <c r="D822" s="71"/>
      <c r="E822" s="71"/>
      <c r="F822" s="71"/>
      <c r="G822" s="71"/>
      <c r="H822" s="71"/>
      <c r="I822" s="71"/>
      <c r="J822" s="174"/>
      <c r="K822" s="132"/>
      <c r="L822" s="133"/>
    </row>
    <row r="823" spans="1:12" x14ac:dyDescent="0.2">
      <c r="A823" s="158"/>
      <c r="B823" s="55"/>
      <c r="C823" s="175"/>
      <c r="D823" s="175"/>
      <c r="E823" s="172"/>
      <c r="F823" s="172"/>
      <c r="G823" s="172"/>
      <c r="H823" s="172"/>
      <c r="I823" s="172"/>
      <c r="J823" s="173"/>
      <c r="K823" s="132"/>
      <c r="L823" s="133"/>
    </row>
    <row r="824" spans="1:12" x14ac:dyDescent="0.2">
      <c r="A824" s="158"/>
      <c r="B824" s="55"/>
      <c r="C824" s="175"/>
      <c r="D824" s="175"/>
      <c r="E824" s="172"/>
      <c r="F824" s="172"/>
      <c r="G824" s="172"/>
      <c r="H824" s="172"/>
      <c r="I824" s="172"/>
      <c r="J824" s="173"/>
      <c r="K824" s="132"/>
      <c r="L824" s="133"/>
    </row>
    <row r="825" spans="1:12" x14ac:dyDescent="0.2">
      <c r="A825" s="158"/>
      <c r="B825" s="55"/>
      <c r="C825" s="175"/>
      <c r="D825" s="175"/>
      <c r="E825" s="172"/>
      <c r="F825" s="172"/>
      <c r="G825" s="172"/>
      <c r="H825" s="172"/>
      <c r="I825" s="172"/>
      <c r="J825" s="173"/>
      <c r="K825" s="132"/>
      <c r="L825" s="133"/>
    </row>
    <row r="826" spans="1:12" ht="13.5" thickBot="1" x14ac:dyDescent="0.25">
      <c r="A826" s="149"/>
      <c r="B826" s="167"/>
      <c r="C826" s="151"/>
      <c r="D826" s="151"/>
      <c r="E826" s="151"/>
      <c r="F826" s="151"/>
      <c r="G826" s="151"/>
      <c r="H826" s="151"/>
      <c r="I826" s="151"/>
      <c r="J826" s="168"/>
      <c r="K826" s="132"/>
      <c r="L826" s="133"/>
    </row>
    <row r="827" spans="1:12" ht="15.75" x14ac:dyDescent="0.2">
      <c r="A827" s="602" t="s">
        <v>4</v>
      </c>
      <c r="B827" s="603"/>
      <c r="C827" s="603" t="str">
        <f>'A IV.A'!$B$22</f>
        <v>SERVIÇOS INICIAIS</v>
      </c>
      <c r="D827" s="603"/>
      <c r="E827" s="603"/>
      <c r="F827" s="603"/>
      <c r="G827" s="603"/>
      <c r="H827" s="603"/>
      <c r="I827" s="603"/>
      <c r="J827" s="604"/>
      <c r="K827" s="132"/>
      <c r="L827" s="133"/>
    </row>
    <row r="828" spans="1:12" x14ac:dyDescent="0.2">
      <c r="A828" s="609" t="str">
        <f>'A IV.A'!$A$22</f>
        <v>2.0</v>
      </c>
      <c r="B828" s="610"/>
      <c r="C828" s="605"/>
      <c r="D828" s="605"/>
      <c r="E828" s="605"/>
      <c r="F828" s="605"/>
      <c r="G828" s="605"/>
      <c r="H828" s="605"/>
      <c r="I828" s="605"/>
      <c r="J828" s="606"/>
      <c r="K828" s="132"/>
      <c r="L828" s="133"/>
    </row>
    <row r="829" spans="1:12" ht="13.5" thickBot="1" x14ac:dyDescent="0.25">
      <c r="A829" s="611"/>
      <c r="B829" s="612"/>
      <c r="C829" s="607"/>
      <c r="D829" s="607"/>
      <c r="E829" s="607"/>
      <c r="F829" s="607"/>
      <c r="G829" s="607"/>
      <c r="H829" s="607"/>
      <c r="I829" s="607"/>
      <c r="J829" s="608"/>
      <c r="K829" s="132"/>
      <c r="L829" s="133"/>
    </row>
    <row r="830" spans="1:12" ht="13.5" thickBot="1" x14ac:dyDescent="0.25">
      <c r="A830" s="169"/>
      <c r="B830" s="169"/>
      <c r="C830" s="613"/>
      <c r="D830" s="613"/>
      <c r="E830" s="613"/>
      <c r="F830" s="613"/>
      <c r="G830" s="613"/>
      <c r="H830" s="613"/>
      <c r="I830" s="613"/>
      <c r="J830" s="169"/>
      <c r="K830" s="132"/>
      <c r="L830" s="133"/>
    </row>
    <row r="831" spans="1:12" ht="13.5" thickBot="1" x14ac:dyDescent="0.25">
      <c r="A831" s="632" t="s">
        <v>60</v>
      </c>
      <c r="B831" s="633"/>
      <c r="C831" s="656" t="s">
        <v>61</v>
      </c>
      <c r="D831" s="656"/>
      <c r="E831" s="656"/>
      <c r="F831" s="656"/>
      <c r="G831" s="656"/>
      <c r="H831" s="656"/>
      <c r="I831" s="656"/>
      <c r="J831" s="260" t="s">
        <v>0</v>
      </c>
      <c r="K831" s="132"/>
      <c r="L831" s="133"/>
    </row>
    <row r="832" spans="1:12" x14ac:dyDescent="0.2">
      <c r="A832" s="136"/>
      <c r="B832" s="137"/>
      <c r="C832" s="619"/>
      <c r="D832" s="620"/>
      <c r="E832" s="621"/>
      <c r="F832" s="621"/>
      <c r="G832" s="621"/>
      <c r="H832" s="621"/>
      <c r="I832" s="622"/>
      <c r="J832" s="138"/>
      <c r="K832" s="132"/>
      <c r="L832" s="133"/>
    </row>
    <row r="833" spans="1:14" x14ac:dyDescent="0.2">
      <c r="A833" s="625" t="str">
        <f>'A IV.A'!A38</f>
        <v>2.3.1</v>
      </c>
      <c r="B833" s="624"/>
      <c r="C833" s="626" t="str">
        <f>'A IV.A'!B38</f>
        <v>SINALIZAÇÃO DE OBRA COM CONE DE PVC COM PINTURA REFLEXIVA H = 0,70 M</v>
      </c>
      <c r="D833" s="627"/>
      <c r="E833" s="627"/>
      <c r="F833" s="627"/>
      <c r="G833" s="627"/>
      <c r="H833" s="627"/>
      <c r="I833" s="628"/>
      <c r="J833" s="629" t="str">
        <f>'A IV.A'!C38</f>
        <v>UN</v>
      </c>
      <c r="K833" s="630" t="str">
        <f>VLOOKUP(A833,'A IV.A'!$A$14:$M$233,2,FALSE)</f>
        <v>SINALIZAÇÃO DE OBRA COM CONE DE PVC COM PINTURA REFLEXIVA H = 0,70 M</v>
      </c>
      <c r="L833" s="631" t="str">
        <f>IF(C833=K833,"sim","nao")</f>
        <v>sim</v>
      </c>
      <c r="M833" s="631" t="str">
        <f>VLOOKUP(A833,'A IV.A'!$A$14:$M$233,3,FALSE)</f>
        <v>UN</v>
      </c>
      <c r="N833" s="631" t="str">
        <f>IF(J833=M833,"sim","nao")</f>
        <v>sim</v>
      </c>
    </row>
    <row r="834" spans="1:14" x14ac:dyDescent="0.2">
      <c r="A834" s="625"/>
      <c r="B834" s="624"/>
      <c r="C834" s="626"/>
      <c r="D834" s="627"/>
      <c r="E834" s="627"/>
      <c r="F834" s="627"/>
      <c r="G834" s="627"/>
      <c r="H834" s="627"/>
      <c r="I834" s="628"/>
      <c r="J834" s="629"/>
      <c r="K834" s="630"/>
      <c r="L834" s="631"/>
      <c r="M834" s="631"/>
      <c r="N834" s="631"/>
    </row>
    <row r="835" spans="1:14" x14ac:dyDescent="0.2">
      <c r="A835" s="139"/>
      <c r="B835" s="140"/>
      <c r="C835" s="141"/>
      <c r="D835" s="142"/>
      <c r="E835" s="142"/>
      <c r="F835" s="142"/>
      <c r="G835" s="142"/>
      <c r="H835" s="142"/>
      <c r="I835" s="143"/>
      <c r="J835" s="144"/>
      <c r="K835" s="132"/>
      <c r="L835" s="133"/>
    </row>
    <row r="836" spans="1:14" x14ac:dyDescent="0.2">
      <c r="A836" s="158"/>
      <c r="B836" s="188"/>
      <c r="C836" s="189"/>
      <c r="D836" s="165"/>
      <c r="E836" s="165"/>
      <c r="F836" s="165"/>
      <c r="G836" s="165"/>
      <c r="H836" s="165"/>
      <c r="I836" s="190"/>
      <c r="J836" s="191"/>
      <c r="K836" s="192"/>
      <c r="L836" s="55"/>
      <c r="M836" s="55"/>
      <c r="N836" s="55"/>
    </row>
    <row r="837" spans="1:14" x14ac:dyDescent="0.2">
      <c r="A837" s="158"/>
      <c r="B837" s="188"/>
      <c r="C837" s="189"/>
      <c r="D837" s="165"/>
      <c r="E837" s="165"/>
      <c r="F837" s="165"/>
      <c r="G837" s="165"/>
      <c r="H837" s="165"/>
      <c r="I837" s="190"/>
      <c r="J837" s="191"/>
      <c r="K837" s="192"/>
      <c r="L837" s="55"/>
      <c r="M837" s="55"/>
      <c r="N837" s="55"/>
    </row>
    <row r="838" spans="1:14" x14ac:dyDescent="0.2">
      <c r="A838" s="145"/>
      <c r="B838" s="146"/>
      <c r="C838" s="147"/>
      <c r="D838" s="147"/>
      <c r="E838" s="147"/>
      <c r="F838" s="147"/>
      <c r="G838" s="147"/>
      <c r="H838" s="147"/>
      <c r="I838" s="147"/>
      <c r="J838" s="148"/>
      <c r="K838" s="132"/>
      <c r="L838" s="133"/>
    </row>
    <row r="839" spans="1:14" x14ac:dyDescent="0.2">
      <c r="A839" s="158"/>
      <c r="B839" s="188"/>
      <c r="C839" s="189"/>
      <c r="D839" s="165"/>
      <c r="E839" s="165"/>
      <c r="F839" s="165"/>
      <c r="G839" s="165"/>
      <c r="H839" s="165"/>
      <c r="I839" s="190"/>
      <c r="J839" s="191"/>
      <c r="K839" s="630"/>
      <c r="L839" s="631"/>
      <c r="M839" s="631"/>
      <c r="N839" s="631"/>
    </row>
    <row r="840" spans="1:14" x14ac:dyDescent="0.2">
      <c r="A840" s="158"/>
      <c r="B840" s="188"/>
      <c r="C840" s="189"/>
      <c r="D840" s="165"/>
      <c r="E840" s="165"/>
      <c r="F840" s="165"/>
      <c r="G840" s="165"/>
      <c r="H840" s="165"/>
      <c r="I840" s="190"/>
      <c r="J840" s="191"/>
      <c r="K840" s="630"/>
      <c r="L840" s="631"/>
      <c r="M840" s="631"/>
      <c r="N840" s="631"/>
    </row>
    <row r="841" spans="1:14" x14ac:dyDescent="0.2">
      <c r="A841" s="145"/>
      <c r="B841" s="146"/>
      <c r="C841" s="147"/>
      <c r="D841" s="147"/>
      <c r="E841" s="147"/>
      <c r="F841" s="147"/>
      <c r="G841" s="147"/>
      <c r="H841" s="147"/>
      <c r="I841" s="147"/>
      <c r="J841" s="148"/>
      <c r="K841" s="132"/>
      <c r="L841" s="133"/>
    </row>
    <row r="842" spans="1:14" x14ac:dyDescent="0.2">
      <c r="A842" s="145"/>
      <c r="B842" s="146"/>
      <c r="C842" s="147"/>
      <c r="D842" s="147"/>
      <c r="E842" s="147"/>
      <c r="F842" s="147"/>
      <c r="G842" s="147"/>
      <c r="H842" s="147"/>
      <c r="I842" s="147"/>
      <c r="J842" s="148"/>
      <c r="K842" s="132"/>
      <c r="L842" s="133"/>
    </row>
    <row r="843" spans="1:14" x14ac:dyDescent="0.2">
      <c r="A843" s="145"/>
      <c r="B843" s="146"/>
      <c r="C843" s="147"/>
      <c r="D843" s="147"/>
      <c r="E843" s="147"/>
      <c r="F843" s="147"/>
      <c r="G843" s="147"/>
      <c r="H843" s="147"/>
      <c r="I843" s="147"/>
      <c r="J843" s="148"/>
      <c r="K843" s="132"/>
      <c r="L843" s="133"/>
    </row>
    <row r="844" spans="1:14" x14ac:dyDescent="0.2">
      <c r="A844" s="145"/>
      <c r="B844" s="146"/>
      <c r="C844" s="147"/>
      <c r="D844" s="147"/>
      <c r="E844" s="147"/>
      <c r="F844" s="147"/>
      <c r="G844" s="147"/>
      <c r="H844" s="147"/>
      <c r="I844" s="147"/>
      <c r="J844" s="148"/>
      <c r="K844" s="132"/>
      <c r="L844" s="133"/>
    </row>
    <row r="845" spans="1:14" x14ac:dyDescent="0.2">
      <c r="A845" s="145"/>
      <c r="B845" s="146"/>
      <c r="C845" s="147"/>
      <c r="D845" s="147"/>
      <c r="E845" s="147"/>
      <c r="F845" s="147"/>
      <c r="G845" s="147"/>
      <c r="H845" s="147"/>
      <c r="I845" s="147"/>
      <c r="J845" s="148"/>
      <c r="K845" s="132"/>
      <c r="L845" s="133"/>
    </row>
    <row r="846" spans="1:14" x14ac:dyDescent="0.2">
      <c r="A846" s="145"/>
      <c r="B846" s="146"/>
      <c r="C846" s="147"/>
      <c r="D846" s="147"/>
      <c r="E846" s="147"/>
      <c r="F846" s="147"/>
      <c r="G846" s="147"/>
      <c r="H846" s="147"/>
      <c r="I846" s="147"/>
      <c r="J846" s="148"/>
      <c r="K846" s="132"/>
      <c r="L846" s="133"/>
    </row>
    <row r="847" spans="1:14" x14ac:dyDescent="0.2">
      <c r="A847" s="145"/>
      <c r="B847" s="146"/>
      <c r="C847" s="147"/>
      <c r="D847" s="147"/>
      <c r="E847" s="147"/>
      <c r="F847" s="147"/>
      <c r="G847" s="147"/>
      <c r="H847" s="147"/>
      <c r="I847" s="147"/>
      <c r="J847" s="148"/>
      <c r="K847" s="132"/>
      <c r="L847" s="133"/>
    </row>
    <row r="848" spans="1:14" x14ac:dyDescent="0.2">
      <c r="A848" s="145"/>
      <c r="B848" s="146"/>
      <c r="C848" s="147"/>
      <c r="D848" s="147"/>
      <c r="E848" s="147"/>
      <c r="F848" s="147"/>
      <c r="G848" s="147"/>
      <c r="H848" s="147"/>
      <c r="I848" s="147"/>
      <c r="J848" s="148"/>
      <c r="K848" s="132"/>
      <c r="L848" s="133"/>
    </row>
    <row r="849" spans="1:12" x14ac:dyDescent="0.2">
      <c r="A849" s="145"/>
      <c r="B849" s="146"/>
      <c r="C849" s="147"/>
      <c r="D849" s="147"/>
      <c r="E849" s="147"/>
      <c r="F849" s="147"/>
      <c r="G849" s="147"/>
      <c r="H849" s="147"/>
      <c r="I849" s="147"/>
      <c r="J849" s="148"/>
      <c r="K849" s="132"/>
      <c r="L849" s="133"/>
    </row>
    <row r="850" spans="1:12" x14ac:dyDescent="0.2">
      <c r="A850" s="145"/>
      <c r="B850" s="146"/>
      <c r="C850" s="147"/>
      <c r="D850" s="147"/>
      <c r="E850" s="147"/>
      <c r="F850" s="147"/>
      <c r="G850" s="147"/>
      <c r="H850" s="147"/>
      <c r="I850" s="147"/>
      <c r="J850" s="148"/>
      <c r="K850" s="132"/>
      <c r="L850" s="133"/>
    </row>
    <row r="851" spans="1:12" x14ac:dyDescent="0.2">
      <c r="A851" s="145"/>
      <c r="B851" s="146"/>
      <c r="C851" s="147"/>
      <c r="D851" s="147"/>
      <c r="E851" s="147"/>
      <c r="F851" s="147"/>
      <c r="G851" s="147"/>
      <c r="H851" s="147"/>
      <c r="I851" s="147"/>
      <c r="J851" s="148"/>
      <c r="K851" s="132"/>
      <c r="L851" s="133"/>
    </row>
    <row r="852" spans="1:12" x14ac:dyDescent="0.2">
      <c r="A852" s="145"/>
      <c r="B852" s="146"/>
      <c r="C852" s="147"/>
      <c r="D852" s="147"/>
      <c r="E852" s="147"/>
      <c r="F852" s="147"/>
      <c r="G852" s="147"/>
      <c r="H852" s="147"/>
      <c r="I852" s="147"/>
      <c r="J852" s="148"/>
      <c r="K852" s="132"/>
      <c r="L852" s="133"/>
    </row>
    <row r="853" spans="1:12" x14ac:dyDescent="0.2">
      <c r="A853" s="145"/>
      <c r="B853" s="146"/>
      <c r="C853" s="147"/>
      <c r="D853" s="147"/>
      <c r="E853" s="147"/>
      <c r="F853" s="147"/>
      <c r="G853" s="147"/>
      <c r="H853" s="147"/>
      <c r="I853" s="147"/>
      <c r="J853" s="148"/>
      <c r="K853" s="132"/>
      <c r="L853" s="133"/>
    </row>
    <row r="854" spans="1:12" ht="13.5" thickBot="1" x14ac:dyDescent="0.25">
      <c r="A854" s="149"/>
      <c r="B854" s="150"/>
      <c r="C854" s="151"/>
      <c r="D854" s="151"/>
      <c r="E854" s="151"/>
      <c r="F854" s="151"/>
      <c r="G854" s="151"/>
      <c r="H854" s="151"/>
      <c r="I854" s="151"/>
      <c r="J854" s="152"/>
      <c r="K854" s="132"/>
      <c r="L854" s="133"/>
    </row>
    <row r="855" spans="1:12" ht="13.5" thickBot="1" x14ac:dyDescent="0.25">
      <c r="A855" s="153"/>
      <c r="B855" s="153"/>
      <c r="C855" s="154"/>
      <c r="D855" s="154"/>
      <c r="E855" s="154"/>
      <c r="F855" s="154"/>
      <c r="G855" s="154"/>
      <c r="H855" s="154"/>
      <c r="I855" s="154"/>
      <c r="J855" s="153"/>
      <c r="K855" s="132"/>
      <c r="L855" s="133"/>
    </row>
    <row r="856" spans="1:12" ht="13.5" thickBot="1" x14ac:dyDescent="0.25">
      <c r="A856" s="614" t="s">
        <v>62</v>
      </c>
      <c r="B856" s="648"/>
      <c r="C856" s="648"/>
      <c r="D856" s="648"/>
      <c r="E856" s="648"/>
      <c r="F856" s="648"/>
      <c r="G856" s="648"/>
      <c r="H856" s="648"/>
      <c r="I856" s="648"/>
      <c r="J856" s="649"/>
      <c r="K856" s="132"/>
      <c r="L856" s="133"/>
    </row>
    <row r="857" spans="1:12" x14ac:dyDescent="0.2">
      <c r="A857" s="136"/>
      <c r="B857" s="155"/>
      <c r="C857" s="156"/>
      <c r="D857" s="156"/>
      <c r="E857" s="156"/>
      <c r="F857" s="156"/>
      <c r="G857" s="156"/>
      <c r="H857" s="156"/>
      <c r="I857" s="156"/>
      <c r="J857" s="157"/>
      <c r="K857" s="132"/>
      <c r="L857" s="133"/>
    </row>
    <row r="858" spans="1:12" ht="12.75" customHeight="1" x14ac:dyDescent="0.2">
      <c r="A858" s="158" t="s">
        <v>63</v>
      </c>
      <c r="B858" s="55"/>
      <c r="C858" s="652" t="s">
        <v>705</v>
      </c>
      <c r="D858" s="652"/>
      <c r="E858" s="652"/>
      <c r="F858" s="652"/>
      <c r="G858" s="652"/>
      <c r="H858" s="652"/>
      <c r="I858" s="652"/>
      <c r="J858" s="653"/>
      <c r="K858" s="132"/>
      <c r="L858" s="133"/>
    </row>
    <row r="859" spans="1:12" x14ac:dyDescent="0.2">
      <c r="A859" s="158"/>
      <c r="B859" s="55"/>
      <c r="C859" s="197"/>
      <c r="D859" s="197"/>
      <c r="E859" s="197"/>
      <c r="F859" s="197"/>
      <c r="G859" s="197"/>
      <c r="H859" s="197"/>
      <c r="I859" s="197"/>
      <c r="J859" s="298"/>
      <c r="K859" s="132"/>
      <c r="L859" s="133"/>
    </row>
    <row r="860" spans="1:12" x14ac:dyDescent="0.2">
      <c r="A860" s="158" t="s">
        <v>64</v>
      </c>
      <c r="B860" s="55"/>
      <c r="C860" s="675" t="s">
        <v>706</v>
      </c>
      <c r="D860" s="675"/>
      <c r="E860" s="675"/>
      <c r="F860" s="675"/>
      <c r="G860" s="675"/>
      <c r="H860" s="675"/>
      <c r="I860" s="675"/>
      <c r="J860" s="676"/>
      <c r="K860" s="132"/>
      <c r="L860" s="133"/>
    </row>
    <row r="861" spans="1:12" x14ac:dyDescent="0.2">
      <c r="A861" s="158"/>
      <c r="B861" s="55"/>
      <c r="C861" s="55"/>
      <c r="D861" s="55"/>
      <c r="E861" s="55"/>
      <c r="F861" s="55"/>
      <c r="G861" s="55"/>
      <c r="H861" s="55"/>
      <c r="I861" s="55"/>
      <c r="J861" s="196"/>
      <c r="K861" s="132"/>
      <c r="L861" s="133"/>
    </row>
    <row r="862" spans="1:12" ht="12.75" customHeight="1" x14ac:dyDescent="0.2">
      <c r="A862" s="158" t="s">
        <v>65</v>
      </c>
      <c r="B862" s="55"/>
      <c r="C862" s="596" t="s">
        <v>707</v>
      </c>
      <c r="D862" s="596"/>
      <c r="E862" s="596"/>
      <c r="F862" s="596"/>
      <c r="G862" s="596"/>
      <c r="H862" s="596"/>
      <c r="I862" s="596"/>
      <c r="J862" s="597"/>
      <c r="K862" s="132"/>
      <c r="L862" s="133"/>
    </row>
    <row r="863" spans="1:12" x14ac:dyDescent="0.2">
      <c r="A863" s="158"/>
      <c r="B863" s="55"/>
      <c r="C863" s="596"/>
      <c r="D863" s="596"/>
      <c r="E863" s="596"/>
      <c r="F863" s="596"/>
      <c r="G863" s="596"/>
      <c r="H863" s="596"/>
      <c r="I863" s="596"/>
      <c r="J863" s="597"/>
      <c r="K863" s="132"/>
      <c r="L863" s="133"/>
    </row>
    <row r="864" spans="1:12" x14ac:dyDescent="0.2">
      <c r="A864" s="158"/>
      <c r="B864" s="55"/>
      <c r="C864" s="596"/>
      <c r="D864" s="596"/>
      <c r="E864" s="596"/>
      <c r="F864" s="596"/>
      <c r="G864" s="596"/>
      <c r="H864" s="596"/>
      <c r="I864" s="596"/>
      <c r="J864" s="597"/>
      <c r="K864" s="132"/>
      <c r="L864" s="133"/>
    </row>
    <row r="865" spans="1:12" ht="12.75" customHeight="1" x14ac:dyDescent="0.2">
      <c r="A865" s="158"/>
      <c r="B865" s="55"/>
      <c r="C865" s="596"/>
      <c r="D865" s="596"/>
      <c r="E865" s="596"/>
      <c r="F865" s="596"/>
      <c r="G865" s="596"/>
      <c r="H865" s="596"/>
      <c r="I865" s="596"/>
      <c r="J865" s="597"/>
      <c r="K865" s="132"/>
      <c r="L865" s="133"/>
    </row>
    <row r="866" spans="1:12" x14ac:dyDescent="0.2">
      <c r="A866" s="158"/>
      <c r="B866" s="55"/>
      <c r="C866" s="175"/>
      <c r="D866" s="175"/>
      <c r="E866" s="175"/>
      <c r="F866" s="175"/>
      <c r="G866" s="175"/>
      <c r="H866" s="175"/>
      <c r="I866" s="175"/>
      <c r="J866" s="176"/>
      <c r="K866" s="132"/>
      <c r="L866" s="133"/>
    </row>
    <row r="867" spans="1:12" x14ac:dyDescent="0.2">
      <c r="A867" s="158"/>
      <c r="B867" s="55"/>
      <c r="C867" s="175"/>
      <c r="D867" s="175"/>
      <c r="E867" s="175"/>
      <c r="F867" s="175"/>
      <c r="G867" s="175"/>
      <c r="H867" s="175"/>
      <c r="I867" s="175"/>
      <c r="J867" s="176"/>
      <c r="K867" s="132"/>
      <c r="L867" s="133"/>
    </row>
    <row r="868" spans="1:12" ht="12.75" customHeight="1" x14ac:dyDescent="0.2">
      <c r="A868" s="158"/>
      <c r="B868" s="55"/>
      <c r="C868" s="175"/>
      <c r="D868" s="175"/>
      <c r="E868" s="175"/>
      <c r="F868" s="175"/>
      <c r="G868" s="175"/>
      <c r="H868" s="175"/>
      <c r="I868" s="175"/>
      <c r="J868" s="176"/>
      <c r="K868" s="132"/>
      <c r="L868" s="133"/>
    </row>
    <row r="869" spans="1:12" x14ac:dyDescent="0.2">
      <c r="A869" s="158"/>
      <c r="B869" s="55"/>
      <c r="C869" s="175"/>
      <c r="D869" s="175"/>
      <c r="E869" s="175"/>
      <c r="F869" s="175"/>
      <c r="G869" s="175"/>
      <c r="H869" s="175"/>
      <c r="I869" s="175"/>
      <c r="J869" s="176"/>
      <c r="K869" s="132"/>
      <c r="L869" s="133"/>
    </row>
    <row r="870" spans="1:12" x14ac:dyDescent="0.2">
      <c r="A870" s="158"/>
      <c r="B870" s="55"/>
      <c r="C870" s="175"/>
      <c r="D870" s="175"/>
      <c r="E870" s="175"/>
      <c r="F870" s="175"/>
      <c r="G870" s="175"/>
      <c r="H870" s="175"/>
      <c r="I870" s="175"/>
      <c r="J870" s="176"/>
      <c r="K870" s="132"/>
      <c r="L870" s="133"/>
    </row>
    <row r="871" spans="1:12" x14ac:dyDescent="0.2">
      <c r="A871" s="158"/>
      <c r="B871" s="55"/>
      <c r="C871" s="71"/>
      <c r="D871" s="71"/>
      <c r="E871" s="71"/>
      <c r="F871" s="71"/>
      <c r="G871" s="71"/>
      <c r="H871" s="71"/>
      <c r="I871" s="71"/>
      <c r="J871" s="174"/>
      <c r="K871" s="132"/>
      <c r="L871" s="133"/>
    </row>
    <row r="872" spans="1:12" x14ac:dyDescent="0.2">
      <c r="A872" s="158"/>
      <c r="B872" s="55"/>
      <c r="C872" s="71"/>
      <c r="D872" s="71"/>
      <c r="E872" s="71"/>
      <c r="F872" s="71"/>
      <c r="G872" s="71"/>
      <c r="H872" s="71"/>
      <c r="I872" s="71"/>
      <c r="J872" s="174"/>
      <c r="K872" s="132"/>
      <c r="L872" s="133"/>
    </row>
    <row r="873" spans="1:12" x14ac:dyDescent="0.2">
      <c r="A873" s="158"/>
      <c r="B873" s="55"/>
      <c r="C873" s="71"/>
      <c r="D873" s="71"/>
      <c r="E873" s="71"/>
      <c r="F873" s="71"/>
      <c r="G873" s="71"/>
      <c r="H873" s="71"/>
      <c r="I873" s="71"/>
      <c r="J873" s="174"/>
      <c r="K873" s="132"/>
      <c r="L873" s="133"/>
    </row>
    <row r="874" spans="1:12" x14ac:dyDescent="0.2">
      <c r="A874" s="158"/>
      <c r="B874" s="55"/>
      <c r="C874" s="71"/>
      <c r="D874" s="71"/>
      <c r="E874" s="71"/>
      <c r="F874" s="71"/>
      <c r="G874" s="71"/>
      <c r="H874" s="71"/>
      <c r="I874" s="71"/>
      <c r="J874" s="174"/>
      <c r="K874" s="132"/>
      <c r="L874" s="133"/>
    </row>
    <row r="875" spans="1:12" x14ac:dyDescent="0.2">
      <c r="A875" s="158"/>
      <c r="B875" s="55"/>
      <c r="C875" s="71"/>
      <c r="D875" s="71"/>
      <c r="E875" s="71"/>
      <c r="F875" s="71"/>
      <c r="G875" s="71"/>
      <c r="H875" s="71"/>
      <c r="I875" s="71"/>
      <c r="J875" s="174"/>
      <c r="K875" s="132"/>
      <c r="L875" s="133"/>
    </row>
    <row r="876" spans="1:12" x14ac:dyDescent="0.2">
      <c r="A876" s="158"/>
      <c r="B876" s="55"/>
      <c r="C876" s="71"/>
      <c r="D876" s="71"/>
      <c r="E876" s="71"/>
      <c r="F876" s="71"/>
      <c r="G876" s="71"/>
      <c r="H876" s="71"/>
      <c r="I876" s="71"/>
      <c r="J876" s="174"/>
      <c r="K876" s="132"/>
      <c r="L876" s="133"/>
    </row>
    <row r="877" spans="1:12" x14ac:dyDescent="0.2">
      <c r="A877" s="158"/>
      <c r="B877" s="55"/>
      <c r="C877" s="71"/>
      <c r="D877" s="71"/>
      <c r="E877" s="71"/>
      <c r="F877" s="71"/>
      <c r="G877" s="71"/>
      <c r="H877" s="71"/>
      <c r="I877" s="71"/>
      <c r="J877" s="174"/>
      <c r="K877" s="132"/>
      <c r="L877" s="133"/>
    </row>
    <row r="878" spans="1:12" x14ac:dyDescent="0.2">
      <c r="A878" s="158"/>
      <c r="B878" s="55"/>
      <c r="C878" s="175"/>
      <c r="D878" s="175"/>
      <c r="E878" s="172"/>
      <c r="F878" s="172"/>
      <c r="G878" s="172"/>
      <c r="H878" s="172"/>
      <c r="I878" s="172"/>
      <c r="J878" s="173"/>
      <c r="K878" s="132"/>
      <c r="L878" s="133"/>
    </row>
    <row r="879" spans="1:12" x14ac:dyDescent="0.2">
      <c r="A879" s="158"/>
      <c r="B879" s="55"/>
      <c r="C879" s="175"/>
      <c r="D879" s="175"/>
      <c r="E879" s="172"/>
      <c r="F879" s="172"/>
      <c r="G879" s="172"/>
      <c r="H879" s="172"/>
      <c r="I879" s="172"/>
      <c r="J879" s="173"/>
      <c r="K879" s="132"/>
      <c r="L879" s="133"/>
    </row>
    <row r="880" spans="1:12" ht="13.5" thickBot="1" x14ac:dyDescent="0.25">
      <c r="A880" s="149"/>
      <c r="B880" s="167"/>
      <c r="C880" s="151"/>
      <c r="D880" s="151"/>
      <c r="E880" s="151"/>
      <c r="F880" s="151"/>
      <c r="G880" s="151"/>
      <c r="H880" s="151"/>
      <c r="I880" s="151"/>
      <c r="J880" s="168"/>
      <c r="K880" s="132"/>
      <c r="L880" s="133"/>
    </row>
    <row r="881" spans="1:14" ht="15.75" x14ac:dyDescent="0.2">
      <c r="A881" s="602" t="s">
        <v>4</v>
      </c>
      <c r="B881" s="603"/>
      <c r="C881" s="603" t="str">
        <f>'A IV.A'!$B$22</f>
        <v>SERVIÇOS INICIAIS</v>
      </c>
      <c r="D881" s="603"/>
      <c r="E881" s="603"/>
      <c r="F881" s="603"/>
      <c r="G881" s="603"/>
      <c r="H881" s="603"/>
      <c r="I881" s="603"/>
      <c r="J881" s="604"/>
      <c r="K881" s="132"/>
      <c r="L881" s="133"/>
    </row>
    <row r="882" spans="1:14" x14ac:dyDescent="0.2">
      <c r="A882" s="609" t="str">
        <f>'A IV.A'!$A$22</f>
        <v>2.0</v>
      </c>
      <c r="B882" s="610"/>
      <c r="C882" s="605"/>
      <c r="D882" s="605"/>
      <c r="E882" s="605"/>
      <c r="F882" s="605"/>
      <c r="G882" s="605"/>
      <c r="H882" s="605"/>
      <c r="I882" s="605"/>
      <c r="J882" s="606"/>
      <c r="K882" s="132"/>
      <c r="L882" s="133"/>
    </row>
    <row r="883" spans="1:14" ht="13.5" thickBot="1" x14ac:dyDescent="0.25">
      <c r="A883" s="611"/>
      <c r="B883" s="612"/>
      <c r="C883" s="607"/>
      <c r="D883" s="607"/>
      <c r="E883" s="607"/>
      <c r="F883" s="607"/>
      <c r="G883" s="607"/>
      <c r="H883" s="607"/>
      <c r="I883" s="607"/>
      <c r="J883" s="608"/>
      <c r="K883" s="132"/>
      <c r="L883" s="133"/>
    </row>
    <row r="884" spans="1:14" ht="13.5" thickBot="1" x14ac:dyDescent="0.25">
      <c r="A884" s="169"/>
      <c r="B884" s="169"/>
      <c r="C884" s="613"/>
      <c r="D884" s="613"/>
      <c r="E884" s="613"/>
      <c r="F884" s="613"/>
      <c r="G884" s="613"/>
      <c r="H884" s="613"/>
      <c r="I884" s="613"/>
      <c r="J884" s="169"/>
      <c r="K884" s="132"/>
      <c r="L884" s="133"/>
    </row>
    <row r="885" spans="1:14" ht="13.5" thickBot="1" x14ac:dyDescent="0.25">
      <c r="A885" s="632" t="s">
        <v>60</v>
      </c>
      <c r="B885" s="633"/>
      <c r="C885" s="656" t="s">
        <v>61</v>
      </c>
      <c r="D885" s="656"/>
      <c r="E885" s="656"/>
      <c r="F885" s="656"/>
      <c r="G885" s="656"/>
      <c r="H885" s="656"/>
      <c r="I885" s="656"/>
      <c r="J885" s="260" t="s">
        <v>0</v>
      </c>
      <c r="K885" s="132"/>
      <c r="L885" s="133"/>
    </row>
    <row r="886" spans="1:14" x14ac:dyDescent="0.2">
      <c r="A886" s="136"/>
      <c r="B886" s="137"/>
      <c r="C886" s="619"/>
      <c r="D886" s="620"/>
      <c r="E886" s="621"/>
      <c r="F886" s="621"/>
      <c r="G886" s="621"/>
      <c r="H886" s="621"/>
      <c r="I886" s="622"/>
      <c r="J886" s="138"/>
      <c r="K886" s="132"/>
      <c r="L886" s="133"/>
    </row>
    <row r="887" spans="1:14" x14ac:dyDescent="0.2">
      <c r="A887" s="625" t="str">
        <f>'A IV.A'!A39</f>
        <v>2.3.2</v>
      </c>
      <c r="B887" s="624"/>
      <c r="C887" s="626" t="str">
        <f>'A IV.A'!B39</f>
        <v>ISOLAMENTO DE OBRA COM TELA PLÁSTICA COM MALHA DE 5 MM</v>
      </c>
      <c r="D887" s="627"/>
      <c r="E887" s="627"/>
      <c r="F887" s="627"/>
      <c r="G887" s="627"/>
      <c r="H887" s="627"/>
      <c r="I887" s="628"/>
      <c r="J887" s="629" t="str">
        <f>'A IV.A'!C39</f>
        <v>M</v>
      </c>
      <c r="K887" s="630" t="str">
        <f>VLOOKUP(A887,'A IV.A'!$A$14:$M$233,2,FALSE)</f>
        <v>ISOLAMENTO DE OBRA COM TELA PLÁSTICA COM MALHA DE 5 MM</v>
      </c>
      <c r="L887" s="631" t="str">
        <f>IF(C887=K887,"sim","nao")</f>
        <v>sim</v>
      </c>
      <c r="M887" s="631" t="str">
        <f>VLOOKUP(A887,'A IV.A'!$A$14:$M$233,3,FALSE)</f>
        <v>M</v>
      </c>
      <c r="N887" s="631" t="str">
        <f>IF(J887=M887,"sim","nao")</f>
        <v>sim</v>
      </c>
    </row>
    <row r="888" spans="1:14" x14ac:dyDescent="0.2">
      <c r="A888" s="625"/>
      <c r="B888" s="624"/>
      <c r="C888" s="626"/>
      <c r="D888" s="627"/>
      <c r="E888" s="627"/>
      <c r="F888" s="627"/>
      <c r="G888" s="627"/>
      <c r="H888" s="627"/>
      <c r="I888" s="628"/>
      <c r="J888" s="629"/>
      <c r="K888" s="630"/>
      <c r="L888" s="631"/>
      <c r="M888" s="631"/>
      <c r="N888" s="631"/>
    </row>
    <row r="889" spans="1:14" x14ac:dyDescent="0.2">
      <c r="A889" s="139"/>
      <c r="B889" s="140"/>
      <c r="C889" s="141"/>
      <c r="D889" s="142"/>
      <c r="E889" s="142"/>
      <c r="F889" s="142"/>
      <c r="G889" s="142"/>
      <c r="H889" s="142"/>
      <c r="I889" s="143"/>
      <c r="J889" s="144"/>
      <c r="K889" s="132"/>
      <c r="L889" s="133"/>
    </row>
    <row r="890" spans="1:14" x14ac:dyDescent="0.2">
      <c r="A890" s="158"/>
      <c r="B890" s="188"/>
      <c r="C890" s="189"/>
      <c r="D890" s="165"/>
      <c r="E890" s="165"/>
      <c r="F890" s="165"/>
      <c r="G890" s="165"/>
      <c r="H890" s="165"/>
      <c r="I890" s="190"/>
      <c r="J890" s="191"/>
      <c r="K890" s="192"/>
      <c r="L890" s="55"/>
      <c r="M890" s="55"/>
      <c r="N890" s="55"/>
    </row>
    <row r="891" spans="1:14" x14ac:dyDescent="0.2">
      <c r="A891" s="158"/>
      <c r="B891" s="188"/>
      <c r="C891" s="189"/>
      <c r="D891" s="165"/>
      <c r="E891" s="165"/>
      <c r="F891" s="165"/>
      <c r="G891" s="165"/>
      <c r="H891" s="165"/>
      <c r="I891" s="190"/>
      <c r="J891" s="191"/>
      <c r="K891" s="192"/>
      <c r="L891" s="55"/>
      <c r="M891" s="55"/>
      <c r="N891" s="55"/>
    </row>
    <row r="892" spans="1:14" x14ac:dyDescent="0.2">
      <c r="A892" s="145"/>
      <c r="B892" s="146"/>
      <c r="C892" s="147"/>
      <c r="D892" s="147"/>
      <c r="E892" s="147"/>
      <c r="F892" s="147"/>
      <c r="G892" s="147"/>
      <c r="H892" s="147"/>
      <c r="I892" s="147"/>
      <c r="J892" s="148"/>
      <c r="K892" s="132"/>
      <c r="L892" s="133"/>
    </row>
    <row r="893" spans="1:14" x14ac:dyDescent="0.2">
      <c r="A893" s="158"/>
      <c r="B893" s="188"/>
      <c r="C893" s="189"/>
      <c r="D893" s="165"/>
      <c r="E893" s="165"/>
      <c r="F893" s="165"/>
      <c r="G893" s="165"/>
      <c r="H893" s="165"/>
      <c r="I893" s="190"/>
      <c r="J893" s="191"/>
      <c r="K893" s="630"/>
      <c r="L893" s="631"/>
      <c r="M893" s="631"/>
      <c r="N893" s="631"/>
    </row>
    <row r="894" spans="1:14" x14ac:dyDescent="0.2">
      <c r="A894" s="158"/>
      <c r="B894" s="188"/>
      <c r="C894" s="189"/>
      <c r="D894" s="165"/>
      <c r="E894" s="165"/>
      <c r="F894" s="165"/>
      <c r="G894" s="165"/>
      <c r="H894" s="165"/>
      <c r="I894" s="190"/>
      <c r="J894" s="191"/>
      <c r="K894" s="630"/>
      <c r="L894" s="631"/>
      <c r="M894" s="631"/>
      <c r="N894" s="631"/>
    </row>
    <row r="895" spans="1:14" x14ac:dyDescent="0.2">
      <c r="A895" s="145"/>
      <c r="B895" s="146"/>
      <c r="C895" s="147"/>
      <c r="D895" s="147"/>
      <c r="E895" s="147"/>
      <c r="F895" s="147"/>
      <c r="G895" s="147"/>
      <c r="H895" s="147"/>
      <c r="I895" s="147"/>
      <c r="J895" s="148"/>
      <c r="K895" s="132"/>
      <c r="L895" s="133"/>
    </row>
    <row r="896" spans="1:14" x14ac:dyDescent="0.2">
      <c r="A896" s="145"/>
      <c r="B896" s="146"/>
      <c r="C896" s="147"/>
      <c r="D896" s="147"/>
      <c r="E896" s="147"/>
      <c r="F896" s="147"/>
      <c r="G896" s="147"/>
      <c r="H896" s="147"/>
      <c r="I896" s="147"/>
      <c r="J896" s="148"/>
      <c r="K896" s="132"/>
      <c r="L896" s="133"/>
    </row>
    <row r="897" spans="1:12" x14ac:dyDescent="0.2">
      <c r="A897" s="145"/>
      <c r="B897" s="146"/>
      <c r="C897" s="147"/>
      <c r="D897" s="147"/>
      <c r="E897" s="147"/>
      <c r="F897" s="147"/>
      <c r="G897" s="147"/>
      <c r="H897" s="147"/>
      <c r="I897" s="147"/>
      <c r="J897" s="148"/>
      <c r="K897" s="132"/>
      <c r="L897" s="133"/>
    </row>
    <row r="898" spans="1:12" x14ac:dyDescent="0.2">
      <c r="A898" s="145"/>
      <c r="B898" s="146"/>
      <c r="C898" s="147"/>
      <c r="D898" s="147"/>
      <c r="E898" s="147"/>
      <c r="F898" s="147"/>
      <c r="G898" s="147"/>
      <c r="H898" s="147"/>
      <c r="I898" s="147"/>
      <c r="J898" s="148"/>
      <c r="K898" s="132"/>
      <c r="L898" s="133"/>
    </row>
    <row r="899" spans="1:12" x14ac:dyDescent="0.2">
      <c r="A899" s="145"/>
      <c r="B899" s="146"/>
      <c r="C899" s="147"/>
      <c r="D899" s="147"/>
      <c r="E899" s="147"/>
      <c r="F899" s="147"/>
      <c r="G899" s="147"/>
      <c r="H899" s="147"/>
      <c r="I899" s="147"/>
      <c r="J899" s="148"/>
      <c r="K899" s="132"/>
      <c r="L899" s="133"/>
    </row>
    <row r="900" spans="1:12" x14ac:dyDescent="0.2">
      <c r="A900" s="145"/>
      <c r="B900" s="146"/>
      <c r="C900" s="147"/>
      <c r="D900" s="147"/>
      <c r="E900" s="147"/>
      <c r="F900" s="147"/>
      <c r="G900" s="147"/>
      <c r="H900" s="147"/>
      <c r="I900" s="147"/>
      <c r="J900" s="148"/>
      <c r="K900" s="132"/>
      <c r="L900" s="133"/>
    </row>
    <row r="901" spans="1:12" x14ac:dyDescent="0.2">
      <c r="A901" s="145"/>
      <c r="B901" s="146"/>
      <c r="C901" s="147"/>
      <c r="D901" s="147"/>
      <c r="E901" s="147"/>
      <c r="F901" s="147"/>
      <c r="G901" s="147"/>
      <c r="H901" s="147"/>
      <c r="I901" s="147"/>
      <c r="J901" s="148"/>
      <c r="K901" s="132"/>
      <c r="L901" s="133"/>
    </row>
    <row r="902" spans="1:12" x14ac:dyDescent="0.2">
      <c r="A902" s="145"/>
      <c r="B902" s="146"/>
      <c r="C902" s="147"/>
      <c r="D902" s="147"/>
      <c r="E902" s="147"/>
      <c r="F902" s="147"/>
      <c r="G902" s="147"/>
      <c r="H902" s="147"/>
      <c r="I902" s="147"/>
      <c r="J902" s="148"/>
      <c r="K902" s="132"/>
      <c r="L902" s="133"/>
    </row>
    <row r="903" spans="1:12" x14ac:dyDescent="0.2">
      <c r="A903" s="145"/>
      <c r="B903" s="146"/>
      <c r="C903" s="147"/>
      <c r="D903" s="147"/>
      <c r="E903" s="147"/>
      <c r="F903" s="147"/>
      <c r="G903" s="147"/>
      <c r="H903" s="147"/>
      <c r="I903" s="147"/>
      <c r="J903" s="148"/>
      <c r="K903" s="132"/>
      <c r="L903" s="133"/>
    </row>
    <row r="904" spans="1:12" x14ac:dyDescent="0.2">
      <c r="A904" s="145"/>
      <c r="B904" s="146"/>
      <c r="C904" s="147"/>
      <c r="D904" s="147"/>
      <c r="E904" s="147"/>
      <c r="F904" s="147"/>
      <c r="G904" s="147"/>
      <c r="H904" s="147"/>
      <c r="I904" s="147"/>
      <c r="J904" s="148"/>
      <c r="K904" s="132"/>
      <c r="L904" s="133"/>
    </row>
    <row r="905" spans="1:12" x14ac:dyDescent="0.2">
      <c r="A905" s="145"/>
      <c r="B905" s="146"/>
      <c r="C905" s="147"/>
      <c r="D905" s="147"/>
      <c r="E905" s="147"/>
      <c r="F905" s="147"/>
      <c r="G905" s="147"/>
      <c r="H905" s="147"/>
      <c r="I905" s="147"/>
      <c r="J905" s="148"/>
      <c r="K905" s="132"/>
      <c r="L905" s="133"/>
    </row>
    <row r="906" spans="1:12" x14ac:dyDescent="0.2">
      <c r="A906" s="145"/>
      <c r="B906" s="146"/>
      <c r="C906" s="147"/>
      <c r="D906" s="147"/>
      <c r="E906" s="147"/>
      <c r="F906" s="147"/>
      <c r="G906" s="147"/>
      <c r="H906" s="147"/>
      <c r="I906" s="147"/>
      <c r="J906" s="148"/>
      <c r="K906" s="132"/>
      <c r="L906" s="133"/>
    </row>
    <row r="907" spans="1:12" x14ac:dyDescent="0.2">
      <c r="A907" s="145"/>
      <c r="B907" s="146"/>
      <c r="C907" s="147"/>
      <c r="D907" s="147"/>
      <c r="E907" s="147"/>
      <c r="F907" s="147"/>
      <c r="G907" s="147"/>
      <c r="H907" s="147"/>
      <c r="I907" s="147"/>
      <c r="J907" s="148"/>
      <c r="K907" s="132"/>
      <c r="L907" s="133"/>
    </row>
    <row r="908" spans="1:12" ht="13.5" thickBot="1" x14ac:dyDescent="0.25">
      <c r="A908" s="149"/>
      <c r="B908" s="150"/>
      <c r="C908" s="151"/>
      <c r="D908" s="151"/>
      <c r="E908" s="151"/>
      <c r="F908" s="151"/>
      <c r="G908" s="151"/>
      <c r="H908" s="151"/>
      <c r="I908" s="151"/>
      <c r="J908" s="152"/>
      <c r="K908" s="132"/>
      <c r="L908" s="133"/>
    </row>
    <row r="909" spans="1:12" ht="13.5" thickBot="1" x14ac:dyDescent="0.25">
      <c r="A909" s="153"/>
      <c r="B909" s="153"/>
      <c r="C909" s="154"/>
      <c r="D909" s="154"/>
      <c r="E909" s="154"/>
      <c r="F909" s="154"/>
      <c r="G909" s="154"/>
      <c r="H909" s="154"/>
      <c r="I909" s="154"/>
      <c r="J909" s="153"/>
      <c r="K909" s="132"/>
      <c r="L909" s="133"/>
    </row>
    <row r="910" spans="1:12" ht="13.5" thickBot="1" x14ac:dyDescent="0.25">
      <c r="A910" s="614" t="s">
        <v>62</v>
      </c>
      <c r="B910" s="648"/>
      <c r="C910" s="648"/>
      <c r="D910" s="648"/>
      <c r="E910" s="648"/>
      <c r="F910" s="648"/>
      <c r="G910" s="648"/>
      <c r="H910" s="648"/>
      <c r="I910" s="648"/>
      <c r="J910" s="649"/>
      <c r="K910" s="132"/>
      <c r="L910" s="133"/>
    </row>
    <row r="911" spans="1:12" x14ac:dyDescent="0.2">
      <c r="A911" s="136"/>
      <c r="B911" s="155"/>
      <c r="C911" s="156"/>
      <c r="D911" s="156"/>
      <c r="E911" s="156"/>
      <c r="F911" s="156"/>
      <c r="G911" s="156"/>
      <c r="H911" s="156"/>
      <c r="I911" s="156"/>
      <c r="J911" s="157"/>
      <c r="K911" s="132"/>
      <c r="L911" s="133"/>
    </row>
    <row r="912" spans="1:12" ht="12.75" customHeight="1" x14ac:dyDescent="0.2">
      <c r="A912" s="158" t="s">
        <v>63</v>
      </c>
      <c r="B912" s="55"/>
      <c r="C912" s="652" t="s">
        <v>710</v>
      </c>
      <c r="D912" s="652"/>
      <c r="E912" s="652"/>
      <c r="F912" s="652"/>
      <c r="G912" s="652"/>
      <c r="H912" s="652"/>
      <c r="I912" s="652"/>
      <c r="J912" s="653"/>
      <c r="K912" s="132"/>
      <c r="L912" s="133"/>
    </row>
    <row r="913" spans="1:12" x14ac:dyDescent="0.2">
      <c r="A913" s="158"/>
      <c r="B913" s="55"/>
      <c r="C913" s="652"/>
      <c r="D913" s="652"/>
      <c r="E913" s="652"/>
      <c r="F913" s="652"/>
      <c r="G913" s="652"/>
      <c r="H913" s="652"/>
      <c r="I913" s="652"/>
      <c r="J913" s="653"/>
      <c r="K913" s="132"/>
      <c r="L913" s="133"/>
    </row>
    <row r="914" spans="1:12" x14ac:dyDescent="0.2">
      <c r="A914" s="158"/>
      <c r="B914" s="55"/>
      <c r="C914" s="55"/>
      <c r="D914" s="55"/>
      <c r="E914" s="55"/>
      <c r="F914" s="55"/>
      <c r="G914" s="55"/>
      <c r="H914" s="55"/>
      <c r="I914" s="55"/>
      <c r="J914" s="196"/>
      <c r="K914" s="132"/>
      <c r="L914" s="133"/>
    </row>
    <row r="915" spans="1:12" x14ac:dyDescent="0.2">
      <c r="A915" s="158" t="s">
        <v>64</v>
      </c>
      <c r="B915" s="55"/>
      <c r="C915" s="657" t="s">
        <v>711</v>
      </c>
      <c r="D915" s="657"/>
      <c r="E915" s="657"/>
      <c r="F915" s="657"/>
      <c r="G915" s="657"/>
      <c r="H915" s="657"/>
      <c r="I915" s="657"/>
      <c r="J915" s="717"/>
      <c r="K915" s="132"/>
      <c r="L915" s="133"/>
    </row>
    <row r="916" spans="1:12" x14ac:dyDescent="0.2">
      <c r="A916" s="158"/>
      <c r="B916" s="55"/>
      <c r="C916" s="55"/>
      <c r="D916" s="55"/>
      <c r="E916" s="55"/>
      <c r="F916" s="55"/>
      <c r="G916" s="55"/>
      <c r="H916" s="55"/>
      <c r="I916" s="55"/>
      <c r="J916" s="196"/>
      <c r="K916" s="132"/>
      <c r="L916" s="133"/>
    </row>
    <row r="917" spans="1:12" x14ac:dyDescent="0.2">
      <c r="A917" s="158" t="s">
        <v>65</v>
      </c>
      <c r="B917" s="55"/>
      <c r="C917" s="596" t="s">
        <v>712</v>
      </c>
      <c r="D917" s="596"/>
      <c r="E917" s="596"/>
      <c r="F917" s="596"/>
      <c r="G917" s="596"/>
      <c r="H917" s="596"/>
      <c r="I917" s="596"/>
      <c r="J917" s="597"/>
      <c r="K917" s="132"/>
      <c r="L917" s="133"/>
    </row>
    <row r="918" spans="1:12" ht="12.75" customHeight="1" x14ac:dyDescent="0.2">
      <c r="A918" s="158"/>
      <c r="B918" s="55"/>
      <c r="C918" s="596"/>
      <c r="D918" s="596"/>
      <c r="E918" s="596"/>
      <c r="F918" s="596"/>
      <c r="G918" s="596"/>
      <c r="H918" s="596"/>
      <c r="I918" s="596"/>
      <c r="J918" s="597"/>
      <c r="K918" s="132"/>
      <c r="L918" s="133"/>
    </row>
    <row r="919" spans="1:12" x14ac:dyDescent="0.2">
      <c r="A919" s="158"/>
      <c r="B919" s="55"/>
      <c r="C919" s="596"/>
      <c r="D919" s="596"/>
      <c r="E919" s="596"/>
      <c r="F919" s="596"/>
      <c r="G919" s="596"/>
      <c r="H919" s="596"/>
      <c r="I919" s="596"/>
      <c r="J919" s="597"/>
      <c r="K919" s="132"/>
      <c r="L919" s="133"/>
    </row>
    <row r="920" spans="1:12" x14ac:dyDescent="0.2">
      <c r="A920" s="158"/>
      <c r="B920" s="55"/>
      <c r="C920" s="71"/>
      <c r="D920" s="71"/>
      <c r="E920" s="71"/>
      <c r="F920" s="71"/>
      <c r="G920" s="71"/>
      <c r="H920" s="71"/>
      <c r="I920" s="71"/>
      <c r="J920" s="174"/>
      <c r="K920" s="132"/>
      <c r="L920" s="133"/>
    </row>
    <row r="921" spans="1:12" ht="12.75" customHeight="1" x14ac:dyDescent="0.2">
      <c r="A921" s="158"/>
      <c r="B921" s="55"/>
      <c r="C921" s="175"/>
      <c r="D921" s="175"/>
      <c r="E921" s="175"/>
      <c r="F921" s="175"/>
      <c r="G921" s="175"/>
      <c r="H921" s="175"/>
      <c r="I921" s="175"/>
      <c r="J921" s="176"/>
      <c r="K921" s="132"/>
      <c r="L921" s="133"/>
    </row>
    <row r="922" spans="1:12" x14ac:dyDescent="0.2">
      <c r="A922" s="158"/>
      <c r="B922" s="55"/>
      <c r="C922" s="175"/>
      <c r="D922" s="175"/>
      <c r="E922" s="175"/>
      <c r="F922" s="175"/>
      <c r="G922" s="175"/>
      <c r="H922" s="175"/>
      <c r="I922" s="175"/>
      <c r="J922" s="176"/>
      <c r="K922" s="132"/>
      <c r="L922" s="133"/>
    </row>
    <row r="923" spans="1:12" x14ac:dyDescent="0.2">
      <c r="A923" s="158"/>
      <c r="B923" s="55"/>
      <c r="C923" s="175"/>
      <c r="D923" s="175"/>
      <c r="E923" s="175"/>
      <c r="F923" s="175"/>
      <c r="G923" s="175"/>
      <c r="H923" s="175"/>
      <c r="I923" s="175"/>
      <c r="J923" s="176"/>
      <c r="K923" s="132"/>
      <c r="L923" s="133"/>
    </row>
    <row r="924" spans="1:12" x14ac:dyDescent="0.2">
      <c r="A924" s="158"/>
      <c r="B924" s="55"/>
      <c r="C924" s="159"/>
      <c r="D924" s="159"/>
      <c r="E924" s="159"/>
      <c r="F924" s="159"/>
      <c r="G924" s="159"/>
      <c r="H924" s="159"/>
      <c r="I924" s="159"/>
      <c r="J924" s="160"/>
      <c r="K924" s="132"/>
      <c r="L924" s="133"/>
    </row>
    <row r="925" spans="1:12" x14ac:dyDescent="0.2">
      <c r="A925" s="158"/>
      <c r="B925" s="55"/>
      <c r="C925" s="71"/>
      <c r="D925" s="71"/>
      <c r="E925" s="71"/>
      <c r="F925" s="71"/>
      <c r="G925" s="71"/>
      <c r="H925" s="71"/>
      <c r="I925" s="71"/>
      <c r="J925" s="174"/>
      <c r="K925" s="132"/>
      <c r="L925" s="133"/>
    </row>
    <row r="926" spans="1:12" x14ac:dyDescent="0.2">
      <c r="A926" s="158"/>
      <c r="B926" s="55"/>
      <c r="C926" s="71"/>
      <c r="D926" s="71"/>
      <c r="E926" s="71"/>
      <c r="F926" s="71"/>
      <c r="G926" s="71"/>
      <c r="H926" s="71"/>
      <c r="I926" s="71"/>
      <c r="J926" s="174"/>
      <c r="K926" s="132"/>
      <c r="L926" s="133"/>
    </row>
    <row r="927" spans="1:12" x14ac:dyDescent="0.2">
      <c r="A927" s="158"/>
      <c r="B927" s="55"/>
      <c r="C927" s="71"/>
      <c r="D927" s="71"/>
      <c r="E927" s="71"/>
      <c r="F927" s="71"/>
      <c r="G927" s="71"/>
      <c r="H927" s="71"/>
      <c r="I927" s="71"/>
      <c r="J927" s="174"/>
      <c r="K927" s="132"/>
      <c r="L927" s="133"/>
    </row>
    <row r="928" spans="1:12" x14ac:dyDescent="0.2">
      <c r="A928" s="158"/>
      <c r="B928" s="55"/>
      <c r="C928" s="71"/>
      <c r="D928" s="71"/>
      <c r="E928" s="71"/>
      <c r="F928" s="71"/>
      <c r="G928" s="71"/>
      <c r="H928" s="71"/>
      <c r="I928" s="71"/>
      <c r="J928" s="174"/>
      <c r="K928" s="132"/>
      <c r="L928" s="133"/>
    </row>
    <row r="929" spans="1:14" x14ac:dyDescent="0.2">
      <c r="A929" s="158"/>
      <c r="B929" s="55"/>
      <c r="C929" s="71"/>
      <c r="D929" s="71"/>
      <c r="E929" s="71"/>
      <c r="F929" s="71"/>
      <c r="G929" s="71"/>
      <c r="H929" s="71"/>
      <c r="I929" s="71"/>
      <c r="J929" s="174"/>
      <c r="K929" s="132"/>
      <c r="L929" s="133"/>
    </row>
    <row r="930" spans="1:14" x14ac:dyDescent="0.2">
      <c r="A930" s="158"/>
      <c r="B930" s="55"/>
      <c r="C930" s="71"/>
      <c r="D930" s="71"/>
      <c r="E930" s="71"/>
      <c r="F930" s="71"/>
      <c r="G930" s="71"/>
      <c r="H930" s="71"/>
      <c r="I930" s="71"/>
      <c r="J930" s="174"/>
      <c r="K930" s="132"/>
      <c r="L930" s="133"/>
    </row>
    <row r="931" spans="1:14" x14ac:dyDescent="0.2">
      <c r="A931" s="158"/>
      <c r="B931" s="55"/>
      <c r="C931" s="71"/>
      <c r="D931" s="71"/>
      <c r="E931" s="71"/>
      <c r="F931" s="71"/>
      <c r="G931" s="71"/>
      <c r="H931" s="71"/>
      <c r="I931" s="71"/>
      <c r="J931" s="174"/>
      <c r="K931" s="132"/>
      <c r="L931" s="133"/>
    </row>
    <row r="932" spans="1:14" x14ac:dyDescent="0.2">
      <c r="A932" s="158"/>
      <c r="B932" s="55"/>
      <c r="C932" s="175"/>
      <c r="D932" s="175"/>
      <c r="E932" s="172"/>
      <c r="F932" s="172"/>
      <c r="G932" s="172"/>
      <c r="H932" s="172"/>
      <c r="I932" s="172"/>
      <c r="J932" s="173"/>
      <c r="K932" s="132"/>
      <c r="L932" s="133"/>
    </row>
    <row r="933" spans="1:14" x14ac:dyDescent="0.2">
      <c r="A933" s="158"/>
      <c r="B933" s="55"/>
      <c r="C933" s="175"/>
      <c r="D933" s="175"/>
      <c r="E933" s="172"/>
      <c r="F933" s="172"/>
      <c r="G933" s="172"/>
      <c r="H933" s="172"/>
      <c r="I933" s="172"/>
      <c r="J933" s="173"/>
      <c r="K933" s="132"/>
      <c r="L933" s="133"/>
    </row>
    <row r="934" spans="1:14" ht="13.5" thickBot="1" x14ac:dyDescent="0.25">
      <c r="A934" s="149"/>
      <c r="B934" s="167"/>
      <c r="C934" s="151"/>
      <c r="D934" s="151"/>
      <c r="E934" s="151"/>
      <c r="F934" s="151"/>
      <c r="G934" s="151"/>
      <c r="H934" s="151"/>
      <c r="I934" s="151"/>
      <c r="J934" s="168"/>
      <c r="K934" s="132"/>
      <c r="L934" s="133"/>
    </row>
    <row r="935" spans="1:14" ht="15.75" x14ac:dyDescent="0.2">
      <c r="A935" s="602" t="s">
        <v>4</v>
      </c>
      <c r="B935" s="603"/>
      <c r="C935" s="603" t="str">
        <f>'A IV.A'!$B$22</f>
        <v>SERVIÇOS INICIAIS</v>
      </c>
      <c r="D935" s="603"/>
      <c r="E935" s="603"/>
      <c r="F935" s="603"/>
      <c r="G935" s="603"/>
      <c r="H935" s="603"/>
      <c r="I935" s="603"/>
      <c r="J935" s="604"/>
      <c r="K935" s="132"/>
      <c r="L935" s="133"/>
    </row>
    <row r="936" spans="1:14" x14ac:dyDescent="0.2">
      <c r="A936" s="609" t="str">
        <f>'A IV.A'!$A$22</f>
        <v>2.0</v>
      </c>
      <c r="B936" s="610"/>
      <c r="C936" s="605"/>
      <c r="D936" s="605"/>
      <c r="E936" s="605"/>
      <c r="F936" s="605"/>
      <c r="G936" s="605"/>
      <c r="H936" s="605"/>
      <c r="I936" s="605"/>
      <c r="J936" s="606"/>
      <c r="K936" s="132"/>
      <c r="L936" s="133"/>
    </row>
    <row r="937" spans="1:14" ht="13.5" thickBot="1" x14ac:dyDescent="0.25">
      <c r="A937" s="611"/>
      <c r="B937" s="612"/>
      <c r="C937" s="607"/>
      <c r="D937" s="607"/>
      <c r="E937" s="607"/>
      <c r="F937" s="607"/>
      <c r="G937" s="607"/>
      <c r="H937" s="607"/>
      <c r="I937" s="607"/>
      <c r="J937" s="608"/>
      <c r="K937" s="132"/>
      <c r="L937" s="133"/>
    </row>
    <row r="938" spans="1:14" ht="13.5" thickBot="1" x14ac:dyDescent="0.25">
      <c r="A938" s="169"/>
      <c r="B938" s="169"/>
      <c r="C938" s="613"/>
      <c r="D938" s="613"/>
      <c r="E938" s="613"/>
      <c r="F938" s="613"/>
      <c r="G938" s="613"/>
      <c r="H938" s="613"/>
      <c r="I938" s="613"/>
      <c r="J938" s="169"/>
      <c r="K938" s="132"/>
      <c r="L938" s="133"/>
    </row>
    <row r="939" spans="1:14" ht="13.5" thickBot="1" x14ac:dyDescent="0.25">
      <c r="A939" s="632" t="s">
        <v>60</v>
      </c>
      <c r="B939" s="633"/>
      <c r="C939" s="656" t="s">
        <v>61</v>
      </c>
      <c r="D939" s="656"/>
      <c r="E939" s="656"/>
      <c r="F939" s="656"/>
      <c r="G939" s="656"/>
      <c r="H939" s="656"/>
      <c r="I939" s="656"/>
      <c r="J939" s="260" t="s">
        <v>0</v>
      </c>
      <c r="K939" s="132"/>
      <c r="L939" s="133"/>
    </row>
    <row r="940" spans="1:14" x14ac:dyDescent="0.2">
      <c r="A940" s="136"/>
      <c r="B940" s="137"/>
      <c r="C940" s="619"/>
      <c r="D940" s="620"/>
      <c r="E940" s="621"/>
      <c r="F940" s="621"/>
      <c r="G940" s="621"/>
      <c r="H940" s="621"/>
      <c r="I940" s="622"/>
      <c r="J940" s="138"/>
      <c r="K940" s="132"/>
      <c r="L940" s="133"/>
    </row>
    <row r="941" spans="1:14" x14ac:dyDescent="0.2">
      <c r="A941" s="625" t="str">
        <f>'A IV.A'!A40</f>
        <v>2.3.3</v>
      </c>
      <c r="B941" s="624"/>
      <c r="C941" s="626" t="str">
        <f>'A IV.A'!B40</f>
        <v>FORNECIMENTO E MONTAGEM/INSTALAÇÃO DE PLACAS DE SINALIZAÇÃO COM PINTURA REFLETIVA PARA APROVEITAMENTO</v>
      </c>
      <c r="D941" s="627"/>
      <c r="E941" s="627"/>
      <c r="F941" s="627"/>
      <c r="G941" s="627"/>
      <c r="H941" s="627"/>
      <c r="I941" s="628"/>
      <c r="J941" s="629" t="str">
        <f>'A IV.A'!C40</f>
        <v>M2</v>
      </c>
      <c r="K941" s="630" t="str">
        <f>VLOOKUP(A941,'A IV.A'!$A$14:$M$233,2,FALSE)</f>
        <v>FORNECIMENTO E MONTAGEM/INSTALAÇÃO DE PLACAS DE SINALIZAÇÃO COM PINTURA REFLETIVA PARA APROVEITAMENTO</v>
      </c>
      <c r="L941" s="631" t="str">
        <f>IF(C941=K941,"sim","nao")</f>
        <v>sim</v>
      </c>
      <c r="M941" s="631" t="str">
        <f>VLOOKUP(A941,'A IV.A'!$A$14:$M$233,3,FALSE)</f>
        <v>M2</v>
      </c>
      <c r="N941" s="631" t="str">
        <f>IF(J941=M941,"sim","nao")</f>
        <v>sim</v>
      </c>
    </row>
    <row r="942" spans="1:14" x14ac:dyDescent="0.2">
      <c r="A942" s="625"/>
      <c r="B942" s="624"/>
      <c r="C942" s="626"/>
      <c r="D942" s="627"/>
      <c r="E942" s="627"/>
      <c r="F942" s="627"/>
      <c r="G942" s="627"/>
      <c r="H942" s="627"/>
      <c r="I942" s="628"/>
      <c r="J942" s="629"/>
      <c r="K942" s="630"/>
      <c r="L942" s="631"/>
      <c r="M942" s="631"/>
      <c r="N942" s="631"/>
    </row>
    <row r="943" spans="1:14" x14ac:dyDescent="0.2">
      <c r="A943" s="139"/>
      <c r="B943" s="140"/>
      <c r="C943" s="141"/>
      <c r="D943" s="142"/>
      <c r="E943" s="142"/>
      <c r="F943" s="142"/>
      <c r="G943" s="142"/>
      <c r="H943" s="142"/>
      <c r="I943" s="143"/>
      <c r="J943" s="144"/>
      <c r="K943" s="132"/>
      <c r="L943" s="133"/>
    </row>
    <row r="944" spans="1:14" x14ac:dyDescent="0.2">
      <c r="A944" s="158"/>
      <c r="B944" s="188"/>
      <c r="C944" s="189"/>
      <c r="D944" s="165"/>
      <c r="E944" s="165"/>
      <c r="F944" s="165"/>
      <c r="G944" s="165"/>
      <c r="H944" s="165"/>
      <c r="I944" s="190"/>
      <c r="J944" s="191"/>
      <c r="K944" s="192"/>
      <c r="L944" s="55"/>
      <c r="M944" s="55"/>
      <c r="N944" s="55"/>
    </row>
    <row r="945" spans="1:14" x14ac:dyDescent="0.2">
      <c r="A945" s="158"/>
      <c r="B945" s="188"/>
      <c r="C945" s="189"/>
      <c r="D945" s="165"/>
      <c r="E945" s="165"/>
      <c r="F945" s="165"/>
      <c r="G945" s="165"/>
      <c r="H945" s="165"/>
      <c r="I945" s="190"/>
      <c r="J945" s="191"/>
      <c r="K945" s="192"/>
      <c r="L945" s="55"/>
      <c r="M945" s="55"/>
      <c r="N945" s="55"/>
    </row>
    <row r="946" spans="1:14" x14ac:dyDescent="0.2">
      <c r="A946" s="145"/>
      <c r="B946" s="146"/>
      <c r="C946" s="147"/>
      <c r="D946" s="147"/>
      <c r="E946" s="147"/>
      <c r="F946" s="147"/>
      <c r="G946" s="147"/>
      <c r="H946" s="147"/>
      <c r="I946" s="147"/>
      <c r="J946" s="148"/>
      <c r="K946" s="132"/>
      <c r="L946" s="133"/>
    </row>
    <row r="947" spans="1:14" x14ac:dyDescent="0.2">
      <c r="A947" s="158"/>
      <c r="B947" s="188"/>
      <c r="C947" s="189"/>
      <c r="D947" s="165"/>
      <c r="E947" s="165"/>
      <c r="F947" s="165"/>
      <c r="G947" s="165"/>
      <c r="H947" s="165"/>
      <c r="I947" s="190"/>
      <c r="J947" s="191"/>
      <c r="K947" s="630"/>
      <c r="L947" s="631"/>
      <c r="M947" s="631"/>
      <c r="N947" s="631"/>
    </row>
    <row r="948" spans="1:14" x14ac:dyDescent="0.2">
      <c r="A948" s="158"/>
      <c r="B948" s="188"/>
      <c r="C948" s="189"/>
      <c r="D948" s="165"/>
      <c r="E948" s="165"/>
      <c r="F948" s="165"/>
      <c r="G948" s="165"/>
      <c r="H948" s="165"/>
      <c r="I948" s="190"/>
      <c r="J948" s="191"/>
      <c r="K948" s="630"/>
      <c r="L948" s="631"/>
      <c r="M948" s="631"/>
      <c r="N948" s="631"/>
    </row>
    <row r="949" spans="1:14" x14ac:dyDescent="0.2">
      <c r="A949" s="145"/>
      <c r="B949" s="146"/>
      <c r="C949" s="147"/>
      <c r="D949" s="147"/>
      <c r="E949" s="147"/>
      <c r="F949" s="147"/>
      <c r="G949" s="147"/>
      <c r="H949" s="147"/>
      <c r="I949" s="147"/>
      <c r="J949" s="148"/>
      <c r="K949" s="132"/>
      <c r="L949" s="133"/>
    </row>
    <row r="950" spans="1:14" x14ac:dyDescent="0.2">
      <c r="A950" s="145"/>
      <c r="B950" s="146"/>
      <c r="C950" s="147"/>
      <c r="D950" s="147"/>
      <c r="E950" s="147"/>
      <c r="F950" s="147"/>
      <c r="G950" s="147"/>
      <c r="H950" s="147"/>
      <c r="I950" s="147"/>
      <c r="J950" s="148"/>
      <c r="K950" s="132"/>
      <c r="L950" s="133"/>
    </row>
    <row r="951" spans="1:14" x14ac:dyDescent="0.2">
      <c r="A951" s="145"/>
      <c r="B951" s="146"/>
      <c r="C951" s="147"/>
      <c r="D951" s="147"/>
      <c r="E951" s="147"/>
      <c r="F951" s="147"/>
      <c r="G951" s="147"/>
      <c r="H951" s="147"/>
      <c r="I951" s="147"/>
      <c r="J951" s="148"/>
      <c r="K951" s="132"/>
      <c r="L951" s="133"/>
    </row>
    <row r="952" spans="1:14" x14ac:dyDescent="0.2">
      <c r="A952" s="145"/>
      <c r="B952" s="146"/>
      <c r="C952" s="147"/>
      <c r="D952" s="147"/>
      <c r="E952" s="147"/>
      <c r="F952" s="147"/>
      <c r="G952" s="147"/>
      <c r="H952" s="147"/>
      <c r="I952" s="147"/>
      <c r="J952" s="148"/>
      <c r="K952" s="132"/>
      <c r="L952" s="133"/>
    </row>
    <row r="953" spans="1:14" x14ac:dyDescent="0.2">
      <c r="A953" s="145"/>
      <c r="B953" s="146"/>
      <c r="C953" s="147"/>
      <c r="D953" s="147"/>
      <c r="E953" s="147"/>
      <c r="F953" s="147"/>
      <c r="G953" s="147"/>
      <c r="H953" s="147"/>
      <c r="I953" s="147"/>
      <c r="J953" s="148"/>
      <c r="K953" s="132"/>
      <c r="L953" s="133"/>
    </row>
    <row r="954" spans="1:14" x14ac:dyDescent="0.2">
      <c r="A954" s="145"/>
      <c r="B954" s="146"/>
      <c r="C954" s="147"/>
      <c r="D954" s="147"/>
      <c r="E954" s="147"/>
      <c r="F954" s="147"/>
      <c r="G954" s="147"/>
      <c r="H954" s="147"/>
      <c r="I954" s="147"/>
      <c r="J954" s="148"/>
      <c r="K954" s="132"/>
      <c r="L954" s="133"/>
    </row>
    <row r="955" spans="1:14" x14ac:dyDescent="0.2">
      <c r="A955" s="145"/>
      <c r="B955" s="146"/>
      <c r="C955" s="147"/>
      <c r="D955" s="147"/>
      <c r="E955" s="147"/>
      <c r="F955" s="147"/>
      <c r="G955" s="147"/>
      <c r="H955" s="147"/>
      <c r="I955" s="147"/>
      <c r="J955" s="148"/>
      <c r="K955" s="132"/>
      <c r="L955" s="133"/>
    </row>
    <row r="956" spans="1:14" x14ac:dyDescent="0.2">
      <c r="A956" s="145"/>
      <c r="B956" s="146"/>
      <c r="C956" s="147"/>
      <c r="D956" s="147"/>
      <c r="E956" s="147"/>
      <c r="F956" s="147"/>
      <c r="G956" s="147"/>
      <c r="H956" s="147"/>
      <c r="I956" s="147"/>
      <c r="J956" s="148"/>
      <c r="K956" s="132"/>
      <c r="L956" s="133"/>
    </row>
    <row r="957" spans="1:14" x14ac:dyDescent="0.2">
      <c r="A957" s="145"/>
      <c r="B957" s="146"/>
      <c r="C957" s="147"/>
      <c r="D957" s="147"/>
      <c r="E957" s="147"/>
      <c r="F957" s="147"/>
      <c r="G957" s="147"/>
      <c r="H957" s="147"/>
      <c r="I957" s="147"/>
      <c r="J957" s="148"/>
      <c r="K957" s="132"/>
      <c r="L957" s="133"/>
    </row>
    <row r="958" spans="1:14" x14ac:dyDescent="0.2">
      <c r="A958" s="145"/>
      <c r="B958" s="146"/>
      <c r="C958" s="147"/>
      <c r="D958" s="147"/>
      <c r="E958" s="147"/>
      <c r="F958" s="147"/>
      <c r="G958" s="147"/>
      <c r="H958" s="147"/>
      <c r="I958" s="147"/>
      <c r="J958" s="148"/>
      <c r="K958" s="132"/>
      <c r="L958" s="133"/>
    </row>
    <row r="959" spans="1:14" x14ac:dyDescent="0.2">
      <c r="A959" s="145"/>
      <c r="B959" s="146"/>
      <c r="C959" s="147"/>
      <c r="D959" s="147"/>
      <c r="E959" s="147"/>
      <c r="F959" s="147"/>
      <c r="G959" s="147"/>
      <c r="H959" s="147"/>
      <c r="I959" s="147"/>
      <c r="J959" s="148"/>
      <c r="K959" s="132"/>
      <c r="L959" s="133"/>
    </row>
    <row r="960" spans="1:14" x14ac:dyDescent="0.2">
      <c r="A960" s="145"/>
      <c r="B960" s="146"/>
      <c r="C960" s="147"/>
      <c r="D960" s="147"/>
      <c r="E960" s="147"/>
      <c r="F960" s="147"/>
      <c r="G960" s="147"/>
      <c r="H960" s="147"/>
      <c r="I960" s="147"/>
      <c r="J960" s="148"/>
      <c r="K960" s="132"/>
      <c r="L960" s="133"/>
    </row>
    <row r="961" spans="1:12" x14ac:dyDescent="0.2">
      <c r="A961" s="145"/>
      <c r="B961" s="146"/>
      <c r="C961" s="147"/>
      <c r="D961" s="147"/>
      <c r="E961" s="147"/>
      <c r="F961" s="147"/>
      <c r="G961" s="147"/>
      <c r="H961" s="147"/>
      <c r="I961" s="147"/>
      <c r="J961" s="148"/>
      <c r="K961" s="132"/>
      <c r="L961" s="133"/>
    </row>
    <row r="962" spans="1:12" ht="13.5" thickBot="1" x14ac:dyDescent="0.25">
      <c r="A962" s="149"/>
      <c r="B962" s="150"/>
      <c r="C962" s="151"/>
      <c r="D962" s="151"/>
      <c r="E962" s="151"/>
      <c r="F962" s="151"/>
      <c r="G962" s="151"/>
      <c r="H962" s="151"/>
      <c r="I962" s="151"/>
      <c r="J962" s="152"/>
      <c r="K962" s="132"/>
      <c r="L962" s="133"/>
    </row>
    <row r="963" spans="1:12" ht="13.5" thickBot="1" x14ac:dyDescent="0.25">
      <c r="A963" s="153"/>
      <c r="B963" s="153"/>
      <c r="C963" s="154"/>
      <c r="D963" s="154"/>
      <c r="E963" s="154"/>
      <c r="F963" s="154"/>
      <c r="G963" s="154"/>
      <c r="H963" s="154"/>
      <c r="I963" s="154"/>
      <c r="J963" s="153"/>
      <c r="K963" s="132"/>
      <c r="L963" s="133"/>
    </row>
    <row r="964" spans="1:12" ht="13.5" thickBot="1" x14ac:dyDescent="0.25">
      <c r="A964" s="614" t="s">
        <v>62</v>
      </c>
      <c r="B964" s="648"/>
      <c r="C964" s="648"/>
      <c r="D964" s="648"/>
      <c r="E964" s="648"/>
      <c r="F964" s="648"/>
      <c r="G964" s="648"/>
      <c r="H964" s="648"/>
      <c r="I964" s="648"/>
      <c r="J964" s="649"/>
      <c r="K964" s="132"/>
      <c r="L964" s="133"/>
    </row>
    <row r="965" spans="1:12" x14ac:dyDescent="0.2">
      <c r="A965" s="136"/>
      <c r="B965" s="155"/>
      <c r="C965" s="156"/>
      <c r="D965" s="156"/>
      <c r="E965" s="156"/>
      <c r="F965" s="156"/>
      <c r="G965" s="156"/>
      <c r="H965" s="156"/>
      <c r="I965" s="156"/>
      <c r="J965" s="157"/>
      <c r="K965" s="132"/>
      <c r="L965" s="133"/>
    </row>
    <row r="966" spans="1:12" ht="12.75" customHeight="1" x14ac:dyDescent="0.2">
      <c r="A966" s="158" t="s">
        <v>63</v>
      </c>
      <c r="B966" s="55"/>
      <c r="C966" s="652" t="s">
        <v>716</v>
      </c>
      <c r="D966" s="652"/>
      <c r="E966" s="652"/>
      <c r="F966" s="652"/>
      <c r="G966" s="652"/>
      <c r="H966" s="652"/>
      <c r="I966" s="652"/>
      <c r="J966" s="653"/>
      <c r="K966" s="132"/>
      <c r="L966" s="133"/>
    </row>
    <row r="967" spans="1:12" x14ac:dyDescent="0.2">
      <c r="A967" s="158"/>
      <c r="B967" s="55"/>
      <c r="C967" s="652"/>
      <c r="D967" s="652"/>
      <c r="E967" s="652"/>
      <c r="F967" s="652"/>
      <c r="G967" s="652"/>
      <c r="H967" s="652"/>
      <c r="I967" s="652"/>
      <c r="J967" s="653"/>
      <c r="K967" s="132"/>
      <c r="L967" s="133"/>
    </row>
    <row r="968" spans="1:12" x14ac:dyDescent="0.2">
      <c r="A968" s="158"/>
      <c r="B968" s="55"/>
      <c r="C968" s="159"/>
      <c r="D968" s="159"/>
      <c r="E968" s="159"/>
      <c r="F968" s="159"/>
      <c r="G968" s="159"/>
      <c r="H968" s="159"/>
      <c r="I968" s="159"/>
      <c r="J968" s="160"/>
      <c r="K968" s="132"/>
      <c r="L968" s="133"/>
    </row>
    <row r="969" spans="1:12" x14ac:dyDescent="0.2">
      <c r="A969" s="158" t="s">
        <v>64</v>
      </c>
      <c r="B969" s="55"/>
      <c r="C969" s="675" t="s">
        <v>717</v>
      </c>
      <c r="D969" s="675"/>
      <c r="E969" s="675"/>
      <c r="F969" s="675"/>
      <c r="G969" s="675"/>
      <c r="H969" s="675"/>
      <c r="I969" s="675"/>
      <c r="J969" s="676"/>
      <c r="K969" s="132"/>
      <c r="L969" s="133"/>
    </row>
    <row r="970" spans="1:12" x14ac:dyDescent="0.2">
      <c r="A970" s="158"/>
      <c r="B970" s="55"/>
      <c r="C970" s="159"/>
      <c r="D970" s="159"/>
      <c r="E970" s="159"/>
      <c r="F970" s="159"/>
      <c r="G970" s="159"/>
      <c r="H970" s="159"/>
      <c r="I970" s="159"/>
      <c r="J970" s="160"/>
      <c r="K970" s="132"/>
      <c r="L970" s="133"/>
    </row>
    <row r="971" spans="1:12" x14ac:dyDescent="0.2">
      <c r="A971" s="158" t="s">
        <v>65</v>
      </c>
      <c r="B971" s="55"/>
      <c r="C971" s="652" t="s">
        <v>718</v>
      </c>
      <c r="D971" s="652"/>
      <c r="E971" s="652"/>
      <c r="F971" s="652"/>
      <c r="G971" s="652"/>
      <c r="H971" s="652"/>
      <c r="I971" s="652"/>
      <c r="J971" s="653"/>
      <c r="K971" s="132"/>
      <c r="L971" s="133"/>
    </row>
    <row r="972" spans="1:12" ht="12.75" customHeight="1" x14ac:dyDescent="0.2">
      <c r="A972" s="158"/>
      <c r="B972" s="55"/>
      <c r="C972" s="652"/>
      <c r="D972" s="652"/>
      <c r="E972" s="652"/>
      <c r="F972" s="652"/>
      <c r="G972" s="652"/>
      <c r="H972" s="652"/>
      <c r="I972" s="652"/>
      <c r="J972" s="653"/>
      <c r="K972" s="132"/>
      <c r="L972" s="133"/>
    </row>
    <row r="973" spans="1:12" ht="12.75" customHeight="1" x14ac:dyDescent="0.2">
      <c r="A973" s="158"/>
      <c r="B973" s="55"/>
      <c r="C973" s="652"/>
      <c r="D973" s="652"/>
      <c r="E973" s="652"/>
      <c r="F973" s="652"/>
      <c r="G973" s="652"/>
      <c r="H973" s="652"/>
      <c r="I973" s="652"/>
      <c r="J973" s="653"/>
      <c r="K973" s="132"/>
      <c r="L973" s="133"/>
    </row>
    <row r="974" spans="1:12" x14ac:dyDescent="0.2">
      <c r="A974" s="158"/>
      <c r="B974" s="55"/>
      <c r="C974" s="652"/>
      <c r="D974" s="652"/>
      <c r="E974" s="652"/>
      <c r="F974" s="652"/>
      <c r="G974" s="652"/>
      <c r="H974" s="652"/>
      <c r="I974" s="652"/>
      <c r="J974" s="653"/>
      <c r="K974" s="132"/>
      <c r="L974" s="133"/>
    </row>
    <row r="975" spans="1:12" x14ac:dyDescent="0.2">
      <c r="A975" s="158"/>
      <c r="B975" s="55"/>
      <c r="C975" s="652"/>
      <c r="D975" s="652"/>
      <c r="E975" s="652"/>
      <c r="F975" s="652"/>
      <c r="G975" s="652"/>
      <c r="H975" s="652"/>
      <c r="I975" s="652"/>
      <c r="J975" s="653"/>
      <c r="K975" s="132"/>
      <c r="L975" s="133"/>
    </row>
    <row r="976" spans="1:12" ht="12.75" customHeight="1" x14ac:dyDescent="0.2">
      <c r="A976" s="158"/>
      <c r="B976" s="55"/>
      <c r="C976" s="652"/>
      <c r="D976" s="652"/>
      <c r="E976" s="652"/>
      <c r="F976" s="652"/>
      <c r="G976" s="652"/>
      <c r="H976" s="652"/>
      <c r="I976" s="652"/>
      <c r="J976" s="653"/>
      <c r="K976" s="132"/>
      <c r="L976" s="133"/>
    </row>
    <row r="977" spans="1:14" x14ac:dyDescent="0.2">
      <c r="A977" s="158"/>
      <c r="B977" s="55"/>
      <c r="C977" s="55"/>
      <c r="D977" s="55"/>
      <c r="E977" s="55"/>
      <c r="F977" s="55"/>
      <c r="G977" s="55"/>
      <c r="H977" s="55"/>
      <c r="I977" s="55"/>
      <c r="J977" s="196"/>
      <c r="K977" s="132"/>
      <c r="L977" s="133"/>
    </row>
    <row r="978" spans="1:14" x14ac:dyDescent="0.2">
      <c r="A978" s="158"/>
      <c r="B978" s="55"/>
      <c r="C978" s="159"/>
      <c r="D978" s="159"/>
      <c r="E978" s="159"/>
      <c r="F978" s="159"/>
      <c r="G978" s="159"/>
      <c r="H978" s="159"/>
      <c r="I978" s="159"/>
      <c r="J978" s="160"/>
      <c r="K978" s="132"/>
      <c r="L978" s="133"/>
    </row>
    <row r="979" spans="1:14" x14ac:dyDescent="0.2">
      <c r="A979" s="158"/>
      <c r="B979" s="55"/>
      <c r="C979" s="71"/>
      <c r="D979" s="71"/>
      <c r="E979" s="71"/>
      <c r="F979" s="71"/>
      <c r="G979" s="71"/>
      <c r="H979" s="71"/>
      <c r="I979" s="71"/>
      <c r="J979" s="174"/>
      <c r="K979" s="132"/>
      <c r="L979" s="133"/>
    </row>
    <row r="980" spans="1:14" x14ac:dyDescent="0.2">
      <c r="A980" s="158"/>
      <c r="B980" s="55"/>
      <c r="C980" s="71"/>
      <c r="D980" s="71"/>
      <c r="E980" s="71"/>
      <c r="F980" s="71"/>
      <c r="G980" s="71"/>
      <c r="H980" s="71"/>
      <c r="I980" s="71"/>
      <c r="J980" s="174"/>
      <c r="K980" s="132"/>
      <c r="L980" s="133"/>
    </row>
    <row r="981" spans="1:14" x14ac:dyDescent="0.2">
      <c r="A981" s="158"/>
      <c r="B981" s="55"/>
      <c r="C981" s="71"/>
      <c r="D981" s="71"/>
      <c r="E981" s="71"/>
      <c r="F981" s="71"/>
      <c r="G981" s="71"/>
      <c r="H981" s="71"/>
      <c r="I981" s="71"/>
      <c r="J981" s="174"/>
      <c r="K981" s="132"/>
      <c r="L981" s="133"/>
    </row>
    <row r="982" spans="1:14" x14ac:dyDescent="0.2">
      <c r="A982" s="158"/>
      <c r="B982" s="55"/>
      <c r="C982" s="159"/>
      <c r="D982" s="159"/>
      <c r="E982" s="159"/>
      <c r="F982" s="159"/>
      <c r="G982" s="159"/>
      <c r="H982" s="159"/>
      <c r="I982" s="159"/>
      <c r="J982" s="160"/>
      <c r="K982" s="132"/>
      <c r="L982" s="133"/>
    </row>
    <row r="983" spans="1:14" x14ac:dyDescent="0.2">
      <c r="A983" s="158"/>
      <c r="B983" s="55"/>
      <c r="C983" s="171"/>
      <c r="D983" s="171"/>
      <c r="E983" s="159"/>
      <c r="F983" s="159"/>
      <c r="G983" s="159"/>
      <c r="H983" s="159"/>
      <c r="I983" s="159"/>
      <c r="J983" s="160"/>
      <c r="K983" s="132"/>
      <c r="L983" s="133"/>
    </row>
    <row r="984" spans="1:14" ht="13.5" thickBot="1" x14ac:dyDescent="0.25">
      <c r="A984" s="183"/>
      <c r="B984" s="184"/>
      <c r="C984" s="206"/>
      <c r="D984" s="206"/>
      <c r="E984" s="206"/>
      <c r="F984" s="206"/>
      <c r="G984" s="206"/>
      <c r="H984" s="206"/>
      <c r="I984" s="206"/>
      <c r="J984" s="207"/>
      <c r="K984" s="132"/>
      <c r="L984" s="133"/>
    </row>
    <row r="985" spans="1:14" ht="15.75" x14ac:dyDescent="0.2">
      <c r="A985" s="602" t="s">
        <v>4</v>
      </c>
      <c r="B985" s="603"/>
      <c r="C985" s="603" t="str">
        <f>'A IV.A'!$B$22</f>
        <v>SERVIÇOS INICIAIS</v>
      </c>
      <c r="D985" s="603"/>
      <c r="E985" s="603"/>
      <c r="F985" s="603"/>
      <c r="G985" s="603"/>
      <c r="H985" s="603"/>
      <c r="I985" s="603"/>
      <c r="J985" s="604"/>
      <c r="K985" s="132"/>
      <c r="L985" s="133"/>
    </row>
    <row r="986" spans="1:14" x14ac:dyDescent="0.2">
      <c r="A986" s="609" t="str">
        <f>'A IV.A'!$A$22</f>
        <v>2.0</v>
      </c>
      <c r="B986" s="610"/>
      <c r="C986" s="605"/>
      <c r="D986" s="605"/>
      <c r="E986" s="605"/>
      <c r="F986" s="605"/>
      <c r="G986" s="605"/>
      <c r="H986" s="605"/>
      <c r="I986" s="605"/>
      <c r="J986" s="606"/>
      <c r="K986" s="132"/>
      <c r="L986" s="133"/>
    </row>
    <row r="987" spans="1:14" ht="13.5" thickBot="1" x14ac:dyDescent="0.25">
      <c r="A987" s="611"/>
      <c r="B987" s="612"/>
      <c r="C987" s="607"/>
      <c r="D987" s="607"/>
      <c r="E987" s="607"/>
      <c r="F987" s="607"/>
      <c r="G987" s="607"/>
      <c r="H987" s="607"/>
      <c r="I987" s="607"/>
      <c r="J987" s="608"/>
      <c r="K987" s="132"/>
      <c r="L987" s="133"/>
    </row>
    <row r="988" spans="1:14" ht="13.5" thickBot="1" x14ac:dyDescent="0.25">
      <c r="A988" s="169"/>
      <c r="B988" s="169"/>
      <c r="C988" s="613"/>
      <c r="D988" s="613"/>
      <c r="E988" s="613"/>
      <c r="F988" s="613"/>
      <c r="G988" s="613"/>
      <c r="H988" s="613"/>
      <c r="I988" s="613"/>
      <c r="J988" s="169"/>
      <c r="K988" s="132"/>
      <c r="L988" s="133"/>
    </row>
    <row r="989" spans="1:14" ht="13.5" thickBot="1" x14ac:dyDescent="0.25">
      <c r="A989" s="632" t="s">
        <v>60</v>
      </c>
      <c r="B989" s="633"/>
      <c r="C989" s="656" t="s">
        <v>61</v>
      </c>
      <c r="D989" s="656"/>
      <c r="E989" s="656"/>
      <c r="F989" s="656"/>
      <c r="G989" s="656"/>
      <c r="H989" s="656"/>
      <c r="I989" s="656"/>
      <c r="J989" s="260" t="s">
        <v>0</v>
      </c>
      <c r="K989" s="132"/>
      <c r="L989" s="133"/>
    </row>
    <row r="990" spans="1:14" x14ac:dyDescent="0.2">
      <c r="A990" s="136"/>
      <c r="B990" s="137"/>
      <c r="C990" s="619"/>
      <c r="D990" s="620"/>
      <c r="E990" s="621"/>
      <c r="F990" s="621"/>
      <c r="G990" s="621"/>
      <c r="H990" s="621"/>
      <c r="I990" s="622"/>
      <c r="J990" s="138"/>
      <c r="K990" s="132"/>
      <c r="L990" s="133"/>
    </row>
    <row r="991" spans="1:14" x14ac:dyDescent="0.2">
      <c r="A991" s="625" t="str">
        <f>'A IV.A'!A41</f>
        <v>2.3.4</v>
      </c>
      <c r="B991" s="624"/>
      <c r="C991" s="626" t="str">
        <f>'A IV.A'!B41</f>
        <v>SINALIZAÇÃO DE TRÂNSITO COM CAVALETE DE MADEIRA SIMPLES</v>
      </c>
      <c r="D991" s="627"/>
      <c r="E991" s="627"/>
      <c r="F991" s="627"/>
      <c r="G991" s="627"/>
      <c r="H991" s="627"/>
      <c r="I991" s="628"/>
      <c r="J991" s="629" t="str">
        <f>'A IV.A'!C41</f>
        <v>UN</v>
      </c>
      <c r="K991" s="630" t="str">
        <f>VLOOKUP(A991,'A IV.A'!$A$14:$M$233,2,FALSE)</f>
        <v>SINALIZAÇÃO DE TRÂNSITO COM CAVALETE DE MADEIRA SIMPLES</v>
      </c>
      <c r="L991" s="631" t="str">
        <f>IF(C991=K991,"sim","nao")</f>
        <v>sim</v>
      </c>
      <c r="M991" s="631" t="str">
        <f>VLOOKUP(A991,'A IV.A'!$A$14:$M$233,3,FALSE)</f>
        <v>UN</v>
      </c>
      <c r="N991" s="631" t="str">
        <f>IF(J991=M991,"sim","nao")</f>
        <v>sim</v>
      </c>
    </row>
    <row r="992" spans="1:14" x14ac:dyDescent="0.2">
      <c r="A992" s="625"/>
      <c r="B992" s="624"/>
      <c r="C992" s="626"/>
      <c r="D992" s="627"/>
      <c r="E992" s="627"/>
      <c r="F992" s="627"/>
      <c r="G992" s="627"/>
      <c r="H992" s="627"/>
      <c r="I992" s="628"/>
      <c r="J992" s="629"/>
      <c r="K992" s="630"/>
      <c r="L992" s="631"/>
      <c r="M992" s="631"/>
      <c r="N992" s="631"/>
    </row>
    <row r="993" spans="1:14" x14ac:dyDescent="0.2">
      <c r="A993" s="139"/>
      <c r="B993" s="140"/>
      <c r="C993" s="141"/>
      <c r="D993" s="142"/>
      <c r="E993" s="142"/>
      <c r="F993" s="142"/>
      <c r="G993" s="142"/>
      <c r="H993" s="142"/>
      <c r="I993" s="143"/>
      <c r="J993" s="144"/>
      <c r="K993" s="132"/>
      <c r="L993" s="133"/>
    </row>
    <row r="994" spans="1:14" x14ac:dyDescent="0.2">
      <c r="A994" s="625"/>
      <c r="B994" s="624"/>
      <c r="C994" s="626"/>
      <c r="D994" s="627"/>
      <c r="E994" s="627"/>
      <c r="F994" s="627"/>
      <c r="G994" s="627"/>
      <c r="H994" s="627"/>
      <c r="I994" s="628"/>
      <c r="J994" s="629"/>
      <c r="K994" s="630"/>
      <c r="L994" s="631"/>
      <c r="M994" s="631"/>
      <c r="N994" s="631"/>
    </row>
    <row r="995" spans="1:14" x14ac:dyDescent="0.2">
      <c r="A995" s="625"/>
      <c r="B995" s="624"/>
      <c r="C995" s="626"/>
      <c r="D995" s="627"/>
      <c r="E995" s="627"/>
      <c r="F995" s="627"/>
      <c r="G995" s="627"/>
      <c r="H995" s="627"/>
      <c r="I995" s="628"/>
      <c r="J995" s="629"/>
      <c r="K995" s="630"/>
      <c r="L995" s="631"/>
      <c r="M995" s="631"/>
      <c r="N995" s="631"/>
    </row>
    <row r="996" spans="1:14" x14ac:dyDescent="0.2">
      <c r="A996" s="145"/>
      <c r="B996" s="146"/>
      <c r="C996" s="147"/>
      <c r="D996" s="147"/>
      <c r="E996" s="147"/>
      <c r="F996" s="147"/>
      <c r="G996" s="147"/>
      <c r="H996" s="147"/>
      <c r="I996" s="147"/>
      <c r="J996" s="148"/>
      <c r="K996" s="132"/>
      <c r="L996" s="133"/>
    </row>
    <row r="997" spans="1:14" x14ac:dyDescent="0.2">
      <c r="A997" s="158"/>
      <c r="B997" s="188"/>
      <c r="C997" s="189"/>
      <c r="D997" s="165"/>
      <c r="E997" s="165"/>
      <c r="F997" s="165"/>
      <c r="G997" s="165"/>
      <c r="H997" s="165"/>
      <c r="I997" s="190"/>
      <c r="J997" s="191"/>
      <c r="K997" s="630"/>
      <c r="L997" s="631"/>
      <c r="M997" s="631"/>
      <c r="N997" s="631"/>
    </row>
    <row r="998" spans="1:14" x14ac:dyDescent="0.2">
      <c r="A998" s="158"/>
      <c r="B998" s="188"/>
      <c r="C998" s="189"/>
      <c r="D998" s="165"/>
      <c r="E998" s="165"/>
      <c r="F998" s="165"/>
      <c r="G998" s="165"/>
      <c r="H998" s="165"/>
      <c r="I998" s="190"/>
      <c r="J998" s="191"/>
      <c r="K998" s="630"/>
      <c r="L998" s="631"/>
      <c r="M998" s="631"/>
      <c r="N998" s="631"/>
    </row>
    <row r="999" spans="1:14" x14ac:dyDescent="0.2">
      <c r="A999" s="145"/>
      <c r="B999" s="146"/>
      <c r="C999" s="147"/>
      <c r="D999" s="147"/>
      <c r="E999" s="147"/>
      <c r="F999" s="147"/>
      <c r="G999" s="147"/>
      <c r="H999" s="147"/>
      <c r="I999" s="147"/>
      <c r="J999" s="148"/>
      <c r="K999" s="132"/>
      <c r="L999" s="133"/>
    </row>
    <row r="1000" spans="1:14" x14ac:dyDescent="0.2">
      <c r="A1000" s="145"/>
      <c r="B1000" s="146"/>
      <c r="C1000" s="147"/>
      <c r="D1000" s="147"/>
      <c r="E1000" s="147"/>
      <c r="F1000" s="147"/>
      <c r="G1000" s="147"/>
      <c r="H1000" s="147"/>
      <c r="I1000" s="147"/>
      <c r="J1000" s="148"/>
      <c r="K1000" s="132"/>
      <c r="L1000" s="133"/>
    </row>
    <row r="1001" spans="1:14" x14ac:dyDescent="0.2">
      <c r="A1001" s="145"/>
      <c r="B1001" s="146"/>
      <c r="C1001" s="147"/>
      <c r="D1001" s="147"/>
      <c r="E1001" s="147"/>
      <c r="F1001" s="147"/>
      <c r="G1001" s="147"/>
      <c r="H1001" s="147"/>
      <c r="I1001" s="147"/>
      <c r="J1001" s="148"/>
      <c r="K1001" s="132"/>
      <c r="L1001" s="133"/>
    </row>
    <row r="1002" spans="1:14" x14ac:dyDescent="0.2">
      <c r="A1002" s="145"/>
      <c r="B1002" s="146"/>
      <c r="C1002" s="147"/>
      <c r="D1002" s="147"/>
      <c r="E1002" s="147"/>
      <c r="F1002" s="147"/>
      <c r="G1002" s="147"/>
      <c r="H1002" s="147"/>
      <c r="I1002" s="147"/>
      <c r="J1002" s="148"/>
      <c r="K1002" s="132"/>
      <c r="L1002" s="133"/>
    </row>
    <row r="1003" spans="1:14" x14ac:dyDescent="0.2">
      <c r="A1003" s="145"/>
      <c r="B1003" s="146"/>
      <c r="C1003" s="147"/>
      <c r="D1003" s="147"/>
      <c r="E1003" s="147"/>
      <c r="F1003" s="147"/>
      <c r="G1003" s="147"/>
      <c r="H1003" s="147"/>
      <c r="I1003" s="147"/>
      <c r="J1003" s="148"/>
      <c r="K1003" s="132"/>
      <c r="L1003" s="133"/>
    </row>
    <row r="1004" spans="1:14" x14ac:dyDescent="0.2">
      <c r="A1004" s="145"/>
      <c r="B1004" s="146"/>
      <c r="C1004" s="147"/>
      <c r="D1004" s="147"/>
      <c r="E1004" s="147"/>
      <c r="F1004" s="147"/>
      <c r="G1004" s="147"/>
      <c r="H1004" s="147"/>
      <c r="I1004" s="147"/>
      <c r="J1004" s="148"/>
      <c r="K1004" s="132"/>
      <c r="L1004" s="133"/>
    </row>
    <row r="1005" spans="1:14" x14ac:dyDescent="0.2">
      <c r="A1005" s="145"/>
      <c r="B1005" s="146"/>
      <c r="C1005" s="147"/>
      <c r="D1005" s="147"/>
      <c r="E1005" s="147"/>
      <c r="F1005" s="147"/>
      <c r="G1005" s="147"/>
      <c r="H1005" s="147"/>
      <c r="I1005" s="147"/>
      <c r="J1005" s="148"/>
      <c r="K1005" s="132"/>
      <c r="L1005" s="133"/>
    </row>
    <row r="1006" spans="1:14" x14ac:dyDescent="0.2">
      <c r="A1006" s="145"/>
      <c r="B1006" s="146"/>
      <c r="C1006" s="147"/>
      <c r="D1006" s="147"/>
      <c r="E1006" s="147"/>
      <c r="F1006" s="147"/>
      <c r="G1006" s="147"/>
      <c r="H1006" s="147"/>
      <c r="I1006" s="147"/>
      <c r="J1006" s="148"/>
      <c r="K1006" s="132"/>
      <c r="L1006" s="133"/>
    </row>
    <row r="1007" spans="1:14" x14ac:dyDescent="0.2">
      <c r="A1007" s="145"/>
      <c r="B1007" s="146"/>
      <c r="C1007" s="147"/>
      <c r="D1007" s="147"/>
      <c r="E1007" s="147"/>
      <c r="F1007" s="147"/>
      <c r="G1007" s="147"/>
      <c r="H1007" s="147"/>
      <c r="I1007" s="147"/>
      <c r="J1007" s="148"/>
      <c r="K1007" s="132"/>
      <c r="L1007" s="133"/>
    </row>
    <row r="1008" spans="1:14" x14ac:dyDescent="0.2">
      <c r="A1008" s="145"/>
      <c r="B1008" s="146"/>
      <c r="C1008" s="147"/>
      <c r="D1008" s="147"/>
      <c r="E1008" s="147"/>
      <c r="F1008" s="147"/>
      <c r="G1008" s="147"/>
      <c r="H1008" s="147"/>
      <c r="I1008" s="147"/>
      <c r="J1008" s="148"/>
      <c r="K1008" s="132"/>
      <c r="L1008" s="133"/>
    </row>
    <row r="1009" spans="1:12" x14ac:dyDescent="0.2">
      <c r="A1009" s="145"/>
      <c r="B1009" s="146"/>
      <c r="C1009" s="147"/>
      <c r="D1009" s="147"/>
      <c r="E1009" s="147"/>
      <c r="F1009" s="147"/>
      <c r="G1009" s="147"/>
      <c r="H1009" s="147"/>
      <c r="I1009" s="147"/>
      <c r="J1009" s="148"/>
      <c r="K1009" s="132"/>
      <c r="L1009" s="133"/>
    </row>
    <row r="1010" spans="1:12" x14ac:dyDescent="0.2">
      <c r="A1010" s="145"/>
      <c r="B1010" s="146"/>
      <c r="C1010" s="147"/>
      <c r="D1010" s="147"/>
      <c r="E1010" s="147"/>
      <c r="F1010" s="147"/>
      <c r="G1010" s="147"/>
      <c r="H1010" s="147"/>
      <c r="I1010" s="147"/>
      <c r="J1010" s="148"/>
      <c r="K1010" s="132"/>
      <c r="L1010" s="133"/>
    </row>
    <row r="1011" spans="1:12" x14ac:dyDescent="0.2">
      <c r="A1011" s="145"/>
      <c r="B1011" s="146"/>
      <c r="C1011" s="147"/>
      <c r="D1011" s="147"/>
      <c r="E1011" s="147"/>
      <c r="F1011" s="147"/>
      <c r="G1011" s="147"/>
      <c r="H1011" s="147"/>
      <c r="I1011" s="147"/>
      <c r="J1011" s="148"/>
      <c r="K1011" s="132"/>
      <c r="L1011" s="133"/>
    </row>
    <row r="1012" spans="1:12" ht="13.5" thickBot="1" x14ac:dyDescent="0.25">
      <c r="A1012" s="149"/>
      <c r="B1012" s="150"/>
      <c r="C1012" s="151"/>
      <c r="D1012" s="151"/>
      <c r="E1012" s="151"/>
      <c r="F1012" s="151"/>
      <c r="G1012" s="151"/>
      <c r="H1012" s="151"/>
      <c r="I1012" s="151"/>
      <c r="J1012" s="152"/>
      <c r="K1012" s="132"/>
      <c r="L1012" s="133"/>
    </row>
    <row r="1013" spans="1:12" ht="13.5" thickBot="1" x14ac:dyDescent="0.25">
      <c r="A1013" s="153"/>
      <c r="B1013" s="153"/>
      <c r="C1013" s="154"/>
      <c r="D1013" s="154"/>
      <c r="E1013" s="154"/>
      <c r="F1013" s="154"/>
      <c r="G1013" s="154"/>
      <c r="H1013" s="154"/>
      <c r="I1013" s="154"/>
      <c r="J1013" s="153"/>
      <c r="K1013" s="132"/>
      <c r="L1013" s="133"/>
    </row>
    <row r="1014" spans="1:12" ht="13.5" thickBot="1" x14ac:dyDescent="0.25">
      <c r="A1014" s="614" t="s">
        <v>62</v>
      </c>
      <c r="B1014" s="648"/>
      <c r="C1014" s="648"/>
      <c r="D1014" s="648"/>
      <c r="E1014" s="648"/>
      <c r="F1014" s="648"/>
      <c r="G1014" s="648"/>
      <c r="H1014" s="648"/>
      <c r="I1014" s="648"/>
      <c r="J1014" s="649"/>
      <c r="K1014" s="132"/>
      <c r="L1014" s="133"/>
    </row>
    <row r="1015" spans="1:12" x14ac:dyDescent="0.2">
      <c r="A1015" s="136"/>
      <c r="B1015" s="155"/>
      <c r="C1015" s="156"/>
      <c r="D1015" s="156"/>
      <c r="E1015" s="156"/>
      <c r="F1015" s="156"/>
      <c r="G1015" s="156"/>
      <c r="H1015" s="156"/>
      <c r="I1015" s="156"/>
      <c r="J1015" s="157"/>
      <c r="K1015" s="132"/>
      <c r="L1015" s="133"/>
    </row>
    <row r="1016" spans="1:12" ht="12.75" customHeight="1" x14ac:dyDescent="0.2">
      <c r="A1016" s="158" t="s">
        <v>63</v>
      </c>
      <c r="B1016" s="55"/>
      <c r="C1016" s="596" t="s">
        <v>719</v>
      </c>
      <c r="D1016" s="596"/>
      <c r="E1016" s="596"/>
      <c r="F1016" s="596"/>
      <c r="G1016" s="596"/>
      <c r="H1016" s="596"/>
      <c r="I1016" s="596"/>
      <c r="J1016" s="597"/>
      <c r="K1016" s="132"/>
      <c r="L1016" s="133"/>
    </row>
    <row r="1017" spans="1:12" x14ac:dyDescent="0.2">
      <c r="A1017" s="158"/>
      <c r="B1017" s="55"/>
      <c r="C1017" s="596"/>
      <c r="D1017" s="596"/>
      <c r="E1017" s="596"/>
      <c r="F1017" s="596"/>
      <c r="G1017" s="596"/>
      <c r="H1017" s="596"/>
      <c r="I1017" s="596"/>
      <c r="J1017" s="597"/>
      <c r="K1017" s="132"/>
      <c r="L1017" s="133"/>
    </row>
    <row r="1018" spans="1:12" x14ac:dyDescent="0.2">
      <c r="A1018" s="158"/>
      <c r="B1018" s="55"/>
      <c r="C1018" s="596"/>
      <c r="D1018" s="596"/>
      <c r="E1018" s="596"/>
      <c r="F1018" s="596"/>
      <c r="G1018" s="596"/>
      <c r="H1018" s="596"/>
      <c r="I1018" s="596"/>
      <c r="J1018" s="597"/>
      <c r="K1018" s="132"/>
      <c r="L1018" s="133"/>
    </row>
    <row r="1019" spans="1:12" x14ac:dyDescent="0.2">
      <c r="A1019" s="158"/>
      <c r="B1019" s="55"/>
      <c r="C1019" s="55"/>
      <c r="D1019" s="55"/>
      <c r="E1019" s="55"/>
      <c r="F1019" s="55"/>
      <c r="G1019" s="55"/>
      <c r="H1019" s="55"/>
      <c r="I1019" s="55"/>
      <c r="J1019" s="196"/>
      <c r="K1019" s="132"/>
      <c r="L1019" s="133"/>
    </row>
    <row r="1020" spans="1:12" x14ac:dyDescent="0.2">
      <c r="A1020" s="158" t="s">
        <v>64</v>
      </c>
      <c r="B1020" s="55"/>
      <c r="C1020" s="657" t="s">
        <v>720</v>
      </c>
      <c r="D1020" s="657"/>
      <c r="E1020" s="657"/>
      <c r="F1020" s="657"/>
      <c r="G1020" s="657"/>
      <c r="H1020" s="657"/>
      <c r="I1020" s="657"/>
      <c r="J1020" s="717"/>
      <c r="K1020" s="132"/>
      <c r="L1020" s="133"/>
    </row>
    <row r="1021" spans="1:12" ht="12.75" customHeight="1" x14ac:dyDescent="0.2">
      <c r="A1021" s="158"/>
      <c r="B1021" s="55"/>
      <c r="C1021" s="55"/>
      <c r="D1021" s="55"/>
      <c r="E1021" s="55"/>
      <c r="F1021" s="55"/>
      <c r="G1021" s="55"/>
      <c r="H1021" s="55"/>
      <c r="I1021" s="55"/>
      <c r="J1021" s="196"/>
      <c r="K1021" s="132"/>
      <c r="L1021" s="133"/>
    </row>
    <row r="1022" spans="1:12" ht="12.75" customHeight="1" x14ac:dyDescent="0.2">
      <c r="A1022" s="158" t="s">
        <v>65</v>
      </c>
      <c r="B1022" s="55"/>
      <c r="C1022" s="652" t="s">
        <v>721</v>
      </c>
      <c r="D1022" s="652"/>
      <c r="E1022" s="652"/>
      <c r="F1022" s="652"/>
      <c r="G1022" s="652"/>
      <c r="H1022" s="652"/>
      <c r="I1022" s="652"/>
      <c r="J1022" s="653"/>
      <c r="K1022" s="132"/>
      <c r="L1022" s="133"/>
    </row>
    <row r="1023" spans="1:12" x14ac:dyDescent="0.2">
      <c r="A1023" s="158"/>
      <c r="B1023" s="55"/>
      <c r="C1023" s="652"/>
      <c r="D1023" s="652"/>
      <c r="E1023" s="652"/>
      <c r="F1023" s="652"/>
      <c r="G1023" s="652"/>
      <c r="H1023" s="652"/>
      <c r="I1023" s="652"/>
      <c r="J1023" s="653"/>
      <c r="K1023" s="132"/>
      <c r="L1023" s="133"/>
    </row>
    <row r="1024" spans="1:12" x14ac:dyDescent="0.2">
      <c r="A1024" s="158"/>
      <c r="B1024" s="55"/>
      <c r="C1024" s="652"/>
      <c r="D1024" s="652"/>
      <c r="E1024" s="652"/>
      <c r="F1024" s="652"/>
      <c r="G1024" s="652"/>
      <c r="H1024" s="652"/>
      <c r="I1024" s="652"/>
      <c r="J1024" s="653"/>
      <c r="K1024" s="132"/>
      <c r="L1024" s="133"/>
    </row>
    <row r="1025" spans="1:12" ht="12.75" customHeight="1" x14ac:dyDescent="0.2">
      <c r="A1025" s="158"/>
      <c r="B1025" s="55"/>
      <c r="C1025" s="159"/>
      <c r="D1025" s="159"/>
      <c r="E1025" s="159"/>
      <c r="F1025" s="159"/>
      <c r="G1025" s="159"/>
      <c r="H1025" s="159"/>
      <c r="I1025" s="159"/>
      <c r="J1025" s="160"/>
      <c r="K1025" s="132"/>
      <c r="L1025" s="133"/>
    </row>
    <row r="1026" spans="1:12" x14ac:dyDescent="0.2">
      <c r="A1026" s="158"/>
      <c r="B1026" s="55"/>
      <c r="C1026" s="55"/>
      <c r="D1026" s="55"/>
      <c r="E1026" s="55"/>
      <c r="F1026" s="55"/>
      <c r="G1026" s="55"/>
      <c r="H1026" s="55"/>
      <c r="I1026" s="55"/>
      <c r="J1026" s="196"/>
      <c r="K1026" s="132"/>
      <c r="L1026" s="133"/>
    </row>
    <row r="1027" spans="1:12" x14ac:dyDescent="0.2">
      <c r="A1027" s="158"/>
      <c r="B1027" s="55"/>
      <c r="C1027" s="175"/>
      <c r="D1027" s="175"/>
      <c r="E1027" s="175"/>
      <c r="F1027" s="175"/>
      <c r="G1027" s="175"/>
      <c r="H1027" s="175"/>
      <c r="I1027" s="175"/>
      <c r="J1027" s="176"/>
      <c r="K1027" s="132"/>
      <c r="L1027" s="133"/>
    </row>
    <row r="1028" spans="1:12" x14ac:dyDescent="0.2">
      <c r="A1028" s="158"/>
      <c r="B1028" s="55"/>
      <c r="C1028" s="159"/>
      <c r="D1028" s="159"/>
      <c r="E1028" s="159"/>
      <c r="F1028" s="159"/>
      <c r="G1028" s="159"/>
      <c r="H1028" s="159"/>
      <c r="I1028" s="159"/>
      <c r="J1028" s="160"/>
      <c r="K1028" s="132"/>
      <c r="L1028" s="133"/>
    </row>
    <row r="1029" spans="1:12" x14ac:dyDescent="0.2">
      <c r="A1029" s="158"/>
      <c r="B1029" s="55"/>
      <c r="C1029" s="71"/>
      <c r="D1029" s="71"/>
      <c r="E1029" s="71"/>
      <c r="F1029" s="71"/>
      <c r="G1029" s="71"/>
      <c r="H1029" s="71"/>
      <c r="I1029" s="71"/>
      <c r="J1029" s="174"/>
      <c r="K1029" s="132"/>
      <c r="L1029" s="133"/>
    </row>
    <row r="1030" spans="1:12" x14ac:dyDescent="0.2">
      <c r="A1030" s="158"/>
      <c r="B1030" s="55"/>
      <c r="C1030" s="71"/>
      <c r="D1030" s="71"/>
      <c r="E1030" s="71"/>
      <c r="F1030" s="71"/>
      <c r="G1030" s="71"/>
      <c r="H1030" s="71"/>
      <c r="I1030" s="71"/>
      <c r="J1030" s="174"/>
      <c r="K1030" s="132"/>
      <c r="L1030" s="133"/>
    </row>
    <row r="1031" spans="1:12" x14ac:dyDescent="0.2">
      <c r="A1031" s="158"/>
      <c r="B1031" s="55"/>
      <c r="C1031" s="71"/>
      <c r="D1031" s="71"/>
      <c r="E1031" s="71"/>
      <c r="F1031" s="71"/>
      <c r="G1031" s="71"/>
      <c r="H1031" s="71"/>
      <c r="I1031" s="71"/>
      <c r="J1031" s="174"/>
      <c r="K1031" s="132"/>
      <c r="L1031" s="133"/>
    </row>
    <row r="1032" spans="1:12" x14ac:dyDescent="0.2">
      <c r="A1032" s="158"/>
      <c r="B1032" s="55"/>
      <c r="C1032" s="159"/>
      <c r="D1032" s="159"/>
      <c r="E1032" s="159"/>
      <c r="F1032" s="159"/>
      <c r="G1032" s="159"/>
      <c r="H1032" s="159"/>
      <c r="I1032" s="159"/>
      <c r="J1032" s="160"/>
      <c r="K1032" s="132"/>
      <c r="L1032" s="133"/>
    </row>
    <row r="1033" spans="1:12" x14ac:dyDescent="0.2">
      <c r="A1033" s="158"/>
      <c r="B1033" s="55"/>
      <c r="C1033" s="171"/>
      <c r="D1033" s="171"/>
      <c r="E1033" s="159"/>
      <c r="F1033" s="159"/>
      <c r="G1033" s="159"/>
      <c r="H1033" s="159"/>
      <c r="I1033" s="159"/>
      <c r="J1033" s="160"/>
      <c r="K1033" s="132"/>
      <c r="L1033" s="133"/>
    </row>
    <row r="1034" spans="1:12" ht="13.5" thickBot="1" x14ac:dyDescent="0.25">
      <c r="A1034" s="183"/>
      <c r="B1034" s="184"/>
      <c r="C1034" s="206"/>
      <c r="D1034" s="206"/>
      <c r="E1034" s="206"/>
      <c r="F1034" s="206"/>
      <c r="G1034" s="206"/>
      <c r="H1034" s="206"/>
      <c r="I1034" s="206"/>
      <c r="J1034" s="207"/>
      <c r="K1034" s="132"/>
      <c r="L1034" s="133"/>
    </row>
    <row r="1035" spans="1:12" ht="15.75" x14ac:dyDescent="0.2">
      <c r="A1035" s="602" t="s">
        <v>4</v>
      </c>
      <c r="B1035" s="603"/>
      <c r="C1035" s="603" t="str">
        <f>'A IV.A'!$B$43</f>
        <v>FECHAMENTOS, PROTEÇÕES E ALVENARIAS EM GERAL</v>
      </c>
      <c r="D1035" s="603"/>
      <c r="E1035" s="603"/>
      <c r="F1035" s="603"/>
      <c r="G1035" s="603"/>
      <c r="H1035" s="603"/>
      <c r="I1035" s="603"/>
      <c r="J1035" s="604"/>
      <c r="K1035" s="132"/>
      <c r="L1035" s="133"/>
    </row>
    <row r="1036" spans="1:12" x14ac:dyDescent="0.2">
      <c r="A1036" s="609" t="str">
        <f>'A IV.A'!$A$43</f>
        <v>3.0</v>
      </c>
      <c r="B1036" s="610"/>
      <c r="C1036" s="605"/>
      <c r="D1036" s="605"/>
      <c r="E1036" s="605"/>
      <c r="F1036" s="605"/>
      <c r="G1036" s="605"/>
      <c r="H1036" s="605"/>
      <c r="I1036" s="605"/>
      <c r="J1036" s="606"/>
      <c r="K1036" s="132"/>
      <c r="L1036" s="133"/>
    </row>
    <row r="1037" spans="1:12" ht="13.5" thickBot="1" x14ac:dyDescent="0.25">
      <c r="A1037" s="611"/>
      <c r="B1037" s="612"/>
      <c r="C1037" s="607"/>
      <c r="D1037" s="607"/>
      <c r="E1037" s="607"/>
      <c r="F1037" s="607"/>
      <c r="G1037" s="607"/>
      <c r="H1037" s="607"/>
      <c r="I1037" s="607"/>
      <c r="J1037" s="608"/>
      <c r="K1037" s="132"/>
      <c r="L1037" s="133"/>
    </row>
    <row r="1038" spans="1:12" ht="13.5" thickBot="1" x14ac:dyDescent="0.25">
      <c r="A1038" s="169"/>
      <c r="B1038" s="169"/>
      <c r="C1038" s="613"/>
      <c r="D1038" s="613"/>
      <c r="E1038" s="613"/>
      <c r="F1038" s="613"/>
      <c r="G1038" s="613"/>
      <c r="H1038" s="613"/>
      <c r="I1038" s="613"/>
      <c r="J1038" s="169"/>
      <c r="K1038" s="132"/>
      <c r="L1038" s="133"/>
    </row>
    <row r="1039" spans="1:12" ht="13.5" thickBot="1" x14ac:dyDescent="0.25">
      <c r="A1039" s="632" t="s">
        <v>60</v>
      </c>
      <c r="B1039" s="633"/>
      <c r="C1039" s="656" t="s">
        <v>61</v>
      </c>
      <c r="D1039" s="656"/>
      <c r="E1039" s="656"/>
      <c r="F1039" s="656"/>
      <c r="G1039" s="656"/>
      <c r="H1039" s="656"/>
      <c r="I1039" s="656"/>
      <c r="J1039" s="260" t="s">
        <v>0</v>
      </c>
      <c r="K1039" s="132"/>
      <c r="L1039" s="133"/>
    </row>
    <row r="1040" spans="1:12" x14ac:dyDescent="0.2">
      <c r="A1040" s="136"/>
      <c r="B1040" s="137"/>
      <c r="C1040" s="619"/>
      <c r="D1040" s="620"/>
      <c r="E1040" s="621"/>
      <c r="F1040" s="621"/>
      <c r="G1040" s="621"/>
      <c r="H1040" s="621"/>
      <c r="I1040" s="622"/>
      <c r="J1040" s="138"/>
      <c r="K1040" s="132"/>
      <c r="L1040" s="133"/>
    </row>
    <row r="1041" spans="1:14" ht="12.75" customHeight="1" x14ac:dyDescent="0.2">
      <c r="A1041" s="623" t="str">
        <f>'A IV.A'!$A$46</f>
        <v>3.1.1</v>
      </c>
      <c r="B1041" s="636"/>
      <c r="C1041" s="626" t="str">
        <f>'A IV.A'!$B$46</f>
        <v>ALAMBRADO COM TELA DE ARAME GALVANIZADO, FIXADA EM MOURÃO DE CONCRETO ARMADO, INCLUINDO MURETA DE CONCRETO</v>
      </c>
      <c r="D1041" s="627"/>
      <c r="E1041" s="627"/>
      <c r="F1041" s="627"/>
      <c r="G1041" s="627"/>
      <c r="H1041" s="627"/>
      <c r="I1041" s="628"/>
      <c r="J1041" s="629" t="str">
        <f>'A IV.A'!$C$46</f>
        <v>M</v>
      </c>
      <c r="K1041" s="630" t="str">
        <f>VLOOKUP(A1041,'A IV.A'!$A$14:$M$233,2,FALSE)</f>
        <v>ALAMBRADO COM TELA DE ARAME GALVANIZADO, FIXADA EM MOURÃO DE CONCRETO ARMADO, INCLUINDO MURETA DE CONCRETO</v>
      </c>
      <c r="L1041" s="631" t="str">
        <f>IF(C1041=K1041,"sim","nao")</f>
        <v>sim</v>
      </c>
      <c r="M1041" s="631" t="str">
        <f>VLOOKUP(A1041,'A IV.A'!$A$14:$M$233,3,FALSE)</f>
        <v>M</v>
      </c>
      <c r="N1041" s="631" t="str">
        <f>IF(J1041=M1041,"sim","nao")</f>
        <v>sim</v>
      </c>
    </row>
    <row r="1042" spans="1:14" x14ac:dyDescent="0.2">
      <c r="A1042" s="623"/>
      <c r="B1042" s="636"/>
      <c r="C1042" s="626"/>
      <c r="D1042" s="627"/>
      <c r="E1042" s="627"/>
      <c r="F1042" s="627"/>
      <c r="G1042" s="627"/>
      <c r="H1042" s="627"/>
      <c r="I1042" s="628"/>
      <c r="J1042" s="629"/>
      <c r="K1042" s="630"/>
      <c r="L1042" s="631"/>
      <c r="M1042" s="631"/>
      <c r="N1042" s="631"/>
    </row>
    <row r="1043" spans="1:14" x14ac:dyDescent="0.2">
      <c r="A1043" s="623"/>
      <c r="B1043" s="636"/>
      <c r="C1043" s="626"/>
      <c r="D1043" s="627"/>
      <c r="E1043" s="627"/>
      <c r="F1043" s="627"/>
      <c r="G1043" s="627"/>
      <c r="H1043" s="627"/>
      <c r="I1043" s="628"/>
      <c r="J1043" s="629"/>
      <c r="K1043" s="132"/>
      <c r="L1043" s="133"/>
    </row>
    <row r="1044" spans="1:14" x14ac:dyDescent="0.2">
      <c r="A1044" s="158"/>
      <c r="B1044" s="188"/>
      <c r="C1044" s="189"/>
      <c r="D1044" s="165"/>
      <c r="E1044" s="165"/>
      <c r="F1044" s="165"/>
      <c r="G1044" s="165"/>
      <c r="H1044" s="165"/>
      <c r="I1044" s="190"/>
      <c r="J1044" s="191"/>
      <c r="K1044" s="192"/>
      <c r="L1044" s="55"/>
      <c r="M1044" s="55"/>
      <c r="N1044" s="55"/>
    </row>
    <row r="1045" spans="1:14" x14ac:dyDescent="0.2">
      <c r="A1045" s="158"/>
      <c r="B1045" s="188"/>
      <c r="C1045" s="189"/>
      <c r="D1045" s="165"/>
      <c r="E1045" s="165"/>
      <c r="F1045" s="165"/>
      <c r="G1045" s="165"/>
      <c r="H1045" s="165"/>
      <c r="I1045" s="190"/>
      <c r="J1045" s="191"/>
      <c r="K1045" s="192"/>
      <c r="L1045" s="55"/>
      <c r="M1045" s="55"/>
      <c r="N1045" s="55"/>
    </row>
    <row r="1046" spans="1:14" x14ac:dyDescent="0.2">
      <c r="A1046" s="145"/>
      <c r="B1046" s="146"/>
      <c r="C1046" s="147"/>
      <c r="D1046" s="147"/>
      <c r="E1046" s="147"/>
      <c r="F1046" s="147"/>
      <c r="G1046" s="147"/>
      <c r="H1046" s="147"/>
      <c r="I1046" s="147"/>
      <c r="J1046" s="148"/>
      <c r="K1046" s="132"/>
      <c r="L1046" s="133"/>
    </row>
    <row r="1047" spans="1:14" x14ac:dyDescent="0.2">
      <c r="A1047" s="158"/>
      <c r="B1047" s="188"/>
      <c r="C1047" s="189"/>
      <c r="D1047" s="165"/>
      <c r="E1047" s="165"/>
      <c r="F1047" s="165"/>
      <c r="G1047" s="165"/>
      <c r="H1047" s="165"/>
      <c r="I1047" s="190"/>
      <c r="J1047" s="191"/>
      <c r="K1047" s="630"/>
      <c r="L1047" s="631"/>
      <c r="M1047" s="631"/>
      <c r="N1047" s="631"/>
    </row>
    <row r="1048" spans="1:14" x14ac:dyDescent="0.2">
      <c r="A1048" s="158"/>
      <c r="B1048" s="188"/>
      <c r="C1048" s="189"/>
      <c r="D1048" s="165"/>
      <c r="E1048" s="165"/>
      <c r="F1048" s="165"/>
      <c r="G1048" s="165"/>
      <c r="H1048" s="165"/>
      <c r="I1048" s="190"/>
      <c r="J1048" s="191"/>
      <c r="K1048" s="630"/>
      <c r="L1048" s="631"/>
      <c r="M1048" s="631"/>
      <c r="N1048" s="631"/>
    </row>
    <row r="1049" spans="1:14" x14ac:dyDescent="0.2">
      <c r="A1049" s="145"/>
      <c r="B1049" s="146"/>
      <c r="C1049" s="147"/>
      <c r="D1049" s="147"/>
      <c r="E1049" s="147"/>
      <c r="F1049" s="147"/>
      <c r="G1049" s="147"/>
      <c r="H1049" s="147"/>
      <c r="I1049" s="147"/>
      <c r="J1049" s="148"/>
      <c r="K1049" s="132"/>
      <c r="L1049" s="133"/>
    </row>
    <row r="1050" spans="1:14" x14ac:dyDescent="0.2">
      <c r="A1050" s="145"/>
      <c r="B1050" s="146"/>
      <c r="C1050" s="147"/>
      <c r="D1050" s="147"/>
      <c r="E1050" s="147"/>
      <c r="F1050" s="147"/>
      <c r="G1050" s="147"/>
      <c r="H1050" s="147"/>
      <c r="I1050" s="147"/>
      <c r="J1050" s="148"/>
      <c r="K1050" s="132"/>
      <c r="L1050" s="133"/>
    </row>
    <row r="1051" spans="1:14" x14ac:dyDescent="0.2">
      <c r="A1051" s="145"/>
      <c r="B1051" s="146"/>
      <c r="C1051" s="147"/>
      <c r="D1051" s="147"/>
      <c r="E1051" s="147"/>
      <c r="F1051" s="147"/>
      <c r="G1051" s="147"/>
      <c r="H1051" s="147"/>
      <c r="I1051" s="147"/>
      <c r="J1051" s="148"/>
      <c r="K1051" s="132"/>
      <c r="L1051" s="133"/>
    </row>
    <row r="1052" spans="1:14" x14ac:dyDescent="0.2">
      <c r="A1052" s="145"/>
      <c r="B1052" s="146"/>
      <c r="C1052" s="147"/>
      <c r="D1052" s="147"/>
      <c r="E1052" s="147"/>
      <c r="F1052" s="147"/>
      <c r="G1052" s="147"/>
      <c r="H1052" s="147"/>
      <c r="I1052" s="147"/>
      <c r="J1052" s="148"/>
      <c r="K1052" s="132"/>
      <c r="L1052" s="133"/>
    </row>
    <row r="1053" spans="1:14" x14ac:dyDescent="0.2">
      <c r="A1053" s="145"/>
      <c r="B1053" s="146"/>
      <c r="C1053" s="147"/>
      <c r="D1053" s="147"/>
      <c r="E1053" s="147"/>
      <c r="F1053" s="147"/>
      <c r="G1053" s="147"/>
      <c r="H1053" s="147"/>
      <c r="I1053" s="147"/>
      <c r="J1053" s="148"/>
      <c r="K1053" s="132"/>
      <c r="L1053" s="133"/>
    </row>
    <row r="1054" spans="1:14" x14ac:dyDescent="0.2">
      <c r="A1054" s="145"/>
      <c r="B1054" s="146"/>
      <c r="C1054" s="147"/>
      <c r="D1054" s="147"/>
      <c r="E1054" s="147"/>
      <c r="F1054" s="147"/>
      <c r="G1054" s="147"/>
      <c r="H1054" s="147"/>
      <c r="I1054" s="147"/>
      <c r="J1054" s="148"/>
      <c r="K1054" s="132"/>
      <c r="L1054" s="133"/>
    </row>
    <row r="1055" spans="1:14" x14ac:dyDescent="0.2">
      <c r="A1055" s="145"/>
      <c r="B1055" s="146"/>
      <c r="C1055" s="147"/>
      <c r="D1055" s="147"/>
      <c r="E1055" s="147"/>
      <c r="F1055" s="147"/>
      <c r="G1055" s="147"/>
      <c r="H1055" s="147"/>
      <c r="I1055" s="147"/>
      <c r="J1055" s="148"/>
      <c r="K1055" s="132"/>
      <c r="L1055" s="133"/>
    </row>
    <row r="1056" spans="1:14" x14ac:dyDescent="0.2">
      <c r="A1056" s="145"/>
      <c r="B1056" s="146"/>
      <c r="C1056" s="147"/>
      <c r="D1056" s="147"/>
      <c r="E1056" s="147"/>
      <c r="F1056" s="147"/>
      <c r="G1056" s="147"/>
      <c r="H1056" s="147"/>
      <c r="I1056" s="147"/>
      <c r="J1056" s="148"/>
      <c r="K1056" s="132"/>
      <c r="L1056" s="133"/>
    </row>
    <row r="1057" spans="1:12" x14ac:dyDescent="0.2">
      <c r="A1057" s="145"/>
      <c r="B1057" s="146"/>
      <c r="C1057" s="147"/>
      <c r="D1057" s="147"/>
      <c r="E1057" s="147"/>
      <c r="F1057" s="147"/>
      <c r="G1057" s="147"/>
      <c r="H1057" s="147"/>
      <c r="I1057" s="147"/>
      <c r="J1057" s="148"/>
      <c r="K1057" s="132"/>
      <c r="L1057" s="133"/>
    </row>
    <row r="1058" spans="1:12" x14ac:dyDescent="0.2">
      <c r="A1058" s="145"/>
      <c r="B1058" s="146"/>
      <c r="C1058" s="147"/>
      <c r="D1058" s="147"/>
      <c r="E1058" s="147"/>
      <c r="F1058" s="147"/>
      <c r="G1058" s="147"/>
      <c r="H1058" s="147"/>
      <c r="I1058" s="147"/>
      <c r="J1058" s="148"/>
      <c r="K1058" s="132"/>
      <c r="L1058" s="133"/>
    </row>
    <row r="1059" spans="1:12" x14ac:dyDescent="0.2">
      <c r="A1059" s="145"/>
      <c r="B1059" s="146"/>
      <c r="C1059" s="147"/>
      <c r="D1059" s="147"/>
      <c r="E1059" s="147"/>
      <c r="F1059" s="147"/>
      <c r="G1059" s="147"/>
      <c r="H1059" s="147"/>
      <c r="I1059" s="147"/>
      <c r="J1059" s="148"/>
      <c r="K1059" s="132"/>
      <c r="L1059" s="133"/>
    </row>
    <row r="1060" spans="1:12" x14ac:dyDescent="0.2">
      <c r="A1060" s="145"/>
      <c r="B1060" s="146"/>
      <c r="C1060" s="147"/>
      <c r="D1060" s="147"/>
      <c r="E1060" s="147"/>
      <c r="F1060" s="147"/>
      <c r="G1060" s="147"/>
      <c r="H1060" s="147"/>
      <c r="I1060" s="147"/>
      <c r="J1060" s="148"/>
      <c r="K1060" s="132"/>
      <c r="L1060" s="133"/>
    </row>
    <row r="1061" spans="1:12" x14ac:dyDescent="0.2">
      <c r="A1061" s="145"/>
      <c r="B1061" s="146"/>
      <c r="C1061" s="147"/>
      <c r="D1061" s="147"/>
      <c r="E1061" s="147"/>
      <c r="F1061" s="147"/>
      <c r="G1061" s="147"/>
      <c r="H1061" s="147"/>
      <c r="I1061" s="147"/>
      <c r="J1061" s="148"/>
      <c r="K1061" s="132"/>
      <c r="L1061" s="133"/>
    </row>
    <row r="1062" spans="1:12" ht="13.5" thickBot="1" x14ac:dyDescent="0.25">
      <c r="A1062" s="149"/>
      <c r="B1062" s="150"/>
      <c r="C1062" s="151"/>
      <c r="D1062" s="151"/>
      <c r="E1062" s="151"/>
      <c r="F1062" s="151"/>
      <c r="G1062" s="151"/>
      <c r="H1062" s="151"/>
      <c r="I1062" s="151"/>
      <c r="J1062" s="152"/>
      <c r="K1062" s="132"/>
      <c r="L1062" s="133"/>
    </row>
    <row r="1063" spans="1:12" ht="13.5" thickBot="1" x14ac:dyDescent="0.25">
      <c r="A1063" s="153"/>
      <c r="B1063" s="153"/>
      <c r="C1063" s="154"/>
      <c r="D1063" s="154"/>
      <c r="E1063" s="154"/>
      <c r="F1063" s="154"/>
      <c r="G1063" s="154"/>
      <c r="H1063" s="154"/>
      <c r="I1063" s="154"/>
      <c r="J1063" s="153"/>
      <c r="K1063" s="132"/>
      <c r="L1063" s="133"/>
    </row>
    <row r="1064" spans="1:12" ht="13.5" thickBot="1" x14ac:dyDescent="0.25">
      <c r="A1064" s="614" t="s">
        <v>62</v>
      </c>
      <c r="B1064" s="648"/>
      <c r="C1064" s="648"/>
      <c r="D1064" s="648"/>
      <c r="E1064" s="648"/>
      <c r="F1064" s="648"/>
      <c r="G1064" s="648"/>
      <c r="H1064" s="648"/>
      <c r="I1064" s="648"/>
      <c r="J1064" s="649"/>
      <c r="K1064" s="132"/>
      <c r="L1064" s="133"/>
    </row>
    <row r="1065" spans="1:12" x14ac:dyDescent="0.2">
      <c r="A1065" s="136"/>
      <c r="B1065" s="155"/>
      <c r="C1065" s="156"/>
      <c r="D1065" s="156"/>
      <c r="E1065" s="156"/>
      <c r="F1065" s="156"/>
      <c r="G1065" s="156"/>
      <c r="H1065" s="156"/>
      <c r="I1065" s="156"/>
      <c r="J1065" s="157"/>
      <c r="K1065" s="132"/>
      <c r="L1065" s="133"/>
    </row>
    <row r="1066" spans="1:12" ht="12.75" customHeight="1" x14ac:dyDescent="0.2">
      <c r="A1066" s="158" t="s">
        <v>63</v>
      </c>
      <c r="B1066" s="55"/>
      <c r="C1066" s="596" t="s">
        <v>1044</v>
      </c>
      <c r="D1066" s="596"/>
      <c r="E1066" s="596"/>
      <c r="F1066" s="596"/>
      <c r="G1066" s="596"/>
      <c r="H1066" s="596"/>
      <c r="I1066" s="596"/>
      <c r="J1066" s="597"/>
      <c r="K1066" s="132"/>
      <c r="L1066" s="133"/>
    </row>
    <row r="1067" spans="1:12" x14ac:dyDescent="0.2">
      <c r="A1067" s="158"/>
      <c r="B1067" s="55"/>
      <c r="C1067" s="596"/>
      <c r="D1067" s="596"/>
      <c r="E1067" s="596"/>
      <c r="F1067" s="596"/>
      <c r="G1067" s="596"/>
      <c r="H1067" s="596"/>
      <c r="I1067" s="596"/>
      <c r="J1067" s="597"/>
      <c r="K1067" s="132"/>
      <c r="L1067" s="133"/>
    </row>
    <row r="1068" spans="1:12" x14ac:dyDescent="0.2">
      <c r="A1068" s="158"/>
      <c r="B1068" s="55"/>
      <c r="C1068" s="596"/>
      <c r="D1068" s="596"/>
      <c r="E1068" s="596"/>
      <c r="F1068" s="596"/>
      <c r="G1068" s="596"/>
      <c r="H1068" s="596"/>
      <c r="I1068" s="596"/>
      <c r="J1068" s="597"/>
      <c r="K1068" s="132"/>
      <c r="L1068" s="133"/>
    </row>
    <row r="1069" spans="1:12" x14ac:dyDescent="0.2">
      <c r="A1069" s="158"/>
      <c r="B1069" s="55"/>
      <c r="C1069" s="596"/>
      <c r="D1069" s="596"/>
      <c r="E1069" s="596"/>
      <c r="F1069" s="596"/>
      <c r="G1069" s="596"/>
      <c r="H1069" s="596"/>
      <c r="I1069" s="596"/>
      <c r="J1069" s="597"/>
      <c r="K1069" s="132"/>
      <c r="L1069" s="133"/>
    </row>
    <row r="1070" spans="1:12" x14ac:dyDescent="0.2">
      <c r="A1070" s="158"/>
      <c r="B1070" s="55"/>
      <c r="C1070" s="596"/>
      <c r="D1070" s="596"/>
      <c r="E1070" s="596"/>
      <c r="F1070" s="596"/>
      <c r="G1070" s="596"/>
      <c r="H1070" s="596"/>
      <c r="I1070" s="596"/>
      <c r="J1070" s="597"/>
      <c r="K1070" s="132"/>
      <c r="L1070" s="133"/>
    </row>
    <row r="1071" spans="1:12" x14ac:dyDescent="0.2">
      <c r="A1071" s="158"/>
      <c r="B1071" s="55"/>
      <c r="C1071" s="596"/>
      <c r="D1071" s="596"/>
      <c r="E1071" s="596"/>
      <c r="F1071" s="596"/>
      <c r="G1071" s="596"/>
      <c r="H1071" s="596"/>
      <c r="I1071" s="596"/>
      <c r="J1071" s="597"/>
      <c r="K1071" s="132"/>
      <c r="L1071" s="133"/>
    </row>
    <row r="1072" spans="1:12" x14ac:dyDescent="0.2">
      <c r="A1072" s="177"/>
      <c r="B1072" s="74"/>
      <c r="C1072" s="596"/>
      <c r="D1072" s="596"/>
      <c r="E1072" s="596"/>
      <c r="F1072" s="596"/>
      <c r="G1072" s="596"/>
      <c r="H1072" s="596"/>
      <c r="I1072" s="596"/>
      <c r="J1072" s="597"/>
      <c r="K1072" s="132"/>
      <c r="L1072" s="133"/>
    </row>
    <row r="1073" spans="1:12" ht="12.75" customHeight="1" x14ac:dyDescent="0.2">
      <c r="C1073" s="596"/>
      <c r="D1073" s="596"/>
      <c r="E1073" s="596"/>
      <c r="F1073" s="596"/>
      <c r="G1073" s="596"/>
      <c r="H1073" s="596"/>
      <c r="I1073" s="596"/>
      <c r="J1073" s="597"/>
      <c r="K1073" s="132"/>
      <c r="L1073" s="133"/>
    </row>
    <row r="1074" spans="1:12" x14ac:dyDescent="0.2">
      <c r="A1074" s="177"/>
      <c r="B1074" s="74"/>
      <c r="C1074" s="596"/>
      <c r="D1074" s="596"/>
      <c r="E1074" s="596"/>
      <c r="F1074" s="596"/>
      <c r="G1074" s="596"/>
      <c r="H1074" s="596"/>
      <c r="I1074" s="596"/>
      <c r="J1074" s="597"/>
      <c r="K1074" s="132"/>
      <c r="L1074" s="133"/>
    </row>
    <row r="1075" spans="1:12" x14ac:dyDescent="0.2">
      <c r="A1075" s="177"/>
      <c r="B1075" s="74"/>
      <c r="C1075" s="596"/>
      <c r="D1075" s="596"/>
      <c r="E1075" s="596"/>
      <c r="F1075" s="596"/>
      <c r="G1075" s="596"/>
      <c r="H1075" s="596"/>
      <c r="I1075" s="596"/>
      <c r="J1075" s="597"/>
      <c r="K1075" s="132"/>
      <c r="L1075" s="133"/>
    </row>
    <row r="1076" spans="1:12" x14ac:dyDescent="0.2">
      <c r="C1076" s="596"/>
      <c r="D1076" s="596"/>
      <c r="E1076" s="596"/>
      <c r="F1076" s="596"/>
      <c r="G1076" s="596"/>
      <c r="H1076" s="596"/>
      <c r="I1076" s="596"/>
      <c r="J1076" s="597"/>
      <c r="K1076" s="132"/>
      <c r="L1076" s="133"/>
    </row>
    <row r="1077" spans="1:12" x14ac:dyDescent="0.2">
      <c r="A1077" s="177"/>
      <c r="B1077" s="74"/>
      <c r="C1077" s="71"/>
      <c r="D1077" s="71"/>
      <c r="E1077" s="71"/>
      <c r="F1077" s="71"/>
      <c r="G1077" s="71"/>
      <c r="H1077" s="71"/>
      <c r="I1077" s="71"/>
      <c r="J1077" s="174"/>
      <c r="K1077" s="132"/>
      <c r="L1077" s="133"/>
    </row>
    <row r="1078" spans="1:12" x14ac:dyDescent="0.2">
      <c r="A1078" s="598" t="s">
        <v>64</v>
      </c>
      <c r="B1078" s="638"/>
      <c r="C1078" s="662" t="s">
        <v>458</v>
      </c>
      <c r="D1078" s="662"/>
      <c r="E1078" s="662"/>
      <c r="F1078" s="662"/>
      <c r="G1078" s="662"/>
      <c r="H1078" s="662"/>
      <c r="I1078" s="662"/>
      <c r="J1078" s="663"/>
      <c r="K1078" s="132"/>
      <c r="L1078" s="133"/>
    </row>
    <row r="1079" spans="1:12" x14ac:dyDescent="0.2">
      <c r="A1079" s="158"/>
      <c r="B1079" s="55"/>
      <c r="C1079" s="71"/>
      <c r="D1079" s="71"/>
      <c r="E1079" s="71"/>
      <c r="F1079" s="71"/>
      <c r="G1079" s="71"/>
      <c r="H1079" s="71"/>
      <c r="I1079" s="71"/>
      <c r="J1079" s="174"/>
      <c r="K1079" s="132"/>
      <c r="L1079" s="133"/>
    </row>
    <row r="1080" spans="1:12" ht="12.75" customHeight="1" x14ac:dyDescent="0.2">
      <c r="A1080" s="158" t="s">
        <v>65</v>
      </c>
      <c r="B1080" s="55"/>
      <c r="C1080" s="596" t="s">
        <v>636</v>
      </c>
      <c r="D1080" s="596"/>
      <c r="E1080" s="596"/>
      <c r="F1080" s="596"/>
      <c r="G1080" s="596"/>
      <c r="H1080" s="596"/>
      <c r="I1080" s="596"/>
      <c r="J1080" s="597"/>
      <c r="K1080" s="132"/>
      <c r="L1080" s="133"/>
    </row>
    <row r="1081" spans="1:12" x14ac:dyDescent="0.2">
      <c r="A1081" s="158"/>
      <c r="B1081" s="55"/>
      <c r="C1081" s="175"/>
      <c r="D1081" s="175"/>
      <c r="E1081" s="175"/>
      <c r="F1081" s="175"/>
      <c r="G1081" s="175"/>
      <c r="H1081" s="175"/>
      <c r="I1081" s="175"/>
      <c r="J1081" s="176"/>
      <c r="K1081" s="132"/>
      <c r="L1081" s="133"/>
    </row>
    <row r="1082" spans="1:12" x14ac:dyDescent="0.2">
      <c r="A1082" s="158"/>
      <c r="B1082" s="55"/>
      <c r="C1082" s="71"/>
      <c r="D1082" s="71"/>
      <c r="E1082" s="71"/>
      <c r="F1082" s="71"/>
      <c r="G1082" s="71"/>
      <c r="H1082" s="71"/>
      <c r="I1082" s="71"/>
      <c r="J1082" s="174"/>
      <c r="K1082" s="132"/>
      <c r="L1082" s="133"/>
    </row>
    <row r="1083" spans="1:12" x14ac:dyDescent="0.2">
      <c r="A1083" s="177"/>
      <c r="B1083" s="74"/>
      <c r="C1083" s="71"/>
      <c r="D1083" s="71"/>
      <c r="E1083" s="71"/>
      <c r="F1083" s="71"/>
      <c r="G1083" s="71"/>
      <c r="H1083" s="71"/>
      <c r="I1083" s="71"/>
      <c r="J1083" s="174"/>
      <c r="K1083" s="132"/>
      <c r="L1083" s="133"/>
    </row>
    <row r="1084" spans="1:12" x14ac:dyDescent="0.2">
      <c r="A1084" s="158"/>
      <c r="B1084" s="55"/>
      <c r="C1084" s="175"/>
      <c r="D1084" s="175"/>
      <c r="E1084" s="172"/>
      <c r="F1084" s="172"/>
      <c r="G1084" s="172"/>
      <c r="H1084" s="172"/>
      <c r="I1084" s="172"/>
      <c r="J1084" s="173"/>
      <c r="K1084" s="132"/>
      <c r="L1084" s="133"/>
    </row>
    <row r="1085" spans="1:12" x14ac:dyDescent="0.2">
      <c r="A1085" s="158"/>
      <c r="B1085" s="55"/>
      <c r="C1085" s="175"/>
      <c r="D1085" s="175"/>
      <c r="E1085" s="172"/>
      <c r="F1085" s="172"/>
      <c r="G1085" s="172"/>
      <c r="H1085" s="172"/>
      <c r="I1085" s="172"/>
      <c r="J1085" s="173"/>
      <c r="K1085" s="132"/>
      <c r="L1085" s="133"/>
    </row>
    <row r="1086" spans="1:12" ht="13.5" thickBot="1" x14ac:dyDescent="0.25">
      <c r="A1086" s="149"/>
      <c r="B1086" s="167"/>
      <c r="C1086" s="151"/>
      <c r="D1086" s="151"/>
      <c r="E1086" s="151"/>
      <c r="F1086" s="151"/>
      <c r="G1086" s="151"/>
      <c r="H1086" s="151"/>
      <c r="I1086" s="151"/>
      <c r="J1086" s="168"/>
      <c r="K1086" s="132"/>
      <c r="L1086" s="133"/>
    </row>
    <row r="1087" spans="1:12" ht="13.5" thickBot="1" x14ac:dyDescent="0.25">
      <c r="A1087" s="149"/>
      <c r="B1087" s="167"/>
      <c r="C1087" s="151"/>
      <c r="D1087" s="151"/>
      <c r="E1087" s="151"/>
      <c r="F1087" s="151"/>
      <c r="G1087" s="151"/>
      <c r="H1087" s="151"/>
      <c r="I1087" s="151"/>
      <c r="J1087" s="168"/>
      <c r="K1087" s="132"/>
      <c r="L1087" s="133"/>
    </row>
    <row r="1088" spans="1:12" ht="15.75" x14ac:dyDescent="0.2">
      <c r="A1088" s="602" t="s">
        <v>4</v>
      </c>
      <c r="B1088" s="603"/>
      <c r="C1088" s="603" t="str">
        <f>'A IV.A'!$B$43</f>
        <v>FECHAMENTOS, PROTEÇÕES E ALVENARIAS EM GERAL</v>
      </c>
      <c r="D1088" s="603"/>
      <c r="E1088" s="603"/>
      <c r="F1088" s="603"/>
      <c r="G1088" s="603"/>
      <c r="H1088" s="603"/>
      <c r="I1088" s="603"/>
      <c r="J1088" s="604"/>
      <c r="K1088" s="132"/>
      <c r="L1088" s="133"/>
    </row>
    <row r="1089" spans="1:14" x14ac:dyDescent="0.2">
      <c r="A1089" s="609" t="str">
        <f>'A IV.A'!$A$43</f>
        <v>3.0</v>
      </c>
      <c r="B1089" s="610"/>
      <c r="C1089" s="605"/>
      <c r="D1089" s="605"/>
      <c r="E1089" s="605"/>
      <c r="F1089" s="605"/>
      <c r="G1089" s="605"/>
      <c r="H1089" s="605"/>
      <c r="I1089" s="605"/>
      <c r="J1089" s="606"/>
      <c r="K1089" s="132"/>
      <c r="L1089" s="133"/>
    </row>
    <row r="1090" spans="1:14" ht="13.5" thickBot="1" x14ac:dyDescent="0.25">
      <c r="A1090" s="611"/>
      <c r="B1090" s="612"/>
      <c r="C1090" s="607"/>
      <c r="D1090" s="607"/>
      <c r="E1090" s="607"/>
      <c r="F1090" s="607"/>
      <c r="G1090" s="607"/>
      <c r="H1090" s="607"/>
      <c r="I1090" s="607"/>
      <c r="J1090" s="608"/>
      <c r="K1090" s="132"/>
      <c r="L1090" s="133"/>
    </row>
    <row r="1091" spans="1:14" ht="13.5" thickBot="1" x14ac:dyDescent="0.25">
      <c r="A1091" s="169"/>
      <c r="B1091" s="169"/>
      <c r="C1091" s="613"/>
      <c r="D1091" s="613"/>
      <c r="E1091" s="613"/>
      <c r="F1091" s="613"/>
      <c r="G1091" s="613"/>
      <c r="H1091" s="613"/>
      <c r="I1091" s="613"/>
      <c r="J1091" s="169"/>
      <c r="K1091" s="132"/>
      <c r="L1091" s="133"/>
    </row>
    <row r="1092" spans="1:14" ht="13.5" thickBot="1" x14ac:dyDescent="0.25">
      <c r="A1092" s="632" t="s">
        <v>60</v>
      </c>
      <c r="B1092" s="633"/>
      <c r="C1092" s="656" t="s">
        <v>61</v>
      </c>
      <c r="D1092" s="656"/>
      <c r="E1092" s="656"/>
      <c r="F1092" s="656"/>
      <c r="G1092" s="656"/>
      <c r="H1092" s="656"/>
      <c r="I1092" s="656"/>
      <c r="J1092" s="260" t="s">
        <v>0</v>
      </c>
      <c r="K1092" s="132"/>
      <c r="L1092" s="133"/>
    </row>
    <row r="1093" spans="1:14" x14ac:dyDescent="0.2">
      <c r="A1093" s="136"/>
      <c r="B1093" s="137"/>
      <c r="C1093" s="619"/>
      <c r="D1093" s="620"/>
      <c r="E1093" s="621"/>
      <c r="F1093" s="621"/>
      <c r="G1093" s="621"/>
      <c r="H1093" s="621"/>
      <c r="I1093" s="622"/>
      <c r="J1093" s="138"/>
      <c r="K1093" s="132"/>
      <c r="L1093" s="133"/>
    </row>
    <row r="1094" spans="1:14" x14ac:dyDescent="0.2">
      <c r="A1094" s="623" t="str">
        <f>'A IV.A'!A47</f>
        <v>3.1.2</v>
      </c>
      <c r="B1094" s="624"/>
      <c r="C1094" s="626" t="str">
        <f>'A IV.A'!B47</f>
        <v>ALTEAMENTO DE PROTEÇÃO EM ARAME COM LÂMINAS - CONCERTINA AÇO GALVANIZADO - FORNECIMENTO E INSTALAÇÃO</v>
      </c>
      <c r="D1094" s="627"/>
      <c r="E1094" s="627"/>
      <c r="F1094" s="627"/>
      <c r="G1094" s="627"/>
      <c r="H1094" s="627"/>
      <c r="I1094" s="628"/>
      <c r="J1094" s="629" t="str">
        <f>'A IV.A'!C47</f>
        <v>M</v>
      </c>
      <c r="K1094" s="630" t="str">
        <f>VLOOKUP(A1094,'A IV.A'!$A$14:$M$233,2,FALSE)</f>
        <v>ALTEAMENTO DE PROTEÇÃO EM ARAME COM LÂMINAS - CONCERTINA AÇO GALVANIZADO - FORNECIMENTO E INSTALAÇÃO</v>
      </c>
      <c r="L1094" s="631" t="str">
        <f>IF(C1094=K1094,"sim","nao")</f>
        <v>sim</v>
      </c>
      <c r="M1094" s="631" t="str">
        <f>VLOOKUP(A1094,'A IV.A'!$A$14:$M$233,3,FALSE)</f>
        <v>M</v>
      </c>
      <c r="N1094" s="631" t="str">
        <f>IF(J1094=M1094,"sim","nao")</f>
        <v>sim</v>
      </c>
    </row>
    <row r="1095" spans="1:14" x14ac:dyDescent="0.2">
      <c r="A1095" s="625"/>
      <c r="B1095" s="624"/>
      <c r="C1095" s="626"/>
      <c r="D1095" s="627"/>
      <c r="E1095" s="627"/>
      <c r="F1095" s="627"/>
      <c r="G1095" s="627"/>
      <c r="H1095" s="627"/>
      <c r="I1095" s="628"/>
      <c r="J1095" s="629"/>
      <c r="K1095" s="630"/>
      <c r="L1095" s="631"/>
      <c r="M1095" s="631"/>
      <c r="N1095" s="631"/>
    </row>
    <row r="1096" spans="1:14" x14ac:dyDescent="0.2">
      <c r="A1096" s="139"/>
      <c r="B1096" s="140"/>
      <c r="C1096" s="141"/>
      <c r="D1096" s="142"/>
      <c r="E1096" s="142"/>
      <c r="F1096" s="142"/>
      <c r="G1096" s="142"/>
      <c r="H1096" s="142"/>
      <c r="I1096" s="143"/>
      <c r="J1096" s="144"/>
      <c r="K1096" s="132"/>
      <c r="L1096" s="133"/>
    </row>
    <row r="1097" spans="1:14" x14ac:dyDescent="0.2">
      <c r="A1097" s="158"/>
      <c r="B1097" s="188"/>
      <c r="C1097" s="189"/>
      <c r="D1097" s="165"/>
      <c r="E1097" s="165"/>
      <c r="F1097" s="165"/>
      <c r="G1097" s="165"/>
      <c r="H1097" s="165"/>
      <c r="I1097" s="190"/>
      <c r="J1097" s="191"/>
      <c r="K1097" s="192"/>
      <c r="L1097" s="55"/>
      <c r="M1097" s="55"/>
      <c r="N1097" s="55"/>
    </row>
    <row r="1098" spans="1:14" x14ac:dyDescent="0.2">
      <c r="A1098" s="158"/>
      <c r="B1098" s="188"/>
      <c r="C1098" s="189"/>
      <c r="D1098" s="165"/>
      <c r="E1098" s="165"/>
      <c r="F1098" s="165"/>
      <c r="G1098" s="165"/>
      <c r="H1098" s="165"/>
      <c r="I1098" s="190"/>
      <c r="J1098" s="191"/>
      <c r="K1098" s="192"/>
      <c r="L1098" s="55"/>
      <c r="M1098" s="55"/>
      <c r="N1098" s="55"/>
    </row>
    <row r="1099" spans="1:14" x14ac:dyDescent="0.2">
      <c r="A1099" s="145"/>
      <c r="B1099" s="146"/>
      <c r="C1099" s="147"/>
      <c r="D1099" s="147"/>
      <c r="E1099" s="147"/>
      <c r="F1099" s="147"/>
      <c r="G1099" s="147"/>
      <c r="H1099" s="147"/>
      <c r="I1099" s="147"/>
      <c r="J1099" s="148"/>
      <c r="K1099" s="132"/>
      <c r="L1099" s="133"/>
    </row>
    <row r="1100" spans="1:14" x14ac:dyDescent="0.2">
      <c r="A1100" s="158"/>
      <c r="B1100" s="188"/>
      <c r="C1100" s="189"/>
      <c r="D1100" s="165"/>
      <c r="E1100" s="165"/>
      <c r="F1100" s="165"/>
      <c r="G1100" s="165"/>
      <c r="H1100" s="165"/>
      <c r="I1100" s="190"/>
      <c r="J1100" s="191"/>
      <c r="K1100" s="630"/>
      <c r="L1100" s="631"/>
      <c r="M1100" s="631"/>
      <c r="N1100" s="631"/>
    </row>
    <row r="1101" spans="1:14" x14ac:dyDescent="0.2">
      <c r="A1101" s="158"/>
      <c r="B1101" s="188"/>
      <c r="C1101" s="189"/>
      <c r="D1101" s="165"/>
      <c r="E1101" s="165"/>
      <c r="F1101" s="165"/>
      <c r="G1101" s="165"/>
      <c r="H1101" s="165"/>
      <c r="I1101" s="190"/>
      <c r="J1101" s="191"/>
      <c r="K1101" s="630"/>
      <c r="L1101" s="631"/>
      <c r="M1101" s="631"/>
      <c r="N1101" s="631"/>
    </row>
    <row r="1102" spans="1:14" x14ac:dyDescent="0.2">
      <c r="A1102" s="145"/>
      <c r="B1102" s="146"/>
      <c r="C1102" s="147"/>
      <c r="D1102" s="147"/>
      <c r="E1102" s="147"/>
      <c r="F1102" s="147"/>
      <c r="G1102" s="147"/>
      <c r="H1102" s="147"/>
      <c r="I1102" s="147"/>
      <c r="J1102" s="148"/>
      <c r="K1102" s="132"/>
      <c r="L1102" s="133"/>
    </row>
    <row r="1103" spans="1:14" x14ac:dyDescent="0.2">
      <c r="A1103" s="145"/>
      <c r="B1103" s="146"/>
      <c r="C1103" s="147"/>
      <c r="D1103" s="147"/>
      <c r="E1103" s="147"/>
      <c r="F1103" s="147"/>
      <c r="G1103" s="147"/>
      <c r="H1103" s="147"/>
      <c r="I1103" s="147"/>
      <c r="J1103" s="148"/>
      <c r="K1103" s="132"/>
      <c r="L1103" s="133"/>
    </row>
    <row r="1104" spans="1:14" x14ac:dyDescent="0.2">
      <c r="A1104" s="145"/>
      <c r="B1104" s="146"/>
      <c r="C1104" s="147"/>
      <c r="D1104" s="147"/>
      <c r="E1104" s="147"/>
      <c r="F1104" s="147"/>
      <c r="G1104" s="147"/>
      <c r="H1104" s="147"/>
      <c r="I1104" s="147"/>
      <c r="J1104" s="148"/>
      <c r="K1104" s="132"/>
      <c r="L1104" s="133"/>
    </row>
    <row r="1105" spans="1:12" x14ac:dyDescent="0.2">
      <c r="A1105" s="145"/>
      <c r="B1105" s="146"/>
      <c r="C1105" s="147"/>
      <c r="D1105" s="147"/>
      <c r="E1105" s="147"/>
      <c r="F1105" s="147"/>
      <c r="G1105" s="147"/>
      <c r="H1105" s="147"/>
      <c r="I1105" s="147"/>
      <c r="J1105" s="148"/>
      <c r="K1105" s="132"/>
      <c r="L1105" s="133"/>
    </row>
    <row r="1106" spans="1:12" x14ac:dyDescent="0.2">
      <c r="A1106" s="145"/>
      <c r="B1106" s="146"/>
      <c r="C1106" s="147"/>
      <c r="D1106" s="147"/>
      <c r="E1106" s="147"/>
      <c r="F1106" s="147"/>
      <c r="G1106" s="147"/>
      <c r="H1106" s="147"/>
      <c r="I1106" s="147"/>
      <c r="J1106" s="148"/>
      <c r="K1106" s="132"/>
      <c r="L1106" s="133"/>
    </row>
    <row r="1107" spans="1:12" x14ac:dyDescent="0.2">
      <c r="A1107" s="145"/>
      <c r="B1107" s="146"/>
      <c r="C1107" s="147"/>
      <c r="D1107" s="147"/>
      <c r="E1107" s="147"/>
      <c r="F1107" s="147"/>
      <c r="G1107" s="147"/>
      <c r="H1107" s="147"/>
      <c r="I1107" s="147"/>
      <c r="J1107" s="148"/>
      <c r="K1107" s="132"/>
      <c r="L1107" s="133"/>
    </row>
    <row r="1108" spans="1:12" x14ac:dyDescent="0.2">
      <c r="A1108" s="145"/>
      <c r="B1108" s="146"/>
      <c r="C1108" s="147"/>
      <c r="D1108" s="147"/>
      <c r="E1108" s="147"/>
      <c r="F1108" s="147"/>
      <c r="G1108" s="147"/>
      <c r="H1108" s="147"/>
      <c r="I1108" s="147"/>
      <c r="J1108" s="148"/>
      <c r="K1108" s="132"/>
      <c r="L1108" s="133"/>
    </row>
    <row r="1109" spans="1:12" x14ac:dyDescent="0.2">
      <c r="A1109" s="145"/>
      <c r="B1109" s="146"/>
      <c r="C1109" s="147"/>
      <c r="D1109" s="147"/>
      <c r="E1109" s="147"/>
      <c r="F1109" s="147"/>
      <c r="G1109" s="147"/>
      <c r="H1109" s="147"/>
      <c r="I1109" s="147"/>
      <c r="J1109" s="148"/>
      <c r="K1109" s="132"/>
      <c r="L1109" s="133"/>
    </row>
    <row r="1110" spans="1:12" x14ac:dyDescent="0.2">
      <c r="A1110" s="145"/>
      <c r="B1110" s="146"/>
      <c r="C1110" s="147"/>
      <c r="D1110" s="147"/>
      <c r="E1110" s="147"/>
      <c r="F1110" s="147"/>
      <c r="G1110" s="147"/>
      <c r="H1110" s="147"/>
      <c r="I1110" s="147"/>
      <c r="J1110" s="148"/>
      <c r="K1110" s="132"/>
      <c r="L1110" s="133"/>
    </row>
    <row r="1111" spans="1:12" x14ac:dyDescent="0.2">
      <c r="A1111" s="145"/>
      <c r="B1111" s="146"/>
      <c r="C1111" s="147"/>
      <c r="D1111" s="147"/>
      <c r="E1111" s="147"/>
      <c r="F1111" s="147"/>
      <c r="G1111" s="147"/>
      <c r="H1111" s="147"/>
      <c r="I1111" s="147"/>
      <c r="J1111" s="148"/>
      <c r="K1111" s="132"/>
      <c r="L1111" s="133"/>
    </row>
    <row r="1112" spans="1:12" x14ac:dyDescent="0.2">
      <c r="A1112" s="145"/>
      <c r="B1112" s="146"/>
      <c r="C1112" s="147"/>
      <c r="D1112" s="147"/>
      <c r="E1112" s="147"/>
      <c r="F1112" s="147"/>
      <c r="G1112" s="147"/>
      <c r="H1112" s="147"/>
      <c r="I1112" s="147"/>
      <c r="J1112" s="148"/>
      <c r="K1112" s="132"/>
      <c r="L1112" s="133"/>
    </row>
    <row r="1113" spans="1:12" x14ac:dyDescent="0.2">
      <c r="A1113" s="145"/>
      <c r="B1113" s="146"/>
      <c r="C1113" s="147"/>
      <c r="D1113" s="147"/>
      <c r="E1113" s="147"/>
      <c r="F1113" s="147"/>
      <c r="G1113" s="147"/>
      <c r="H1113" s="147"/>
      <c r="I1113" s="147"/>
      <c r="J1113" s="148"/>
      <c r="K1113" s="132"/>
      <c r="L1113" s="133"/>
    </row>
    <row r="1114" spans="1:12" x14ac:dyDescent="0.2">
      <c r="A1114" s="145"/>
      <c r="B1114" s="146"/>
      <c r="C1114" s="147"/>
      <c r="D1114" s="147"/>
      <c r="E1114" s="147"/>
      <c r="F1114" s="147"/>
      <c r="G1114" s="147"/>
      <c r="H1114" s="147"/>
      <c r="I1114" s="147"/>
      <c r="J1114" s="148"/>
      <c r="K1114" s="132"/>
      <c r="L1114" s="133"/>
    </row>
    <row r="1115" spans="1:12" ht="13.5" thickBot="1" x14ac:dyDescent="0.25">
      <c r="A1115" s="149"/>
      <c r="B1115" s="150"/>
      <c r="C1115" s="151"/>
      <c r="D1115" s="151"/>
      <c r="E1115" s="151"/>
      <c r="F1115" s="151"/>
      <c r="G1115" s="151"/>
      <c r="H1115" s="151"/>
      <c r="I1115" s="151"/>
      <c r="J1115" s="152"/>
      <c r="K1115" s="132"/>
      <c r="L1115" s="133"/>
    </row>
    <row r="1116" spans="1:12" ht="13.5" thickBot="1" x14ac:dyDescent="0.25">
      <c r="A1116" s="153"/>
      <c r="B1116" s="153"/>
      <c r="C1116" s="154"/>
      <c r="D1116" s="154"/>
      <c r="E1116" s="154"/>
      <c r="F1116" s="154"/>
      <c r="G1116" s="154"/>
      <c r="H1116" s="154"/>
      <c r="I1116" s="154"/>
      <c r="J1116" s="153"/>
      <c r="K1116" s="132"/>
      <c r="L1116" s="133"/>
    </row>
    <row r="1117" spans="1:12" ht="13.5" thickBot="1" x14ac:dyDescent="0.25">
      <c r="A1117" s="614" t="s">
        <v>62</v>
      </c>
      <c r="B1117" s="648"/>
      <c r="C1117" s="648"/>
      <c r="D1117" s="648"/>
      <c r="E1117" s="648"/>
      <c r="F1117" s="648"/>
      <c r="G1117" s="648"/>
      <c r="H1117" s="648"/>
      <c r="I1117" s="648"/>
      <c r="J1117" s="649"/>
      <c r="K1117" s="132"/>
      <c r="L1117" s="133"/>
    </row>
    <row r="1118" spans="1:12" x14ac:dyDescent="0.2">
      <c r="A1118" s="193"/>
      <c r="B1118" s="194"/>
      <c r="C1118" s="156"/>
      <c r="D1118" s="156"/>
      <c r="E1118" s="156"/>
      <c r="F1118" s="156"/>
      <c r="G1118" s="156"/>
      <c r="H1118" s="156"/>
      <c r="I1118" s="156"/>
      <c r="J1118" s="157"/>
      <c r="K1118" s="132"/>
      <c r="L1118" s="133"/>
    </row>
    <row r="1119" spans="1:12" ht="12.75" customHeight="1" x14ac:dyDescent="0.2">
      <c r="A1119" s="598" t="s">
        <v>63</v>
      </c>
      <c r="B1119" s="638"/>
      <c r="C1119" s="596" t="s">
        <v>460</v>
      </c>
      <c r="D1119" s="596"/>
      <c r="E1119" s="596"/>
      <c r="F1119" s="596"/>
      <c r="G1119" s="596"/>
      <c r="H1119" s="596"/>
      <c r="I1119" s="596"/>
      <c r="J1119" s="597"/>
      <c r="K1119" s="132"/>
      <c r="L1119" s="133"/>
    </row>
    <row r="1120" spans="1:12" x14ac:dyDescent="0.2">
      <c r="A1120" s="177"/>
      <c r="B1120" s="74"/>
      <c r="C1120" s="596"/>
      <c r="D1120" s="596"/>
      <c r="E1120" s="596"/>
      <c r="F1120" s="596"/>
      <c r="G1120" s="596"/>
      <c r="H1120" s="596"/>
      <c r="I1120" s="596"/>
      <c r="J1120" s="597"/>
      <c r="K1120" s="132"/>
      <c r="L1120" s="133"/>
    </row>
    <row r="1121" spans="1:12" x14ac:dyDescent="0.2">
      <c r="C1121" s="596"/>
      <c r="D1121" s="596"/>
      <c r="E1121" s="596"/>
      <c r="F1121" s="596"/>
      <c r="G1121" s="596"/>
      <c r="H1121" s="596"/>
      <c r="I1121" s="596"/>
      <c r="J1121" s="597"/>
      <c r="K1121" s="132"/>
      <c r="L1121" s="133"/>
    </row>
    <row r="1122" spans="1:12" x14ac:dyDescent="0.2">
      <c r="A1122" s="158"/>
      <c r="B1122" s="55"/>
      <c r="C1122" s="175"/>
      <c r="D1122" s="175"/>
      <c r="E1122" s="175"/>
      <c r="F1122" s="175"/>
      <c r="G1122" s="175"/>
      <c r="H1122" s="175"/>
      <c r="I1122" s="175"/>
      <c r="J1122" s="176"/>
      <c r="K1122" s="132"/>
      <c r="L1122" s="133"/>
    </row>
    <row r="1123" spans="1:12" x14ac:dyDescent="0.2">
      <c r="A1123" s="598" t="s">
        <v>64</v>
      </c>
      <c r="B1123" s="638"/>
      <c r="C1123" s="600" t="s">
        <v>461</v>
      </c>
      <c r="D1123" s="600"/>
      <c r="E1123" s="600"/>
      <c r="F1123" s="600"/>
      <c r="G1123" s="600"/>
      <c r="H1123" s="600"/>
      <c r="I1123" s="600"/>
      <c r="J1123" s="601"/>
      <c r="K1123" s="132"/>
      <c r="L1123" s="133"/>
    </row>
    <row r="1124" spans="1:12" x14ac:dyDescent="0.2">
      <c r="A1124" s="158"/>
      <c r="B1124" s="55"/>
      <c r="C1124" s="175"/>
      <c r="D1124" s="175"/>
      <c r="E1124" s="175"/>
      <c r="F1124" s="175"/>
      <c r="G1124" s="175"/>
      <c r="H1124" s="175"/>
      <c r="I1124" s="175"/>
      <c r="J1124" s="176"/>
      <c r="K1124" s="132"/>
      <c r="L1124" s="133"/>
    </row>
    <row r="1125" spans="1:12" x14ac:dyDescent="0.2">
      <c r="A1125" s="158"/>
      <c r="B1125" s="55"/>
      <c r="C1125" s="175"/>
      <c r="D1125" s="175"/>
      <c r="E1125" s="175"/>
      <c r="F1125" s="175"/>
      <c r="G1125" s="175"/>
      <c r="H1125" s="175"/>
      <c r="I1125" s="175"/>
      <c r="J1125" s="176"/>
      <c r="K1125" s="132"/>
      <c r="L1125" s="133"/>
    </row>
    <row r="1126" spans="1:12" x14ac:dyDescent="0.2">
      <c r="A1126" s="158"/>
      <c r="B1126" s="55"/>
      <c r="C1126" s="71"/>
      <c r="D1126" s="71"/>
      <c r="E1126" s="71"/>
      <c r="F1126" s="71"/>
      <c r="G1126" s="71"/>
      <c r="H1126" s="71"/>
      <c r="I1126" s="71"/>
      <c r="J1126" s="174"/>
      <c r="K1126" s="132"/>
      <c r="L1126" s="133"/>
    </row>
    <row r="1127" spans="1:12" x14ac:dyDescent="0.2">
      <c r="A1127" s="177"/>
      <c r="B1127" s="74"/>
      <c r="C1127" s="175"/>
      <c r="D1127" s="175"/>
      <c r="E1127" s="175"/>
      <c r="F1127" s="175"/>
      <c r="G1127" s="175"/>
      <c r="H1127" s="175"/>
      <c r="I1127" s="175"/>
      <c r="J1127" s="176"/>
      <c r="K1127" s="132"/>
      <c r="L1127" s="133"/>
    </row>
    <row r="1128" spans="1:12" x14ac:dyDescent="0.2">
      <c r="J1128" s="315"/>
      <c r="K1128" s="132"/>
      <c r="L1128" s="133"/>
    </row>
    <row r="1129" spans="1:12" x14ac:dyDescent="0.2">
      <c r="A1129" s="158"/>
      <c r="B1129" s="55"/>
      <c r="C1129" s="71"/>
      <c r="D1129" s="71"/>
      <c r="E1129" s="71"/>
      <c r="F1129" s="71"/>
      <c r="G1129" s="71"/>
      <c r="H1129" s="71"/>
      <c r="I1129" s="71"/>
      <c r="J1129" s="174"/>
      <c r="K1129" s="132"/>
      <c r="L1129" s="133"/>
    </row>
    <row r="1130" spans="1:12" x14ac:dyDescent="0.2">
      <c r="A1130" s="158"/>
      <c r="B1130" s="55"/>
      <c r="C1130" s="71"/>
      <c r="D1130" s="71"/>
      <c r="E1130" s="71"/>
      <c r="F1130" s="71"/>
      <c r="G1130" s="71"/>
      <c r="H1130" s="71"/>
      <c r="I1130" s="71"/>
      <c r="J1130" s="174"/>
      <c r="K1130" s="132"/>
      <c r="L1130" s="133"/>
    </row>
    <row r="1131" spans="1:12" x14ac:dyDescent="0.2">
      <c r="A1131" s="158"/>
      <c r="B1131" s="55"/>
      <c r="C1131" s="71"/>
      <c r="D1131" s="71"/>
      <c r="E1131" s="71"/>
      <c r="F1131" s="71"/>
      <c r="G1131" s="71"/>
      <c r="H1131" s="71"/>
      <c r="I1131" s="71"/>
      <c r="J1131" s="174"/>
      <c r="K1131" s="132"/>
      <c r="L1131" s="133"/>
    </row>
    <row r="1132" spans="1:12" x14ac:dyDescent="0.2">
      <c r="A1132" s="158"/>
      <c r="B1132" s="55"/>
      <c r="C1132" s="71"/>
      <c r="D1132" s="71"/>
      <c r="E1132" s="71"/>
      <c r="F1132" s="71"/>
      <c r="G1132" s="71"/>
      <c r="H1132" s="71"/>
      <c r="I1132" s="71"/>
      <c r="J1132" s="174"/>
      <c r="K1132" s="132"/>
      <c r="L1132" s="133"/>
    </row>
    <row r="1133" spans="1:12" x14ac:dyDescent="0.2">
      <c r="A1133" s="158"/>
      <c r="B1133" s="55"/>
      <c r="C1133" s="71"/>
      <c r="D1133" s="71"/>
      <c r="E1133" s="71"/>
      <c r="F1133" s="71"/>
      <c r="G1133" s="71"/>
      <c r="H1133" s="71"/>
      <c r="I1133" s="71"/>
      <c r="J1133" s="174"/>
      <c r="K1133" s="132"/>
      <c r="L1133" s="133"/>
    </row>
    <row r="1134" spans="1:12" x14ac:dyDescent="0.2">
      <c r="A1134" s="158"/>
      <c r="B1134" s="55"/>
      <c r="C1134" s="71"/>
      <c r="D1134" s="71"/>
      <c r="E1134" s="71"/>
      <c r="F1134" s="71"/>
      <c r="G1134" s="71"/>
      <c r="H1134" s="71"/>
      <c r="I1134" s="71"/>
      <c r="J1134" s="174"/>
      <c r="K1134" s="132"/>
      <c r="L1134" s="133"/>
    </row>
    <row r="1135" spans="1:12" x14ac:dyDescent="0.2">
      <c r="A1135" s="158"/>
      <c r="B1135" s="55"/>
      <c r="C1135" s="71"/>
      <c r="D1135" s="71"/>
      <c r="E1135" s="71"/>
      <c r="F1135" s="71"/>
      <c r="G1135" s="71"/>
      <c r="H1135" s="71"/>
      <c r="I1135" s="71"/>
      <c r="J1135" s="174"/>
      <c r="K1135" s="132"/>
      <c r="L1135" s="133"/>
    </row>
    <row r="1136" spans="1:12" x14ac:dyDescent="0.2">
      <c r="A1136" s="158"/>
      <c r="B1136" s="55"/>
      <c r="C1136" s="71"/>
      <c r="D1136" s="71"/>
      <c r="E1136" s="71"/>
      <c r="F1136" s="71"/>
      <c r="G1136" s="71"/>
      <c r="H1136" s="71"/>
      <c r="I1136" s="71"/>
      <c r="J1136" s="174"/>
      <c r="K1136" s="132"/>
      <c r="L1136" s="133"/>
    </row>
    <row r="1137" spans="1:14" x14ac:dyDescent="0.2">
      <c r="A1137" s="158"/>
      <c r="B1137" s="55"/>
      <c r="C1137" s="71"/>
      <c r="D1137" s="71"/>
      <c r="E1137" s="71"/>
      <c r="F1137" s="71"/>
      <c r="G1137" s="71"/>
      <c r="H1137" s="71"/>
      <c r="I1137" s="71"/>
      <c r="J1137" s="174"/>
      <c r="K1137" s="132"/>
      <c r="L1137" s="133"/>
    </row>
    <row r="1138" spans="1:14" x14ac:dyDescent="0.2">
      <c r="A1138" s="158"/>
      <c r="B1138" s="55"/>
      <c r="C1138" s="71"/>
      <c r="D1138" s="71"/>
      <c r="E1138" s="71"/>
      <c r="F1138" s="71"/>
      <c r="G1138" s="71"/>
      <c r="H1138" s="71"/>
      <c r="I1138" s="71"/>
      <c r="J1138" s="174"/>
      <c r="K1138" s="132"/>
      <c r="L1138" s="133"/>
    </row>
    <row r="1139" spans="1:14" x14ac:dyDescent="0.2">
      <c r="A1139" s="158"/>
      <c r="B1139" s="55"/>
      <c r="C1139" s="175"/>
      <c r="D1139" s="175"/>
      <c r="E1139" s="172"/>
      <c r="F1139" s="172"/>
      <c r="G1139" s="172"/>
      <c r="H1139" s="172"/>
      <c r="I1139" s="172"/>
      <c r="J1139" s="173"/>
      <c r="K1139" s="132"/>
      <c r="L1139" s="133"/>
    </row>
    <row r="1140" spans="1:14" x14ac:dyDescent="0.2">
      <c r="A1140" s="158"/>
      <c r="B1140" s="55"/>
      <c r="C1140" s="175"/>
      <c r="D1140" s="175"/>
      <c r="E1140" s="172"/>
      <c r="F1140" s="172"/>
      <c r="G1140" s="172"/>
      <c r="H1140" s="172"/>
      <c r="I1140" s="172"/>
      <c r="J1140" s="173"/>
      <c r="K1140" s="132"/>
      <c r="L1140" s="133"/>
    </row>
    <row r="1141" spans="1:14" ht="13.5" thickBot="1" x14ac:dyDescent="0.25">
      <c r="A1141" s="149"/>
      <c r="B1141" s="167"/>
      <c r="C1141" s="151"/>
      <c r="D1141" s="151"/>
      <c r="E1141" s="151"/>
      <c r="F1141" s="151"/>
      <c r="G1141" s="151"/>
      <c r="H1141" s="151"/>
      <c r="I1141" s="151"/>
      <c r="J1141" s="168"/>
      <c r="K1141" s="132"/>
      <c r="L1141" s="133"/>
    </row>
    <row r="1142" spans="1:14" ht="15.75" x14ac:dyDescent="0.2">
      <c r="A1142" s="602" t="s">
        <v>4</v>
      </c>
      <c r="B1142" s="603"/>
      <c r="C1142" s="603" t="str">
        <f>'A IV.A'!$B$43</f>
        <v>FECHAMENTOS, PROTEÇÕES E ALVENARIAS EM GERAL</v>
      </c>
      <c r="D1142" s="603"/>
      <c r="E1142" s="603"/>
      <c r="F1142" s="603"/>
      <c r="G1142" s="603"/>
      <c r="H1142" s="603"/>
      <c r="I1142" s="603"/>
      <c r="J1142" s="604"/>
      <c r="K1142" s="132"/>
      <c r="L1142" s="133"/>
    </row>
    <row r="1143" spans="1:14" x14ac:dyDescent="0.2">
      <c r="A1143" s="609" t="str">
        <f>'A IV.A'!$A$43</f>
        <v>3.0</v>
      </c>
      <c r="B1143" s="610"/>
      <c r="C1143" s="605"/>
      <c r="D1143" s="605"/>
      <c r="E1143" s="605"/>
      <c r="F1143" s="605"/>
      <c r="G1143" s="605"/>
      <c r="H1143" s="605"/>
      <c r="I1143" s="605"/>
      <c r="J1143" s="606"/>
      <c r="K1143" s="132"/>
      <c r="L1143" s="133"/>
    </row>
    <row r="1144" spans="1:14" ht="13.5" thickBot="1" x14ac:dyDescent="0.25">
      <c r="A1144" s="611"/>
      <c r="B1144" s="612"/>
      <c r="C1144" s="607"/>
      <c r="D1144" s="607"/>
      <c r="E1144" s="607"/>
      <c r="F1144" s="607"/>
      <c r="G1144" s="607"/>
      <c r="H1144" s="607"/>
      <c r="I1144" s="607"/>
      <c r="J1144" s="608"/>
      <c r="K1144" s="132"/>
      <c r="L1144" s="133"/>
    </row>
    <row r="1145" spans="1:14" ht="13.5" thickBot="1" x14ac:dyDescent="0.25">
      <c r="A1145" s="169"/>
      <c r="B1145" s="169"/>
      <c r="C1145" s="613"/>
      <c r="D1145" s="613"/>
      <c r="E1145" s="613"/>
      <c r="F1145" s="613"/>
      <c r="G1145" s="613"/>
      <c r="H1145" s="613"/>
      <c r="I1145" s="613"/>
      <c r="J1145" s="169"/>
      <c r="K1145" s="132"/>
      <c r="L1145" s="133"/>
    </row>
    <row r="1146" spans="1:14" ht="13.5" thickBot="1" x14ac:dyDescent="0.25">
      <c r="A1146" s="632" t="s">
        <v>60</v>
      </c>
      <c r="B1146" s="633"/>
      <c r="C1146" s="656" t="s">
        <v>61</v>
      </c>
      <c r="D1146" s="656"/>
      <c r="E1146" s="656"/>
      <c r="F1146" s="656"/>
      <c r="G1146" s="656"/>
      <c r="H1146" s="656"/>
      <c r="I1146" s="656"/>
      <c r="J1146" s="260" t="s">
        <v>0</v>
      </c>
      <c r="K1146" s="132"/>
      <c r="L1146" s="133"/>
    </row>
    <row r="1147" spans="1:14" x14ac:dyDescent="0.2">
      <c r="A1147" s="136"/>
      <c r="B1147" s="137"/>
      <c r="C1147" s="619"/>
      <c r="D1147" s="620"/>
      <c r="E1147" s="621"/>
      <c r="F1147" s="621"/>
      <c r="G1147" s="621"/>
      <c r="H1147" s="621"/>
      <c r="I1147" s="622"/>
      <c r="J1147" s="138"/>
      <c r="K1147" s="132"/>
      <c r="L1147" s="133"/>
    </row>
    <row r="1148" spans="1:14" x14ac:dyDescent="0.2">
      <c r="A1148" s="623" t="str">
        <f>'A IV.A'!A48</f>
        <v>3.1.3</v>
      </c>
      <c r="B1148" s="624"/>
      <c r="C1148" s="626" t="str">
        <f>'A IV.A'!B48</f>
        <v>FORNECIMENTO E INSTALAÇÃO DE CONJUNTO DE PORTÕES DE ABRIR EM BARRA CHATA, SOB MEDIDA, COMPLETO, PADRÃO ANEXO X.I-A, PORTÃO SOCIAL (1,00 X 2,6) E PORTÃO DE VEÍCULOS (4,00 X 2,60), INCLUSIVE PILARES DE FIXAÇÃO</v>
      </c>
      <c r="D1148" s="627"/>
      <c r="E1148" s="627"/>
      <c r="F1148" s="627"/>
      <c r="G1148" s="627"/>
      <c r="H1148" s="627"/>
      <c r="I1148" s="628"/>
      <c r="J1148" s="629" t="str">
        <f>'A IV.A'!C48</f>
        <v>UN</v>
      </c>
      <c r="K1148" s="630" t="str">
        <f>VLOOKUP(A1148,'A IV.A'!$A$14:$M$233,2,FALSE)</f>
        <v>FORNECIMENTO E INSTALAÇÃO DE CONJUNTO DE PORTÕES DE ABRIR EM BARRA CHATA, SOB MEDIDA, COMPLETO, PADRÃO ANEXO X.I-A, PORTÃO SOCIAL (1,00 X 2,6) E PORTÃO DE VEÍCULOS (4,00 X 2,60), INCLUSIVE PILARES DE FIXAÇÃO</v>
      </c>
      <c r="L1148" s="631" t="str">
        <f>IF(C1148=K1148,"sim","nao")</f>
        <v>sim</v>
      </c>
      <c r="M1148" s="631" t="str">
        <f>VLOOKUP(A1148,'A IV.A'!$A$14:$M$233,3,FALSE)</f>
        <v>UN</v>
      </c>
      <c r="N1148" s="631" t="str">
        <f>IF(J1148=M1148,"sim","nao")</f>
        <v>sim</v>
      </c>
    </row>
    <row r="1149" spans="1:14" x14ac:dyDescent="0.2">
      <c r="A1149" s="625"/>
      <c r="B1149" s="624"/>
      <c r="C1149" s="626"/>
      <c r="D1149" s="627"/>
      <c r="E1149" s="627"/>
      <c r="F1149" s="627"/>
      <c r="G1149" s="627"/>
      <c r="H1149" s="627"/>
      <c r="I1149" s="628"/>
      <c r="J1149" s="629"/>
      <c r="K1149" s="630"/>
      <c r="L1149" s="631"/>
      <c r="M1149" s="631"/>
      <c r="N1149" s="631"/>
    </row>
    <row r="1150" spans="1:14" x14ac:dyDescent="0.2">
      <c r="A1150" s="139"/>
      <c r="B1150" s="140"/>
      <c r="C1150" s="141"/>
      <c r="D1150" s="142"/>
      <c r="E1150" s="142"/>
      <c r="F1150" s="142"/>
      <c r="G1150" s="142"/>
      <c r="H1150" s="142"/>
      <c r="I1150" s="143"/>
      <c r="J1150" s="144"/>
      <c r="K1150" s="132"/>
      <c r="L1150" s="133"/>
    </row>
    <row r="1151" spans="1:14" x14ac:dyDescent="0.2">
      <c r="A1151" s="158"/>
      <c r="B1151" s="188"/>
      <c r="C1151" s="189"/>
      <c r="D1151" s="165"/>
      <c r="E1151" s="165"/>
      <c r="F1151" s="165"/>
      <c r="G1151" s="165"/>
      <c r="H1151" s="165"/>
      <c r="I1151" s="190"/>
      <c r="J1151" s="191"/>
      <c r="K1151" s="192"/>
      <c r="L1151" s="55"/>
      <c r="M1151" s="55"/>
      <c r="N1151" s="55"/>
    </row>
    <row r="1152" spans="1:14" x14ac:dyDescent="0.2">
      <c r="A1152" s="158"/>
      <c r="B1152" s="188"/>
      <c r="C1152" s="189"/>
      <c r="D1152" s="165"/>
      <c r="E1152" s="165"/>
      <c r="F1152" s="165"/>
      <c r="G1152" s="165"/>
      <c r="H1152" s="165"/>
      <c r="I1152" s="190"/>
      <c r="J1152" s="191"/>
      <c r="K1152" s="192"/>
      <c r="L1152" s="55"/>
      <c r="M1152" s="55"/>
      <c r="N1152" s="55"/>
    </row>
    <row r="1153" spans="1:14" x14ac:dyDescent="0.2">
      <c r="A1153" s="145"/>
      <c r="B1153" s="146"/>
      <c r="C1153" s="147"/>
      <c r="D1153" s="147"/>
      <c r="E1153" s="147"/>
      <c r="F1153" s="147"/>
      <c r="G1153" s="147"/>
      <c r="H1153" s="147"/>
      <c r="I1153" s="147"/>
      <c r="J1153" s="148"/>
      <c r="K1153" s="132"/>
      <c r="L1153" s="133"/>
    </row>
    <row r="1154" spans="1:14" x14ac:dyDescent="0.2">
      <c r="A1154" s="158"/>
      <c r="B1154" s="188"/>
      <c r="C1154" s="189"/>
      <c r="D1154" s="165"/>
      <c r="E1154" s="165"/>
      <c r="F1154" s="165"/>
      <c r="G1154" s="165"/>
      <c r="H1154" s="165"/>
      <c r="I1154" s="190"/>
      <c r="J1154" s="191"/>
      <c r="K1154" s="630"/>
      <c r="L1154" s="631"/>
      <c r="M1154" s="631"/>
      <c r="N1154" s="631"/>
    </row>
    <row r="1155" spans="1:14" x14ac:dyDescent="0.2">
      <c r="A1155" s="158"/>
      <c r="B1155" s="188"/>
      <c r="C1155" s="189"/>
      <c r="D1155" s="165"/>
      <c r="E1155" s="165"/>
      <c r="F1155" s="165"/>
      <c r="G1155" s="165"/>
      <c r="H1155" s="165"/>
      <c r="I1155" s="190"/>
      <c r="J1155" s="191"/>
      <c r="K1155" s="630"/>
      <c r="L1155" s="631"/>
      <c r="M1155" s="631"/>
      <c r="N1155" s="631"/>
    </row>
    <row r="1156" spans="1:14" x14ac:dyDescent="0.2">
      <c r="A1156" s="145"/>
      <c r="B1156" s="146"/>
      <c r="C1156" s="147"/>
      <c r="D1156" s="147"/>
      <c r="E1156" s="147"/>
      <c r="F1156" s="147"/>
      <c r="G1156" s="147"/>
      <c r="H1156" s="147"/>
      <c r="I1156" s="147"/>
      <c r="J1156" s="148"/>
      <c r="K1156" s="132"/>
      <c r="L1156" s="133"/>
    </row>
    <row r="1157" spans="1:14" x14ac:dyDescent="0.2">
      <c r="A1157" s="145"/>
      <c r="B1157" s="146"/>
      <c r="C1157" s="147"/>
      <c r="D1157" s="147"/>
      <c r="E1157" s="147"/>
      <c r="F1157" s="147"/>
      <c r="G1157" s="147"/>
      <c r="H1157" s="147"/>
      <c r="I1157" s="147"/>
      <c r="J1157" s="148"/>
      <c r="K1157" s="132"/>
      <c r="L1157" s="133"/>
    </row>
    <row r="1158" spans="1:14" x14ac:dyDescent="0.2">
      <c r="A1158" s="145"/>
      <c r="B1158" s="146"/>
      <c r="C1158" s="147"/>
      <c r="D1158" s="147"/>
      <c r="E1158" s="147"/>
      <c r="F1158" s="147"/>
      <c r="G1158" s="147"/>
      <c r="H1158" s="147"/>
      <c r="I1158" s="147"/>
      <c r="J1158" s="148"/>
      <c r="K1158" s="132"/>
      <c r="L1158" s="133"/>
    </row>
    <row r="1159" spans="1:14" x14ac:dyDescent="0.2">
      <c r="A1159" s="145"/>
      <c r="B1159" s="146"/>
      <c r="C1159" s="147"/>
      <c r="D1159" s="147"/>
      <c r="E1159" s="147"/>
      <c r="F1159" s="147"/>
      <c r="G1159" s="147"/>
      <c r="H1159" s="147"/>
      <c r="I1159" s="147"/>
      <c r="J1159" s="148"/>
      <c r="K1159" s="132"/>
      <c r="L1159" s="133"/>
    </row>
    <row r="1160" spans="1:14" x14ac:dyDescent="0.2">
      <c r="A1160" s="145"/>
      <c r="B1160" s="146"/>
      <c r="C1160" s="147"/>
      <c r="D1160" s="147"/>
      <c r="E1160" s="147"/>
      <c r="F1160" s="147"/>
      <c r="G1160" s="147"/>
      <c r="H1160" s="147"/>
      <c r="I1160" s="147"/>
      <c r="J1160" s="148"/>
      <c r="K1160" s="132"/>
      <c r="L1160" s="133"/>
    </row>
    <row r="1161" spans="1:14" x14ac:dyDescent="0.2">
      <c r="A1161" s="145"/>
      <c r="B1161" s="146"/>
      <c r="C1161" s="147"/>
      <c r="D1161" s="147"/>
      <c r="E1161" s="147"/>
      <c r="F1161" s="147"/>
      <c r="G1161" s="147"/>
      <c r="H1161" s="147"/>
      <c r="I1161" s="147"/>
      <c r="J1161" s="148"/>
      <c r="K1161" s="132"/>
      <c r="L1161" s="133"/>
    </row>
    <row r="1162" spans="1:14" x14ac:dyDescent="0.2">
      <c r="A1162" s="145"/>
      <c r="B1162" s="146"/>
      <c r="C1162" s="147"/>
      <c r="D1162" s="147"/>
      <c r="E1162" s="147"/>
      <c r="F1162" s="147"/>
      <c r="G1162" s="147"/>
      <c r="H1162" s="147"/>
      <c r="I1162" s="147"/>
      <c r="J1162" s="148"/>
      <c r="K1162" s="132"/>
      <c r="L1162" s="133"/>
    </row>
    <row r="1163" spans="1:14" x14ac:dyDescent="0.2">
      <c r="A1163" s="145"/>
      <c r="B1163" s="146"/>
      <c r="C1163" s="147"/>
      <c r="D1163" s="147"/>
      <c r="E1163" s="147"/>
      <c r="F1163" s="147"/>
      <c r="G1163" s="147"/>
      <c r="H1163" s="147"/>
      <c r="I1163" s="147"/>
      <c r="J1163" s="148"/>
      <c r="K1163" s="132"/>
      <c r="L1163" s="133"/>
    </row>
    <row r="1164" spans="1:14" x14ac:dyDescent="0.2">
      <c r="A1164" s="145"/>
      <c r="B1164" s="146"/>
      <c r="C1164" s="147"/>
      <c r="D1164" s="147"/>
      <c r="E1164" s="147"/>
      <c r="F1164" s="147"/>
      <c r="G1164" s="147"/>
      <c r="H1164" s="147"/>
      <c r="I1164" s="147"/>
      <c r="J1164" s="148"/>
      <c r="K1164" s="132"/>
      <c r="L1164" s="133"/>
    </row>
    <row r="1165" spans="1:14" x14ac:dyDescent="0.2">
      <c r="A1165" s="145"/>
      <c r="B1165" s="146"/>
      <c r="C1165" s="147"/>
      <c r="D1165" s="147"/>
      <c r="E1165" s="147"/>
      <c r="F1165" s="147"/>
      <c r="G1165" s="147"/>
      <c r="H1165" s="147"/>
      <c r="I1165" s="147"/>
      <c r="J1165" s="148"/>
      <c r="K1165" s="132"/>
      <c r="L1165" s="133"/>
    </row>
    <row r="1166" spans="1:14" x14ac:dyDescent="0.2">
      <c r="A1166" s="145"/>
      <c r="B1166" s="146"/>
      <c r="C1166" s="147"/>
      <c r="D1166" s="147"/>
      <c r="E1166" s="147"/>
      <c r="F1166" s="147"/>
      <c r="G1166" s="147"/>
      <c r="H1166" s="147"/>
      <c r="I1166" s="147"/>
      <c r="J1166" s="148"/>
      <c r="K1166" s="132"/>
      <c r="L1166" s="133"/>
    </row>
    <row r="1167" spans="1:14" x14ac:dyDescent="0.2">
      <c r="A1167" s="145"/>
      <c r="B1167" s="146"/>
      <c r="C1167" s="147"/>
      <c r="D1167" s="147"/>
      <c r="E1167" s="147"/>
      <c r="F1167" s="147"/>
      <c r="G1167" s="147"/>
      <c r="H1167" s="147"/>
      <c r="I1167" s="147"/>
      <c r="J1167" s="148"/>
      <c r="K1167" s="132"/>
      <c r="L1167" s="133"/>
    </row>
    <row r="1168" spans="1:14" x14ac:dyDescent="0.2">
      <c r="A1168" s="145"/>
      <c r="B1168" s="146"/>
      <c r="C1168" s="147"/>
      <c r="D1168" s="147"/>
      <c r="E1168" s="147"/>
      <c r="F1168" s="147"/>
      <c r="G1168" s="147"/>
      <c r="H1168" s="147"/>
      <c r="I1168" s="147"/>
      <c r="J1168" s="148"/>
      <c r="K1168" s="132"/>
      <c r="L1168" s="133"/>
    </row>
    <row r="1169" spans="1:12" ht="13.5" thickBot="1" x14ac:dyDescent="0.25">
      <c r="A1169" s="149"/>
      <c r="B1169" s="150"/>
      <c r="C1169" s="151"/>
      <c r="D1169" s="151"/>
      <c r="E1169" s="151"/>
      <c r="F1169" s="151"/>
      <c r="G1169" s="151"/>
      <c r="H1169" s="151"/>
      <c r="I1169" s="151"/>
      <c r="J1169" s="152"/>
      <c r="K1169" s="132"/>
      <c r="L1169" s="133"/>
    </row>
    <row r="1170" spans="1:12" ht="13.5" thickBot="1" x14ac:dyDescent="0.25">
      <c r="A1170" s="153"/>
      <c r="B1170" s="153"/>
      <c r="C1170" s="154"/>
      <c r="D1170" s="154"/>
      <c r="E1170" s="154"/>
      <c r="F1170" s="154"/>
      <c r="G1170" s="154"/>
      <c r="H1170" s="154"/>
      <c r="I1170" s="154"/>
      <c r="J1170" s="153"/>
      <c r="K1170" s="132"/>
      <c r="L1170" s="133"/>
    </row>
    <row r="1171" spans="1:12" ht="13.5" thickBot="1" x14ac:dyDescent="0.25">
      <c r="A1171" s="614" t="s">
        <v>62</v>
      </c>
      <c r="B1171" s="648"/>
      <c r="C1171" s="648"/>
      <c r="D1171" s="648"/>
      <c r="E1171" s="648"/>
      <c r="F1171" s="648"/>
      <c r="G1171" s="648"/>
      <c r="H1171" s="648"/>
      <c r="I1171" s="648"/>
      <c r="J1171" s="649"/>
      <c r="K1171" s="132"/>
      <c r="L1171" s="133"/>
    </row>
    <row r="1172" spans="1:12" x14ac:dyDescent="0.2">
      <c r="A1172" s="136"/>
      <c r="B1172" s="155"/>
      <c r="C1172" s="156"/>
      <c r="D1172" s="156"/>
      <c r="E1172" s="156"/>
      <c r="F1172" s="156"/>
      <c r="G1172" s="156"/>
      <c r="H1172" s="156"/>
      <c r="I1172" s="156"/>
      <c r="J1172" s="157"/>
      <c r="K1172" s="132"/>
      <c r="L1172" s="133"/>
    </row>
    <row r="1173" spans="1:12" ht="12.75" customHeight="1" x14ac:dyDescent="0.2">
      <c r="A1173" s="158" t="s">
        <v>63</v>
      </c>
      <c r="B1173" s="55"/>
      <c r="C1173" s="634" t="s">
        <v>1052</v>
      </c>
      <c r="D1173" s="634"/>
      <c r="E1173" s="634"/>
      <c r="F1173" s="634"/>
      <c r="G1173" s="634"/>
      <c r="H1173" s="634"/>
      <c r="I1173" s="634"/>
      <c r="J1173" s="635"/>
      <c r="K1173" s="132"/>
      <c r="L1173" s="133"/>
    </row>
    <row r="1174" spans="1:12" x14ac:dyDescent="0.2">
      <c r="A1174" s="158"/>
      <c r="B1174" s="55"/>
      <c r="C1174" s="634"/>
      <c r="D1174" s="634"/>
      <c r="E1174" s="634"/>
      <c r="F1174" s="634"/>
      <c r="G1174" s="634"/>
      <c r="H1174" s="634"/>
      <c r="I1174" s="634"/>
      <c r="J1174" s="635"/>
      <c r="K1174" s="132"/>
      <c r="L1174" s="133"/>
    </row>
    <row r="1175" spans="1:12" x14ac:dyDescent="0.2">
      <c r="A1175" s="158"/>
      <c r="B1175" s="55"/>
      <c r="C1175" s="634"/>
      <c r="D1175" s="634"/>
      <c r="E1175" s="634"/>
      <c r="F1175" s="634"/>
      <c r="G1175" s="634"/>
      <c r="H1175" s="634"/>
      <c r="I1175" s="634"/>
      <c r="J1175" s="635"/>
      <c r="K1175" s="132"/>
      <c r="L1175" s="133"/>
    </row>
    <row r="1176" spans="1:12" ht="12.75" customHeight="1" x14ac:dyDescent="0.2">
      <c r="A1176" s="158"/>
      <c r="B1176" s="55"/>
      <c r="C1176" s="634"/>
      <c r="D1176" s="634"/>
      <c r="E1176" s="634"/>
      <c r="F1176" s="634"/>
      <c r="G1176" s="634"/>
      <c r="H1176" s="634"/>
      <c r="I1176" s="634"/>
      <c r="J1176" s="635"/>
      <c r="K1176" s="132"/>
      <c r="L1176" s="133"/>
    </row>
    <row r="1177" spans="1:12" x14ac:dyDescent="0.2">
      <c r="A1177" s="158"/>
      <c r="B1177" s="55"/>
      <c r="C1177" s="634"/>
      <c r="D1177" s="634"/>
      <c r="E1177" s="634"/>
      <c r="F1177" s="634"/>
      <c r="G1177" s="634"/>
      <c r="H1177" s="634"/>
      <c r="I1177" s="634"/>
      <c r="J1177" s="635"/>
      <c r="K1177" s="132"/>
      <c r="L1177" s="133"/>
    </row>
    <row r="1178" spans="1:12" x14ac:dyDescent="0.2">
      <c r="C1178" s="634"/>
      <c r="D1178" s="634"/>
      <c r="E1178" s="634"/>
      <c r="F1178" s="634"/>
      <c r="G1178" s="634"/>
      <c r="H1178" s="634"/>
      <c r="I1178" s="634"/>
      <c r="J1178" s="635"/>
      <c r="K1178" s="132"/>
      <c r="L1178" s="133"/>
    </row>
    <row r="1179" spans="1:12" x14ac:dyDescent="0.2">
      <c r="A1179" s="158"/>
      <c r="B1179" s="55"/>
      <c r="C1179" s="634"/>
      <c r="D1179" s="634"/>
      <c r="E1179" s="634"/>
      <c r="F1179" s="634"/>
      <c r="G1179" s="634"/>
      <c r="H1179" s="634"/>
      <c r="I1179" s="634"/>
      <c r="J1179" s="635"/>
      <c r="K1179" s="132"/>
      <c r="L1179" s="133"/>
    </row>
    <row r="1180" spans="1:12" x14ac:dyDescent="0.2">
      <c r="A1180" s="598"/>
      <c r="B1180" s="638"/>
      <c r="C1180" s="634"/>
      <c r="D1180" s="634"/>
      <c r="E1180" s="634"/>
      <c r="F1180" s="634"/>
      <c r="G1180" s="634"/>
      <c r="H1180" s="634"/>
      <c r="I1180" s="634"/>
      <c r="J1180" s="635"/>
      <c r="K1180" s="132"/>
      <c r="L1180" s="133"/>
    </row>
    <row r="1181" spans="1:12" x14ac:dyDescent="0.2">
      <c r="A1181" s="158"/>
      <c r="B1181" s="55"/>
      <c r="C1181" s="634"/>
      <c r="D1181" s="634"/>
      <c r="E1181" s="634"/>
      <c r="F1181" s="634"/>
      <c r="G1181" s="634"/>
      <c r="H1181" s="634"/>
      <c r="I1181" s="634"/>
      <c r="J1181" s="635"/>
      <c r="K1181" s="132"/>
      <c r="L1181" s="133"/>
    </row>
    <row r="1182" spans="1:12" x14ac:dyDescent="0.2">
      <c r="A1182" s="158"/>
      <c r="B1182" s="55"/>
      <c r="C1182" s="634"/>
      <c r="D1182" s="634"/>
      <c r="E1182" s="634"/>
      <c r="F1182" s="634"/>
      <c r="G1182" s="634"/>
      <c r="H1182" s="634"/>
      <c r="I1182" s="634"/>
      <c r="J1182" s="635"/>
      <c r="K1182" s="132"/>
      <c r="L1182" s="133"/>
    </row>
    <row r="1183" spans="1:12" x14ac:dyDescent="0.2">
      <c r="A1183" s="158"/>
      <c r="B1183" s="55"/>
      <c r="C1183" s="175"/>
      <c r="D1183" s="175"/>
      <c r="E1183" s="175"/>
      <c r="F1183" s="175"/>
      <c r="G1183" s="175"/>
      <c r="H1183" s="175"/>
      <c r="I1183" s="175"/>
      <c r="J1183" s="176"/>
      <c r="K1183" s="132"/>
      <c r="L1183" s="133"/>
    </row>
    <row r="1184" spans="1:12" x14ac:dyDescent="0.2">
      <c r="A1184" s="158"/>
      <c r="B1184" s="55"/>
      <c r="C1184" s="71"/>
      <c r="D1184" s="71"/>
      <c r="E1184" s="71"/>
      <c r="F1184" s="71"/>
      <c r="G1184" s="71"/>
      <c r="H1184" s="71"/>
      <c r="I1184" s="71"/>
      <c r="J1184" s="174"/>
      <c r="K1184" s="132"/>
      <c r="L1184" s="133"/>
    </row>
    <row r="1185" spans="1:12" x14ac:dyDescent="0.2">
      <c r="A1185" s="598" t="s">
        <v>64</v>
      </c>
      <c r="B1185" s="638"/>
      <c r="C1185" s="600" t="s">
        <v>462</v>
      </c>
      <c r="D1185" s="600"/>
      <c r="E1185" s="600"/>
      <c r="F1185" s="600"/>
      <c r="G1185" s="600"/>
      <c r="H1185" s="600"/>
      <c r="I1185" s="600"/>
      <c r="J1185" s="601"/>
      <c r="K1185" s="132"/>
      <c r="L1185" s="133"/>
    </row>
    <row r="1186" spans="1:12" x14ac:dyDescent="0.2">
      <c r="A1186" s="158"/>
      <c r="B1186" s="55"/>
      <c r="C1186" s="71"/>
      <c r="D1186" s="71"/>
      <c r="E1186" s="71"/>
      <c r="F1186" s="71"/>
      <c r="G1186" s="71"/>
      <c r="H1186" s="71"/>
      <c r="I1186" s="71"/>
      <c r="J1186" s="174"/>
      <c r="K1186" s="132"/>
      <c r="L1186" s="133"/>
    </row>
    <row r="1187" spans="1:12" x14ac:dyDescent="0.2">
      <c r="A1187" s="158"/>
      <c r="B1187" s="55"/>
      <c r="C1187" s="71"/>
      <c r="D1187" s="71"/>
      <c r="E1187" s="71"/>
      <c r="F1187" s="71"/>
      <c r="G1187" s="71"/>
      <c r="H1187" s="71"/>
      <c r="I1187" s="71"/>
      <c r="J1187" s="174"/>
      <c r="K1187" s="132"/>
      <c r="L1187" s="133"/>
    </row>
    <row r="1188" spans="1:12" x14ac:dyDescent="0.2">
      <c r="A1188" s="158" t="s">
        <v>65</v>
      </c>
      <c r="B1188" s="55"/>
      <c r="C1188" s="662" t="s">
        <v>1050</v>
      </c>
      <c r="D1188" s="662"/>
      <c r="E1188" s="662"/>
      <c r="F1188" s="662"/>
      <c r="G1188" s="662"/>
      <c r="H1188" s="662"/>
      <c r="I1188" s="662"/>
      <c r="J1188" s="663"/>
      <c r="K1188" s="132"/>
      <c r="L1188" s="133"/>
    </row>
    <row r="1189" spans="1:12" x14ac:dyDescent="0.2">
      <c r="A1189" s="158"/>
      <c r="B1189" s="55"/>
      <c r="C1189" s="71"/>
      <c r="D1189" s="71"/>
      <c r="E1189" s="71"/>
      <c r="F1189" s="71"/>
      <c r="G1189" s="71"/>
      <c r="H1189" s="71"/>
      <c r="I1189" s="71"/>
      <c r="J1189" s="174"/>
      <c r="K1189" s="132"/>
      <c r="L1189" s="133"/>
    </row>
    <row r="1190" spans="1:12" x14ac:dyDescent="0.2">
      <c r="A1190" s="158"/>
      <c r="B1190" s="55"/>
      <c r="C1190" s="71"/>
      <c r="D1190" s="71"/>
      <c r="E1190" s="71"/>
      <c r="F1190" s="71"/>
      <c r="G1190" s="71"/>
      <c r="H1190" s="71"/>
      <c r="I1190" s="71"/>
      <c r="J1190" s="174"/>
      <c r="K1190" s="132"/>
      <c r="L1190" s="133"/>
    </row>
    <row r="1191" spans="1:12" x14ac:dyDescent="0.2">
      <c r="A1191" s="158"/>
      <c r="B1191" s="55"/>
      <c r="C1191" s="71"/>
      <c r="D1191" s="71"/>
      <c r="E1191" s="71"/>
      <c r="F1191" s="71"/>
      <c r="G1191" s="71"/>
      <c r="H1191" s="71"/>
      <c r="I1191" s="71"/>
      <c r="J1191" s="174"/>
      <c r="K1191" s="132"/>
      <c r="L1191" s="133"/>
    </row>
    <row r="1192" spans="1:12" x14ac:dyDescent="0.2">
      <c r="A1192" s="158"/>
      <c r="B1192" s="55"/>
      <c r="C1192" s="175"/>
      <c r="D1192" s="175"/>
      <c r="E1192" s="172"/>
      <c r="F1192" s="172"/>
      <c r="G1192" s="172"/>
      <c r="H1192" s="172"/>
      <c r="I1192" s="172"/>
      <c r="J1192" s="173"/>
      <c r="K1192" s="132"/>
      <c r="L1192" s="133"/>
    </row>
    <row r="1193" spans="1:12" x14ac:dyDescent="0.2">
      <c r="A1193" s="158"/>
      <c r="B1193" s="55"/>
      <c r="C1193" s="175"/>
      <c r="D1193" s="175"/>
      <c r="E1193" s="172"/>
      <c r="F1193" s="172"/>
      <c r="G1193" s="172"/>
      <c r="H1193" s="172"/>
      <c r="I1193" s="172"/>
      <c r="J1193" s="173"/>
      <c r="K1193" s="132"/>
      <c r="L1193" s="133"/>
    </row>
    <row r="1194" spans="1:12" ht="13.5" thickBot="1" x14ac:dyDescent="0.25">
      <c r="A1194" s="149"/>
      <c r="B1194" s="167"/>
      <c r="C1194" s="151"/>
      <c r="D1194" s="151"/>
      <c r="E1194" s="151"/>
      <c r="F1194" s="151"/>
      <c r="G1194" s="151"/>
      <c r="H1194" s="151"/>
      <c r="I1194" s="151"/>
      <c r="J1194" s="168"/>
      <c r="K1194" s="132"/>
      <c r="L1194" s="133"/>
    </row>
    <row r="1195" spans="1:12" ht="15.75" x14ac:dyDescent="0.2">
      <c r="A1195" s="602" t="s">
        <v>4</v>
      </c>
      <c r="B1195" s="603"/>
      <c r="C1195" s="603" t="str">
        <f>'A IV.A'!$B$43</f>
        <v>FECHAMENTOS, PROTEÇÕES E ALVENARIAS EM GERAL</v>
      </c>
      <c r="D1195" s="603"/>
      <c r="E1195" s="603"/>
      <c r="F1195" s="603"/>
      <c r="G1195" s="603"/>
      <c r="H1195" s="603"/>
      <c r="I1195" s="603"/>
      <c r="J1195" s="604"/>
      <c r="K1195" s="132"/>
      <c r="L1195" s="133"/>
    </row>
    <row r="1196" spans="1:12" x14ac:dyDescent="0.2">
      <c r="A1196" s="609" t="str">
        <f>'A IV.A'!$A$43</f>
        <v>3.0</v>
      </c>
      <c r="B1196" s="610"/>
      <c r="C1196" s="605"/>
      <c r="D1196" s="605"/>
      <c r="E1196" s="605"/>
      <c r="F1196" s="605"/>
      <c r="G1196" s="605"/>
      <c r="H1196" s="605"/>
      <c r="I1196" s="605"/>
      <c r="J1196" s="606"/>
      <c r="K1196" s="132"/>
      <c r="L1196" s="133"/>
    </row>
    <row r="1197" spans="1:12" ht="13.5" thickBot="1" x14ac:dyDescent="0.25">
      <c r="A1197" s="611"/>
      <c r="B1197" s="612"/>
      <c r="C1197" s="607"/>
      <c r="D1197" s="607"/>
      <c r="E1197" s="607"/>
      <c r="F1197" s="607"/>
      <c r="G1197" s="607"/>
      <c r="H1197" s="607"/>
      <c r="I1197" s="607"/>
      <c r="J1197" s="608"/>
      <c r="K1197" s="132"/>
      <c r="L1197" s="133"/>
    </row>
    <row r="1198" spans="1:12" ht="13.5" thickBot="1" x14ac:dyDescent="0.25">
      <c r="A1198" s="169"/>
      <c r="B1198" s="169"/>
      <c r="C1198" s="613"/>
      <c r="D1198" s="613"/>
      <c r="E1198" s="613"/>
      <c r="F1198" s="613"/>
      <c r="G1198" s="613"/>
      <c r="H1198" s="613"/>
      <c r="I1198" s="613"/>
      <c r="J1198" s="169"/>
      <c r="K1198" s="132"/>
      <c r="L1198" s="133"/>
    </row>
    <row r="1199" spans="1:12" ht="13.5" thickBot="1" x14ac:dyDescent="0.25">
      <c r="A1199" s="632" t="s">
        <v>60</v>
      </c>
      <c r="B1199" s="633"/>
      <c r="C1199" s="656" t="s">
        <v>61</v>
      </c>
      <c r="D1199" s="656"/>
      <c r="E1199" s="656"/>
      <c r="F1199" s="656"/>
      <c r="G1199" s="656"/>
      <c r="H1199" s="656"/>
      <c r="I1199" s="656"/>
      <c r="J1199" s="260" t="s">
        <v>0</v>
      </c>
      <c r="K1199" s="132"/>
      <c r="L1199" s="133"/>
    </row>
    <row r="1200" spans="1:12" x14ac:dyDescent="0.2">
      <c r="A1200" s="136"/>
      <c r="B1200" s="137"/>
      <c r="C1200" s="619"/>
      <c r="D1200" s="620"/>
      <c r="E1200" s="621"/>
      <c r="F1200" s="621"/>
      <c r="G1200" s="621"/>
      <c r="H1200" s="621"/>
      <c r="I1200" s="622"/>
      <c r="J1200" s="138"/>
      <c r="K1200" s="132"/>
      <c r="L1200" s="133"/>
    </row>
    <row r="1201" spans="1:14" x14ac:dyDescent="0.2">
      <c r="A1201" s="623" t="str">
        <f>'A IV.A'!$A$50</f>
        <v>3.2.1</v>
      </c>
      <c r="B1201" s="624"/>
      <c r="C1201" s="626" t="str">
        <f>'A IV.A'!$B$50</f>
        <v>EXECUÇÃO DE PORTA PARA RESERVATÓRIOS</v>
      </c>
      <c r="D1201" s="627"/>
      <c r="E1201" s="627"/>
      <c r="F1201" s="627"/>
      <c r="G1201" s="627"/>
      <c r="H1201" s="627"/>
      <c r="I1201" s="628"/>
      <c r="J1201" s="629" t="str">
        <f>'A IV.A'!$C$50</f>
        <v>UN</v>
      </c>
      <c r="K1201" s="630" t="str">
        <f>VLOOKUP(A1201,'A IV.A'!$A$14:$M$233,2,FALSE)</f>
        <v>EXECUÇÃO DE PORTA PARA RESERVATÓRIOS</v>
      </c>
      <c r="L1201" s="631" t="str">
        <f>IF(C1201=K1201,"sim","nao")</f>
        <v>sim</v>
      </c>
      <c r="M1201" s="631" t="str">
        <f>VLOOKUP(A1201,'A IV.A'!$A$14:$M$233,3,FALSE)</f>
        <v>UN</v>
      </c>
      <c r="N1201" s="631" t="str">
        <f>IF(J1201=M1201,"sim","nao")</f>
        <v>sim</v>
      </c>
    </row>
    <row r="1202" spans="1:14" x14ac:dyDescent="0.2">
      <c r="A1202" s="625"/>
      <c r="B1202" s="624"/>
      <c r="C1202" s="626"/>
      <c r="D1202" s="627"/>
      <c r="E1202" s="627"/>
      <c r="F1202" s="627"/>
      <c r="G1202" s="627"/>
      <c r="H1202" s="627"/>
      <c r="I1202" s="628"/>
      <c r="J1202" s="629"/>
      <c r="K1202" s="630"/>
      <c r="L1202" s="631"/>
      <c r="M1202" s="631"/>
      <c r="N1202" s="631"/>
    </row>
    <row r="1203" spans="1:14" x14ac:dyDescent="0.2">
      <c r="A1203" s="139"/>
      <c r="B1203" s="140"/>
      <c r="C1203" s="141"/>
      <c r="D1203" s="142"/>
      <c r="E1203" s="142"/>
      <c r="F1203" s="142"/>
      <c r="G1203" s="142"/>
      <c r="H1203" s="142"/>
      <c r="I1203" s="143"/>
      <c r="J1203" s="144"/>
      <c r="K1203" s="132"/>
      <c r="L1203" s="133"/>
    </row>
    <row r="1204" spans="1:14" x14ac:dyDescent="0.2">
      <c r="A1204" s="158"/>
      <c r="B1204" s="188"/>
      <c r="C1204" s="189"/>
      <c r="D1204" s="165"/>
      <c r="E1204" s="165"/>
      <c r="F1204" s="165"/>
      <c r="G1204" s="165"/>
      <c r="H1204" s="165"/>
      <c r="I1204" s="190"/>
      <c r="J1204" s="191"/>
      <c r="K1204" s="192"/>
      <c r="L1204" s="55"/>
      <c r="M1204" s="55"/>
      <c r="N1204" s="55"/>
    </row>
    <row r="1205" spans="1:14" x14ac:dyDescent="0.2">
      <c r="A1205" s="158"/>
      <c r="B1205" s="188"/>
      <c r="C1205" s="189"/>
      <c r="D1205" s="165"/>
      <c r="E1205" s="165"/>
      <c r="F1205" s="165"/>
      <c r="G1205" s="165"/>
      <c r="H1205" s="165"/>
      <c r="I1205" s="190"/>
      <c r="J1205" s="191"/>
      <c r="K1205" s="192"/>
      <c r="L1205" s="55"/>
      <c r="M1205" s="55"/>
      <c r="N1205" s="55"/>
    </row>
    <row r="1206" spans="1:14" x14ac:dyDescent="0.2">
      <c r="A1206" s="145"/>
      <c r="B1206" s="146"/>
      <c r="C1206" s="147"/>
      <c r="D1206" s="147"/>
      <c r="E1206" s="147"/>
      <c r="F1206" s="147"/>
      <c r="G1206" s="147"/>
      <c r="H1206" s="147"/>
      <c r="I1206" s="147"/>
      <c r="J1206" s="148"/>
      <c r="K1206" s="132"/>
      <c r="L1206" s="133"/>
    </row>
    <row r="1207" spans="1:14" x14ac:dyDescent="0.2">
      <c r="A1207" s="158"/>
      <c r="B1207" s="188"/>
      <c r="C1207" s="189"/>
      <c r="D1207" s="165"/>
      <c r="E1207" s="165"/>
      <c r="F1207" s="165"/>
      <c r="G1207" s="165"/>
      <c r="H1207" s="165"/>
      <c r="I1207" s="190"/>
      <c r="J1207" s="191"/>
      <c r="K1207" s="630"/>
      <c r="L1207" s="631"/>
      <c r="M1207" s="631"/>
      <c r="N1207" s="631"/>
    </row>
    <row r="1208" spans="1:14" x14ac:dyDescent="0.2">
      <c r="A1208" s="158"/>
      <c r="B1208" s="188"/>
      <c r="C1208" s="189"/>
      <c r="D1208" s="165"/>
      <c r="E1208" s="165"/>
      <c r="F1208" s="165"/>
      <c r="G1208" s="165"/>
      <c r="H1208" s="165"/>
      <c r="I1208" s="190"/>
      <c r="J1208" s="191"/>
      <c r="K1208" s="630"/>
      <c r="L1208" s="631"/>
      <c r="M1208" s="631"/>
      <c r="N1208" s="631"/>
    </row>
    <row r="1209" spans="1:14" x14ac:dyDescent="0.2">
      <c r="A1209" s="145"/>
      <c r="B1209" s="146"/>
      <c r="C1209" s="147"/>
      <c r="D1209" s="147"/>
      <c r="E1209" s="147"/>
      <c r="F1209" s="147"/>
      <c r="G1209" s="147"/>
      <c r="H1209" s="147"/>
      <c r="I1209" s="147"/>
      <c r="J1209" s="148"/>
      <c r="K1209" s="132"/>
      <c r="L1209" s="133"/>
    </row>
    <row r="1210" spans="1:14" x14ac:dyDescent="0.2">
      <c r="A1210" s="145"/>
      <c r="B1210" s="146"/>
      <c r="C1210" s="147"/>
      <c r="D1210" s="147"/>
      <c r="E1210" s="147"/>
      <c r="F1210" s="147"/>
      <c r="G1210" s="147"/>
      <c r="H1210" s="147"/>
      <c r="I1210" s="147"/>
      <c r="J1210" s="148"/>
      <c r="K1210" s="132"/>
      <c r="L1210" s="133"/>
    </row>
    <row r="1211" spans="1:14" x14ac:dyDescent="0.2">
      <c r="A1211" s="145"/>
      <c r="B1211" s="146"/>
      <c r="C1211" s="147"/>
      <c r="D1211" s="147"/>
      <c r="E1211" s="147"/>
      <c r="F1211" s="147"/>
      <c r="G1211" s="147"/>
      <c r="H1211" s="147"/>
      <c r="I1211" s="147"/>
      <c r="J1211" s="148"/>
      <c r="K1211" s="132"/>
      <c r="L1211" s="133"/>
    </row>
    <row r="1212" spans="1:14" x14ac:dyDescent="0.2">
      <c r="A1212" s="145"/>
      <c r="B1212" s="146"/>
      <c r="C1212" s="147"/>
      <c r="D1212" s="147"/>
      <c r="E1212" s="147"/>
      <c r="F1212" s="147"/>
      <c r="G1212" s="147"/>
      <c r="H1212" s="147"/>
      <c r="I1212" s="147"/>
      <c r="J1212" s="148"/>
      <c r="K1212" s="132"/>
      <c r="L1212" s="133"/>
    </row>
    <row r="1213" spans="1:14" x14ac:dyDescent="0.2">
      <c r="A1213" s="145"/>
      <c r="B1213" s="146"/>
      <c r="C1213" s="147"/>
      <c r="D1213" s="147"/>
      <c r="E1213" s="147"/>
      <c r="F1213" s="147"/>
      <c r="G1213" s="147"/>
      <c r="H1213" s="147"/>
      <c r="I1213" s="147"/>
      <c r="J1213" s="148"/>
      <c r="K1213" s="132"/>
      <c r="L1213" s="133"/>
    </row>
    <row r="1214" spans="1:14" x14ac:dyDescent="0.2">
      <c r="A1214" s="145"/>
      <c r="B1214" s="146"/>
      <c r="C1214" s="147"/>
      <c r="D1214" s="147"/>
      <c r="E1214" s="147"/>
      <c r="F1214" s="147"/>
      <c r="G1214" s="147"/>
      <c r="H1214" s="147"/>
      <c r="I1214" s="147"/>
      <c r="J1214" s="148"/>
      <c r="K1214" s="132"/>
      <c r="L1214" s="133"/>
    </row>
    <row r="1215" spans="1:14" x14ac:dyDescent="0.2">
      <c r="A1215" s="145"/>
      <c r="B1215" s="146"/>
      <c r="C1215" s="147"/>
      <c r="D1215" s="147"/>
      <c r="E1215" s="147"/>
      <c r="F1215" s="147"/>
      <c r="G1215" s="147"/>
      <c r="H1215" s="147"/>
      <c r="I1215" s="147"/>
      <c r="J1215" s="148"/>
      <c r="K1215" s="132"/>
      <c r="L1215" s="133"/>
    </row>
    <row r="1216" spans="1:14" x14ac:dyDescent="0.2">
      <c r="A1216" s="145"/>
      <c r="B1216" s="146"/>
      <c r="C1216" s="147"/>
      <c r="D1216" s="147"/>
      <c r="E1216" s="147"/>
      <c r="F1216" s="147"/>
      <c r="G1216" s="147"/>
      <c r="H1216" s="147"/>
      <c r="I1216" s="147"/>
      <c r="J1216" s="148"/>
      <c r="K1216" s="132"/>
      <c r="L1216" s="133"/>
    </row>
    <row r="1217" spans="1:12" x14ac:dyDescent="0.2">
      <c r="A1217" s="145"/>
      <c r="B1217" s="146"/>
      <c r="C1217" s="147"/>
      <c r="D1217" s="147"/>
      <c r="E1217" s="147"/>
      <c r="F1217" s="147"/>
      <c r="G1217" s="147"/>
      <c r="H1217" s="147"/>
      <c r="I1217" s="147"/>
      <c r="J1217" s="148"/>
      <c r="K1217" s="132"/>
      <c r="L1217" s="133"/>
    </row>
    <row r="1218" spans="1:12" x14ac:dyDescent="0.2">
      <c r="A1218" s="145"/>
      <c r="B1218" s="146"/>
      <c r="C1218" s="147"/>
      <c r="D1218" s="147"/>
      <c r="E1218" s="147"/>
      <c r="F1218" s="147"/>
      <c r="G1218" s="147"/>
      <c r="H1218" s="147"/>
      <c r="I1218" s="147"/>
      <c r="J1218" s="148"/>
      <c r="K1218" s="132"/>
      <c r="L1218" s="133"/>
    </row>
    <row r="1219" spans="1:12" x14ac:dyDescent="0.2">
      <c r="A1219" s="145"/>
      <c r="B1219" s="146"/>
      <c r="C1219" s="147"/>
      <c r="D1219" s="147"/>
      <c r="E1219" s="147"/>
      <c r="F1219" s="147"/>
      <c r="G1219" s="147"/>
      <c r="H1219" s="147"/>
      <c r="I1219" s="147"/>
      <c r="J1219" s="148"/>
      <c r="K1219" s="132"/>
      <c r="L1219" s="133"/>
    </row>
    <row r="1220" spans="1:12" x14ac:dyDescent="0.2">
      <c r="A1220" s="145"/>
      <c r="B1220" s="146"/>
      <c r="C1220" s="147"/>
      <c r="D1220" s="147"/>
      <c r="E1220" s="147"/>
      <c r="F1220" s="147"/>
      <c r="G1220" s="147"/>
      <c r="H1220" s="147"/>
      <c r="I1220" s="147"/>
      <c r="J1220" s="148"/>
      <c r="K1220" s="132"/>
      <c r="L1220" s="133"/>
    </row>
    <row r="1221" spans="1:12" x14ac:dyDescent="0.2">
      <c r="A1221" s="145"/>
      <c r="B1221" s="146"/>
      <c r="C1221" s="147"/>
      <c r="D1221" s="147"/>
      <c r="E1221" s="147"/>
      <c r="F1221" s="147"/>
      <c r="G1221" s="147"/>
      <c r="H1221" s="147"/>
      <c r="I1221" s="147"/>
      <c r="J1221" s="148"/>
      <c r="K1221" s="132"/>
      <c r="L1221" s="133"/>
    </row>
    <row r="1222" spans="1:12" ht="13.5" thickBot="1" x14ac:dyDescent="0.25">
      <c r="A1222" s="149"/>
      <c r="B1222" s="150"/>
      <c r="C1222" s="151"/>
      <c r="D1222" s="151"/>
      <c r="E1222" s="151"/>
      <c r="F1222" s="151"/>
      <c r="G1222" s="151"/>
      <c r="H1222" s="151"/>
      <c r="I1222" s="151"/>
      <c r="J1222" s="152"/>
      <c r="K1222" s="132"/>
      <c r="L1222" s="133"/>
    </row>
    <row r="1223" spans="1:12" ht="13.5" thickBot="1" x14ac:dyDescent="0.25">
      <c r="A1223" s="153"/>
      <c r="B1223" s="153"/>
      <c r="C1223" s="154"/>
      <c r="D1223" s="154"/>
      <c r="E1223" s="154"/>
      <c r="F1223" s="154"/>
      <c r="G1223" s="154"/>
      <c r="H1223" s="154"/>
      <c r="I1223" s="154"/>
      <c r="J1223" s="153"/>
      <c r="K1223" s="132"/>
      <c r="L1223" s="133"/>
    </row>
    <row r="1224" spans="1:12" ht="13.5" thickBot="1" x14ac:dyDescent="0.25">
      <c r="A1224" s="614" t="s">
        <v>62</v>
      </c>
      <c r="B1224" s="648"/>
      <c r="C1224" s="648"/>
      <c r="D1224" s="648"/>
      <c r="E1224" s="648"/>
      <c r="F1224" s="648"/>
      <c r="G1224" s="648"/>
      <c r="H1224" s="648"/>
      <c r="I1224" s="648"/>
      <c r="J1224" s="649"/>
      <c r="K1224" s="132"/>
      <c r="L1224" s="133"/>
    </row>
    <row r="1225" spans="1:12" x14ac:dyDescent="0.2">
      <c r="A1225" s="136"/>
      <c r="B1225" s="155"/>
      <c r="C1225" s="156"/>
      <c r="D1225" s="156"/>
      <c r="E1225" s="156"/>
      <c r="F1225" s="156"/>
      <c r="G1225" s="156"/>
      <c r="H1225" s="156"/>
      <c r="I1225" s="156"/>
      <c r="J1225" s="157"/>
      <c r="K1225" s="132"/>
      <c r="L1225" s="133"/>
    </row>
    <row r="1226" spans="1:12" ht="12.75" customHeight="1" x14ac:dyDescent="0.2">
      <c r="A1226" s="158" t="s">
        <v>63</v>
      </c>
      <c r="B1226" s="55"/>
      <c r="C1226" s="652" t="s">
        <v>658</v>
      </c>
      <c r="D1226" s="652"/>
      <c r="E1226" s="652"/>
      <c r="F1226" s="652"/>
      <c r="G1226" s="652"/>
      <c r="H1226" s="652"/>
      <c r="I1226" s="652"/>
      <c r="J1226" s="653"/>
      <c r="K1226" s="132"/>
      <c r="L1226" s="133"/>
    </row>
    <row r="1227" spans="1:12" x14ac:dyDescent="0.2">
      <c r="A1227" s="158"/>
      <c r="B1227" s="55"/>
      <c r="C1227" s="652"/>
      <c r="D1227" s="652"/>
      <c r="E1227" s="652"/>
      <c r="F1227" s="652"/>
      <c r="G1227" s="652"/>
      <c r="H1227" s="652"/>
      <c r="I1227" s="652"/>
      <c r="J1227" s="653"/>
      <c r="K1227" s="132"/>
      <c r="L1227" s="133"/>
    </row>
    <row r="1228" spans="1:12" x14ac:dyDescent="0.2">
      <c r="A1228" s="158"/>
      <c r="B1228" s="55"/>
      <c r="C1228" s="652"/>
      <c r="D1228" s="652"/>
      <c r="E1228" s="652"/>
      <c r="F1228" s="652"/>
      <c r="G1228" s="652"/>
      <c r="H1228" s="652"/>
      <c r="I1228" s="652"/>
      <c r="J1228" s="653"/>
      <c r="K1228" s="132"/>
      <c r="L1228" s="133"/>
    </row>
    <row r="1229" spans="1:12" x14ac:dyDescent="0.2">
      <c r="A1229" s="158"/>
      <c r="B1229" s="55"/>
      <c r="C1229" s="652"/>
      <c r="D1229" s="652"/>
      <c r="E1229" s="652"/>
      <c r="F1229" s="652"/>
      <c r="G1229" s="652"/>
      <c r="H1229" s="652"/>
      <c r="I1229" s="652"/>
      <c r="J1229" s="653"/>
      <c r="K1229" s="132"/>
      <c r="L1229" s="133"/>
    </row>
    <row r="1230" spans="1:12" x14ac:dyDescent="0.2">
      <c r="A1230" s="158"/>
      <c r="B1230" s="55"/>
      <c r="C1230" s="175"/>
      <c r="D1230" s="175"/>
      <c r="E1230" s="175"/>
      <c r="F1230" s="175"/>
      <c r="G1230" s="175"/>
      <c r="H1230" s="175"/>
      <c r="I1230" s="175"/>
      <c r="J1230" s="176"/>
      <c r="K1230" s="132"/>
      <c r="L1230" s="133"/>
    </row>
    <row r="1231" spans="1:12" x14ac:dyDescent="0.2">
      <c r="A1231" s="598" t="s">
        <v>64</v>
      </c>
      <c r="B1231" s="638"/>
      <c r="C1231" s="600" t="s">
        <v>659</v>
      </c>
      <c r="D1231" s="600"/>
      <c r="E1231" s="600"/>
      <c r="F1231" s="600"/>
      <c r="G1231" s="600"/>
      <c r="H1231" s="600"/>
      <c r="I1231" s="600"/>
      <c r="J1231" s="601"/>
      <c r="K1231" s="132"/>
      <c r="L1231" s="133"/>
    </row>
    <row r="1232" spans="1:12" x14ac:dyDescent="0.2">
      <c r="A1232" s="158"/>
      <c r="B1232" s="55"/>
      <c r="C1232" s="159"/>
      <c r="D1232" s="159"/>
      <c r="E1232" s="159"/>
      <c r="F1232" s="159"/>
      <c r="G1232" s="159"/>
      <c r="H1232" s="159"/>
      <c r="I1232" s="159"/>
      <c r="J1232" s="160"/>
      <c r="K1232" s="132"/>
      <c r="L1232" s="133"/>
    </row>
    <row r="1233" spans="1:12" x14ac:dyDescent="0.2">
      <c r="A1233" s="158"/>
      <c r="B1233" s="55"/>
      <c r="C1233" s="71"/>
      <c r="D1233" s="71"/>
      <c r="E1233" s="71"/>
      <c r="F1233" s="71"/>
      <c r="G1233" s="71"/>
      <c r="H1233" s="71"/>
      <c r="I1233" s="71"/>
      <c r="J1233" s="174"/>
      <c r="K1233" s="132"/>
      <c r="L1233" s="133"/>
    </row>
    <row r="1234" spans="1:12" x14ac:dyDescent="0.2">
      <c r="A1234" s="158"/>
      <c r="B1234" s="55"/>
      <c r="C1234" s="71"/>
      <c r="D1234" s="71"/>
      <c r="E1234" s="71"/>
      <c r="F1234" s="71"/>
      <c r="G1234" s="71"/>
      <c r="H1234" s="71"/>
      <c r="I1234" s="71"/>
      <c r="J1234" s="174"/>
      <c r="K1234" s="132"/>
      <c r="L1234" s="133"/>
    </row>
    <row r="1235" spans="1:12" x14ac:dyDescent="0.2">
      <c r="A1235" s="598"/>
      <c r="B1235" s="638"/>
      <c r="C1235" s="596"/>
      <c r="D1235" s="596"/>
      <c r="E1235" s="596"/>
      <c r="F1235" s="596"/>
      <c r="G1235" s="596"/>
      <c r="H1235" s="596"/>
      <c r="I1235" s="596"/>
      <c r="J1235" s="597"/>
      <c r="K1235" s="132"/>
      <c r="L1235" s="133"/>
    </row>
    <row r="1236" spans="1:12" x14ac:dyDescent="0.2">
      <c r="A1236" s="158"/>
      <c r="B1236" s="55"/>
      <c r="C1236" s="71"/>
      <c r="D1236" s="71"/>
      <c r="E1236" s="71"/>
      <c r="F1236" s="71"/>
      <c r="G1236" s="71"/>
      <c r="H1236" s="71"/>
      <c r="I1236" s="71"/>
      <c r="J1236" s="174"/>
      <c r="K1236" s="132"/>
      <c r="L1236" s="133"/>
    </row>
    <row r="1237" spans="1:12" x14ac:dyDescent="0.2">
      <c r="A1237" s="158"/>
      <c r="B1237" s="55"/>
      <c r="C1237" s="71"/>
      <c r="D1237" s="71"/>
      <c r="E1237" s="71"/>
      <c r="F1237" s="71"/>
      <c r="G1237" s="71"/>
      <c r="H1237" s="71"/>
      <c r="I1237" s="71"/>
      <c r="J1237" s="174"/>
      <c r="K1237" s="132"/>
      <c r="L1237" s="133"/>
    </row>
    <row r="1238" spans="1:12" x14ac:dyDescent="0.2">
      <c r="A1238" s="158"/>
      <c r="B1238" s="55"/>
      <c r="C1238" s="71"/>
      <c r="D1238" s="71"/>
      <c r="E1238" s="71"/>
      <c r="F1238" s="71"/>
      <c r="G1238" s="71"/>
      <c r="H1238" s="71"/>
      <c r="I1238" s="71"/>
      <c r="J1238" s="174"/>
      <c r="K1238" s="132"/>
      <c r="L1238" s="133"/>
    </row>
    <row r="1239" spans="1:12" x14ac:dyDescent="0.2">
      <c r="A1239" s="158"/>
      <c r="B1239" s="55"/>
      <c r="C1239" s="71"/>
      <c r="D1239" s="71"/>
      <c r="E1239" s="71"/>
      <c r="F1239" s="71"/>
      <c r="G1239" s="71"/>
      <c r="H1239" s="71"/>
      <c r="I1239" s="71"/>
      <c r="J1239" s="174"/>
      <c r="K1239" s="132"/>
      <c r="L1239" s="133"/>
    </row>
    <row r="1240" spans="1:12" x14ac:dyDescent="0.2">
      <c r="A1240" s="158"/>
      <c r="B1240" s="55"/>
      <c r="C1240" s="71"/>
      <c r="D1240" s="71"/>
      <c r="E1240" s="71"/>
      <c r="F1240" s="71"/>
      <c r="G1240" s="71"/>
      <c r="H1240" s="71"/>
      <c r="I1240" s="71"/>
      <c r="J1240" s="174"/>
      <c r="K1240" s="132"/>
      <c r="L1240" s="133"/>
    </row>
    <row r="1241" spans="1:12" x14ac:dyDescent="0.2">
      <c r="A1241" s="158"/>
      <c r="B1241" s="55"/>
      <c r="C1241" s="71"/>
      <c r="D1241" s="71"/>
      <c r="E1241" s="71"/>
      <c r="F1241" s="71"/>
      <c r="G1241" s="71"/>
      <c r="H1241" s="71"/>
      <c r="I1241" s="71"/>
      <c r="J1241" s="174"/>
      <c r="K1241" s="132"/>
      <c r="L1241" s="133"/>
    </row>
    <row r="1242" spans="1:12" x14ac:dyDescent="0.2">
      <c r="A1242" s="158"/>
      <c r="B1242" s="55"/>
      <c r="C1242" s="71"/>
      <c r="D1242" s="71"/>
      <c r="E1242" s="71"/>
      <c r="F1242" s="71"/>
      <c r="G1242" s="71"/>
      <c r="H1242" s="71"/>
      <c r="I1242" s="71"/>
      <c r="J1242" s="174"/>
      <c r="K1242" s="132"/>
      <c r="L1242" s="133"/>
    </row>
    <row r="1243" spans="1:12" x14ac:dyDescent="0.2">
      <c r="A1243" s="158"/>
      <c r="B1243" s="55"/>
      <c r="C1243" s="71"/>
      <c r="D1243" s="71"/>
      <c r="E1243" s="71"/>
      <c r="F1243" s="71"/>
      <c r="G1243" s="71"/>
      <c r="H1243" s="71"/>
      <c r="I1243" s="71"/>
      <c r="J1243" s="174"/>
      <c r="K1243" s="132"/>
      <c r="L1243" s="133"/>
    </row>
    <row r="1244" spans="1:12" x14ac:dyDescent="0.2">
      <c r="A1244" s="158"/>
      <c r="B1244" s="55"/>
      <c r="C1244" s="175"/>
      <c r="D1244" s="175"/>
      <c r="E1244" s="172"/>
      <c r="F1244" s="172"/>
      <c r="G1244" s="172"/>
      <c r="H1244" s="172"/>
      <c r="I1244" s="172"/>
      <c r="J1244" s="173"/>
      <c r="K1244" s="132"/>
      <c r="L1244" s="133"/>
    </row>
    <row r="1245" spans="1:12" x14ac:dyDescent="0.2">
      <c r="A1245" s="158"/>
      <c r="B1245" s="55"/>
      <c r="C1245" s="175"/>
      <c r="D1245" s="175"/>
      <c r="E1245" s="172"/>
      <c r="F1245" s="172"/>
      <c r="G1245" s="172"/>
      <c r="H1245" s="172"/>
      <c r="I1245" s="172"/>
      <c r="J1245" s="173"/>
      <c r="K1245" s="132"/>
      <c r="L1245" s="133"/>
    </row>
    <row r="1246" spans="1:12" x14ac:dyDescent="0.2">
      <c r="A1246" s="158"/>
      <c r="B1246" s="55"/>
      <c r="C1246" s="175"/>
      <c r="D1246" s="175"/>
      <c r="E1246" s="172"/>
      <c r="F1246" s="172"/>
      <c r="G1246" s="172"/>
      <c r="H1246" s="172"/>
      <c r="I1246" s="172"/>
      <c r="J1246" s="173"/>
      <c r="K1246" s="132"/>
      <c r="L1246" s="133"/>
    </row>
    <row r="1247" spans="1:12" x14ac:dyDescent="0.2">
      <c r="A1247" s="158"/>
      <c r="B1247" s="55"/>
      <c r="C1247" s="175"/>
      <c r="D1247" s="175"/>
      <c r="E1247" s="175"/>
      <c r="F1247" s="175"/>
      <c r="G1247" s="175"/>
      <c r="H1247" s="175"/>
      <c r="I1247" s="175"/>
      <c r="J1247" s="176"/>
      <c r="K1247" s="132"/>
      <c r="L1247" s="133"/>
    </row>
    <row r="1248" spans="1:12" ht="13.5" thickBot="1" x14ac:dyDescent="0.25">
      <c r="A1248" s="149"/>
      <c r="B1248" s="167"/>
      <c r="C1248" s="151"/>
      <c r="D1248" s="151"/>
      <c r="E1248" s="151"/>
      <c r="F1248" s="151"/>
      <c r="G1248" s="151"/>
      <c r="H1248" s="151"/>
      <c r="I1248" s="151"/>
      <c r="J1248" s="168"/>
      <c r="K1248" s="132"/>
      <c r="L1248" s="133"/>
    </row>
    <row r="1249" spans="1:14" ht="15.75" x14ac:dyDescent="0.2">
      <c r="A1249" s="602" t="s">
        <v>4</v>
      </c>
      <c r="B1249" s="603"/>
      <c r="C1249" s="603" t="str">
        <f>'A IV.A'!$B$43</f>
        <v>FECHAMENTOS, PROTEÇÕES E ALVENARIAS EM GERAL</v>
      </c>
      <c r="D1249" s="603"/>
      <c r="E1249" s="603"/>
      <c r="F1249" s="603"/>
      <c r="G1249" s="603"/>
      <c r="H1249" s="603"/>
      <c r="I1249" s="603"/>
      <c r="J1249" s="604"/>
      <c r="K1249" s="132"/>
      <c r="L1249" s="133"/>
    </row>
    <row r="1250" spans="1:14" x14ac:dyDescent="0.2">
      <c r="A1250" s="609" t="str">
        <f>'A IV.A'!$A$43</f>
        <v>3.0</v>
      </c>
      <c r="B1250" s="610"/>
      <c r="C1250" s="605"/>
      <c r="D1250" s="605"/>
      <c r="E1250" s="605"/>
      <c r="F1250" s="605"/>
      <c r="G1250" s="605"/>
      <c r="H1250" s="605"/>
      <c r="I1250" s="605"/>
      <c r="J1250" s="606"/>
      <c r="K1250" s="132"/>
      <c r="L1250" s="133"/>
    </row>
    <row r="1251" spans="1:14" ht="13.5" thickBot="1" x14ac:dyDescent="0.25">
      <c r="A1251" s="611"/>
      <c r="B1251" s="612"/>
      <c r="C1251" s="607"/>
      <c r="D1251" s="607"/>
      <c r="E1251" s="607"/>
      <c r="F1251" s="607"/>
      <c r="G1251" s="607"/>
      <c r="H1251" s="607"/>
      <c r="I1251" s="607"/>
      <c r="J1251" s="608"/>
      <c r="K1251" s="132"/>
      <c r="L1251" s="133"/>
    </row>
    <row r="1252" spans="1:14" ht="13.5" thickBot="1" x14ac:dyDescent="0.25">
      <c r="A1252" s="169"/>
      <c r="B1252" s="169"/>
      <c r="C1252" s="613"/>
      <c r="D1252" s="613"/>
      <c r="E1252" s="613"/>
      <c r="F1252" s="613"/>
      <c r="G1252" s="613"/>
      <c r="H1252" s="613"/>
      <c r="I1252" s="613"/>
      <c r="J1252" s="169"/>
      <c r="K1252" s="132"/>
      <c r="L1252" s="133"/>
    </row>
    <row r="1253" spans="1:14" ht="13.5" thickBot="1" x14ac:dyDescent="0.25">
      <c r="A1253" s="632" t="s">
        <v>60</v>
      </c>
      <c r="B1253" s="633"/>
      <c r="C1253" s="656" t="s">
        <v>61</v>
      </c>
      <c r="D1253" s="656"/>
      <c r="E1253" s="656"/>
      <c r="F1253" s="656"/>
      <c r="G1253" s="656"/>
      <c r="H1253" s="656"/>
      <c r="I1253" s="656"/>
      <c r="J1253" s="260" t="s">
        <v>0</v>
      </c>
      <c r="K1253" s="132"/>
      <c r="L1253" s="133"/>
    </row>
    <row r="1254" spans="1:14" x14ac:dyDescent="0.2">
      <c r="A1254" s="136"/>
      <c r="B1254" s="137"/>
      <c r="C1254" s="619"/>
      <c r="D1254" s="620"/>
      <c r="E1254" s="621"/>
      <c r="F1254" s="621"/>
      <c r="G1254" s="621"/>
      <c r="H1254" s="621"/>
      <c r="I1254" s="622"/>
      <c r="J1254" s="138"/>
      <c r="K1254" s="132"/>
      <c r="L1254" s="133"/>
    </row>
    <row r="1255" spans="1:14" x14ac:dyDescent="0.2">
      <c r="A1255" s="623" t="str">
        <f>'A IV.A'!A51</f>
        <v>3.2.2</v>
      </c>
      <c r="B1255" s="624"/>
      <c r="C1255" s="626" t="str">
        <f>'A IV.A'!B51</f>
        <v>FORNECIMENTO E INSTALAÇÃO DE ESQUADRIA METÁLICA EM VENEZIANA/CHAPA DE FERRO, SOB MEDIDA</v>
      </c>
      <c r="D1255" s="627"/>
      <c r="E1255" s="627"/>
      <c r="F1255" s="627"/>
      <c r="G1255" s="627"/>
      <c r="H1255" s="627"/>
      <c r="I1255" s="628"/>
      <c r="J1255" s="629" t="str">
        <f>'A IV.A'!C51</f>
        <v>M2</v>
      </c>
      <c r="K1255" s="630" t="str">
        <f>VLOOKUP(A1255,'A IV.A'!$A$14:$M$233,2,FALSE)</f>
        <v>FORNECIMENTO E INSTALAÇÃO DE ESQUADRIA METÁLICA EM VENEZIANA/CHAPA DE FERRO, SOB MEDIDA</v>
      </c>
      <c r="L1255" s="631" t="str">
        <f>IF(C1255=K1255,"sim","nao")</f>
        <v>sim</v>
      </c>
      <c r="M1255" s="631" t="str">
        <f>VLOOKUP(A1255,'A IV.A'!$A$14:$M$233,3,FALSE)</f>
        <v>M2</v>
      </c>
      <c r="N1255" s="631" t="str">
        <f>IF(J1255=M1255,"sim","nao")</f>
        <v>sim</v>
      </c>
    </row>
    <row r="1256" spans="1:14" x14ac:dyDescent="0.2">
      <c r="A1256" s="625"/>
      <c r="B1256" s="624"/>
      <c r="C1256" s="626"/>
      <c r="D1256" s="627"/>
      <c r="E1256" s="627"/>
      <c r="F1256" s="627"/>
      <c r="G1256" s="627"/>
      <c r="H1256" s="627"/>
      <c r="I1256" s="628"/>
      <c r="J1256" s="629"/>
      <c r="K1256" s="630"/>
      <c r="L1256" s="631"/>
      <c r="M1256" s="631"/>
      <c r="N1256" s="631"/>
    </row>
    <row r="1257" spans="1:14" x14ac:dyDescent="0.2">
      <c r="A1257" s="139"/>
      <c r="B1257" s="140"/>
      <c r="C1257" s="141"/>
      <c r="D1257" s="142"/>
      <c r="E1257" s="142"/>
      <c r="F1257" s="142"/>
      <c r="G1257" s="142"/>
      <c r="H1257" s="142"/>
      <c r="I1257" s="143"/>
      <c r="J1257" s="144"/>
      <c r="K1257" s="132"/>
      <c r="L1257" s="133"/>
    </row>
    <row r="1258" spans="1:14" x14ac:dyDescent="0.2">
      <c r="A1258" s="158"/>
      <c r="B1258" s="188"/>
      <c r="C1258" s="189"/>
      <c r="D1258" s="165"/>
      <c r="E1258" s="165"/>
      <c r="F1258" s="165"/>
      <c r="G1258" s="165"/>
      <c r="H1258" s="165"/>
      <c r="I1258" s="190"/>
      <c r="J1258" s="191"/>
      <c r="K1258" s="192"/>
      <c r="L1258" s="55"/>
      <c r="M1258" s="55"/>
      <c r="N1258" s="55"/>
    </row>
    <row r="1259" spans="1:14" x14ac:dyDescent="0.2">
      <c r="A1259" s="158"/>
      <c r="B1259" s="188"/>
      <c r="C1259" s="189"/>
      <c r="D1259" s="165"/>
      <c r="E1259" s="165"/>
      <c r="F1259" s="165"/>
      <c r="G1259" s="165"/>
      <c r="H1259" s="165"/>
      <c r="I1259" s="190"/>
      <c r="J1259" s="191"/>
      <c r="K1259" s="192"/>
      <c r="L1259" s="55"/>
      <c r="M1259" s="55"/>
      <c r="N1259" s="55"/>
    </row>
    <row r="1260" spans="1:14" x14ac:dyDescent="0.2">
      <c r="A1260" s="145"/>
      <c r="B1260" s="146"/>
      <c r="C1260" s="147"/>
      <c r="D1260" s="147"/>
      <c r="E1260" s="147"/>
      <c r="F1260" s="147"/>
      <c r="G1260" s="147"/>
      <c r="H1260" s="147"/>
      <c r="I1260" s="147"/>
      <c r="J1260" s="148"/>
      <c r="K1260" s="132"/>
      <c r="L1260" s="133"/>
    </row>
    <row r="1261" spans="1:14" x14ac:dyDescent="0.2">
      <c r="A1261" s="158"/>
      <c r="B1261" s="188"/>
      <c r="C1261" s="189"/>
      <c r="D1261" s="165"/>
      <c r="E1261" s="165"/>
      <c r="F1261" s="165"/>
      <c r="G1261" s="165"/>
      <c r="H1261" s="165"/>
      <c r="I1261" s="190"/>
      <c r="J1261" s="191"/>
      <c r="K1261" s="630"/>
      <c r="L1261" s="631"/>
      <c r="M1261" s="631"/>
      <c r="N1261" s="631"/>
    </row>
    <row r="1262" spans="1:14" x14ac:dyDescent="0.2">
      <c r="A1262" s="158"/>
      <c r="B1262" s="188"/>
      <c r="C1262" s="189"/>
      <c r="D1262" s="165"/>
      <c r="E1262" s="165"/>
      <c r="F1262" s="165"/>
      <c r="G1262" s="165"/>
      <c r="H1262" s="165"/>
      <c r="I1262" s="190"/>
      <c r="J1262" s="191"/>
      <c r="K1262" s="630"/>
      <c r="L1262" s="631"/>
      <c r="M1262" s="631"/>
      <c r="N1262" s="631"/>
    </row>
    <row r="1263" spans="1:14" x14ac:dyDescent="0.2">
      <c r="A1263" s="145"/>
      <c r="B1263" s="146"/>
      <c r="C1263" s="147"/>
      <c r="D1263" s="147"/>
      <c r="E1263" s="147"/>
      <c r="F1263" s="147"/>
      <c r="G1263" s="147"/>
      <c r="H1263" s="147"/>
      <c r="I1263" s="147"/>
      <c r="J1263" s="148"/>
      <c r="K1263" s="132"/>
      <c r="L1263" s="133"/>
    </row>
    <row r="1264" spans="1:14" x14ac:dyDescent="0.2">
      <c r="A1264" s="145"/>
      <c r="B1264" s="146"/>
      <c r="C1264" s="147"/>
      <c r="D1264" s="147"/>
      <c r="E1264" s="147"/>
      <c r="F1264" s="147"/>
      <c r="G1264" s="147"/>
      <c r="H1264" s="147"/>
      <c r="I1264" s="147"/>
      <c r="J1264" s="148"/>
      <c r="K1264" s="132"/>
      <c r="L1264" s="133"/>
    </row>
    <row r="1265" spans="1:12" x14ac:dyDescent="0.2">
      <c r="A1265" s="145"/>
      <c r="B1265" s="146"/>
      <c r="C1265" s="147"/>
      <c r="D1265" s="147"/>
      <c r="E1265" s="147"/>
      <c r="F1265" s="147"/>
      <c r="G1265" s="147"/>
      <c r="H1265" s="147"/>
      <c r="I1265" s="147"/>
      <c r="J1265" s="148"/>
      <c r="K1265" s="132"/>
      <c r="L1265" s="133"/>
    </row>
    <row r="1266" spans="1:12" x14ac:dyDescent="0.2">
      <c r="A1266" s="145"/>
      <c r="B1266" s="146"/>
      <c r="C1266" s="147"/>
      <c r="D1266" s="147"/>
      <c r="E1266" s="147"/>
      <c r="F1266" s="147"/>
      <c r="G1266" s="147"/>
      <c r="H1266" s="147"/>
      <c r="I1266" s="147"/>
      <c r="J1266" s="148"/>
      <c r="K1266" s="132"/>
      <c r="L1266" s="133"/>
    </row>
    <row r="1267" spans="1:12" x14ac:dyDescent="0.2">
      <c r="A1267" s="145"/>
      <c r="B1267" s="146"/>
      <c r="C1267" s="147"/>
      <c r="D1267" s="147"/>
      <c r="E1267" s="147"/>
      <c r="F1267" s="147"/>
      <c r="G1267" s="147"/>
      <c r="H1267" s="147"/>
      <c r="I1267" s="147"/>
      <c r="J1267" s="148"/>
      <c r="K1267" s="132"/>
      <c r="L1267" s="133"/>
    </row>
    <row r="1268" spans="1:12" x14ac:dyDescent="0.2">
      <c r="A1268" s="145"/>
      <c r="B1268" s="146"/>
      <c r="C1268" s="147"/>
      <c r="D1268" s="147"/>
      <c r="E1268" s="147"/>
      <c r="F1268" s="147"/>
      <c r="G1268" s="147"/>
      <c r="H1268" s="147"/>
      <c r="I1268" s="147"/>
      <c r="J1268" s="148"/>
      <c r="K1268" s="132"/>
      <c r="L1268" s="133"/>
    </row>
    <row r="1269" spans="1:12" x14ac:dyDescent="0.2">
      <c r="A1269" s="145"/>
      <c r="B1269" s="146"/>
      <c r="C1269" s="147"/>
      <c r="D1269" s="147"/>
      <c r="E1269" s="147"/>
      <c r="F1269" s="147"/>
      <c r="G1269" s="147"/>
      <c r="H1269" s="147"/>
      <c r="I1269" s="147"/>
      <c r="J1269" s="148"/>
      <c r="K1269" s="132"/>
      <c r="L1269" s="133"/>
    </row>
    <row r="1270" spans="1:12" x14ac:dyDescent="0.2">
      <c r="A1270" s="145"/>
      <c r="B1270" s="146"/>
      <c r="C1270" s="147"/>
      <c r="D1270" s="147"/>
      <c r="E1270" s="147"/>
      <c r="F1270" s="147"/>
      <c r="G1270" s="147"/>
      <c r="H1270" s="147"/>
      <c r="I1270" s="147"/>
      <c r="J1270" s="148"/>
      <c r="K1270" s="132"/>
      <c r="L1270" s="133"/>
    </row>
    <row r="1271" spans="1:12" x14ac:dyDescent="0.2">
      <c r="A1271" s="145"/>
      <c r="B1271" s="146"/>
      <c r="C1271" s="147"/>
      <c r="D1271" s="147"/>
      <c r="E1271" s="147"/>
      <c r="F1271" s="147"/>
      <c r="G1271" s="147"/>
      <c r="H1271" s="147"/>
      <c r="I1271" s="147"/>
      <c r="J1271" s="148"/>
      <c r="K1271" s="132"/>
      <c r="L1271" s="133"/>
    </row>
    <row r="1272" spans="1:12" x14ac:dyDescent="0.2">
      <c r="A1272" s="145"/>
      <c r="B1272" s="146"/>
      <c r="C1272" s="147"/>
      <c r="D1272" s="147"/>
      <c r="E1272" s="147"/>
      <c r="F1272" s="147"/>
      <c r="G1272" s="147"/>
      <c r="H1272" s="147"/>
      <c r="I1272" s="147"/>
      <c r="J1272" s="148"/>
      <c r="K1272" s="132"/>
      <c r="L1272" s="133"/>
    </row>
    <row r="1273" spans="1:12" x14ac:dyDescent="0.2">
      <c r="A1273" s="145"/>
      <c r="B1273" s="146"/>
      <c r="C1273" s="147"/>
      <c r="D1273" s="147"/>
      <c r="E1273" s="147"/>
      <c r="F1273" s="147"/>
      <c r="G1273" s="147"/>
      <c r="H1273" s="147"/>
      <c r="I1273" s="147"/>
      <c r="J1273" s="148"/>
      <c r="K1273" s="132"/>
      <c r="L1273" s="133"/>
    </row>
    <row r="1274" spans="1:12" x14ac:dyDescent="0.2">
      <c r="A1274" s="145"/>
      <c r="B1274" s="146"/>
      <c r="C1274" s="147"/>
      <c r="D1274" s="147"/>
      <c r="E1274" s="147"/>
      <c r="F1274" s="147"/>
      <c r="G1274" s="147"/>
      <c r="H1274" s="147"/>
      <c r="I1274" s="147"/>
      <c r="J1274" s="148"/>
      <c r="K1274" s="132"/>
      <c r="L1274" s="133"/>
    </row>
    <row r="1275" spans="1:12" x14ac:dyDescent="0.2">
      <c r="A1275" s="145"/>
      <c r="B1275" s="146"/>
      <c r="C1275" s="147"/>
      <c r="D1275" s="147"/>
      <c r="E1275" s="147"/>
      <c r="F1275" s="147"/>
      <c r="G1275" s="147"/>
      <c r="H1275" s="147"/>
      <c r="I1275" s="147"/>
      <c r="J1275" s="148"/>
      <c r="K1275" s="132"/>
      <c r="L1275" s="133"/>
    </row>
    <row r="1276" spans="1:12" ht="13.5" thickBot="1" x14ac:dyDescent="0.25">
      <c r="A1276" s="149"/>
      <c r="B1276" s="150"/>
      <c r="C1276" s="151"/>
      <c r="D1276" s="151"/>
      <c r="E1276" s="151"/>
      <c r="F1276" s="151"/>
      <c r="G1276" s="151"/>
      <c r="H1276" s="151"/>
      <c r="I1276" s="151"/>
      <c r="J1276" s="152"/>
      <c r="K1276" s="132"/>
      <c r="L1276" s="133"/>
    </row>
    <row r="1277" spans="1:12" ht="13.5" thickBot="1" x14ac:dyDescent="0.25">
      <c r="A1277" s="153"/>
      <c r="B1277" s="153"/>
      <c r="C1277" s="154"/>
      <c r="D1277" s="154"/>
      <c r="E1277" s="154"/>
      <c r="F1277" s="154"/>
      <c r="G1277" s="154"/>
      <c r="H1277" s="154"/>
      <c r="I1277" s="154"/>
      <c r="J1277" s="153"/>
      <c r="K1277" s="132"/>
      <c r="L1277" s="133"/>
    </row>
    <row r="1278" spans="1:12" ht="13.5" thickBot="1" x14ac:dyDescent="0.25">
      <c r="A1278" s="614" t="s">
        <v>62</v>
      </c>
      <c r="B1278" s="648"/>
      <c r="C1278" s="648"/>
      <c r="D1278" s="648"/>
      <c r="E1278" s="648"/>
      <c r="F1278" s="648"/>
      <c r="G1278" s="648"/>
      <c r="H1278" s="648"/>
      <c r="I1278" s="648"/>
      <c r="J1278" s="649"/>
      <c r="K1278" s="132"/>
      <c r="L1278" s="133"/>
    </row>
    <row r="1279" spans="1:12" x14ac:dyDescent="0.2">
      <c r="A1279" s="136"/>
      <c r="B1279" s="155"/>
      <c r="C1279" s="156"/>
      <c r="D1279" s="156"/>
      <c r="E1279" s="156"/>
      <c r="F1279" s="156"/>
      <c r="G1279" s="156"/>
      <c r="H1279" s="156"/>
      <c r="I1279" s="156"/>
      <c r="J1279" s="157"/>
      <c r="K1279" s="132"/>
      <c r="L1279" s="133"/>
    </row>
    <row r="1280" spans="1:12" ht="12.75" customHeight="1" x14ac:dyDescent="0.2">
      <c r="A1280" s="158" t="s">
        <v>63</v>
      </c>
      <c r="B1280" s="55"/>
      <c r="C1280" s="652" t="s">
        <v>660</v>
      </c>
      <c r="D1280" s="652"/>
      <c r="E1280" s="652"/>
      <c r="F1280" s="652"/>
      <c r="G1280" s="652"/>
      <c r="H1280" s="652"/>
      <c r="I1280" s="652"/>
      <c r="J1280" s="653"/>
      <c r="K1280" s="132"/>
      <c r="L1280" s="132" t="s">
        <v>662</v>
      </c>
    </row>
    <row r="1281" spans="1:12" x14ac:dyDescent="0.2">
      <c r="A1281" s="158"/>
      <c r="B1281" s="55"/>
      <c r="C1281" s="652"/>
      <c r="D1281" s="652"/>
      <c r="E1281" s="652"/>
      <c r="F1281" s="652"/>
      <c r="G1281" s="652"/>
      <c r="H1281" s="652"/>
      <c r="I1281" s="652"/>
      <c r="J1281" s="653"/>
      <c r="K1281" s="132"/>
      <c r="L1281" s="133"/>
    </row>
    <row r="1282" spans="1:12" x14ac:dyDescent="0.2">
      <c r="A1282" s="158"/>
      <c r="B1282" s="55"/>
      <c r="C1282" s="652"/>
      <c r="D1282" s="652"/>
      <c r="E1282" s="652"/>
      <c r="F1282" s="652"/>
      <c r="G1282" s="652"/>
      <c r="H1282" s="652"/>
      <c r="I1282" s="652"/>
      <c r="J1282" s="653"/>
      <c r="K1282" s="132"/>
      <c r="L1282" s="133"/>
    </row>
    <row r="1283" spans="1:12" x14ac:dyDescent="0.2">
      <c r="A1283" s="158"/>
      <c r="B1283" s="55"/>
      <c r="C1283" s="652"/>
      <c r="D1283" s="652"/>
      <c r="E1283" s="652"/>
      <c r="F1283" s="652"/>
      <c r="G1283" s="652"/>
      <c r="H1283" s="652"/>
      <c r="I1283" s="652"/>
      <c r="J1283" s="653"/>
      <c r="K1283" s="132"/>
      <c r="L1283" s="133"/>
    </row>
    <row r="1284" spans="1:12" x14ac:dyDescent="0.2">
      <c r="A1284" s="598"/>
      <c r="B1284" s="638"/>
      <c r="C1284" s="652"/>
      <c r="D1284" s="652"/>
      <c r="E1284" s="652"/>
      <c r="F1284" s="652"/>
      <c r="G1284" s="652"/>
      <c r="H1284" s="652"/>
      <c r="I1284" s="652"/>
      <c r="J1284" s="653"/>
      <c r="K1284" s="132"/>
      <c r="L1284" s="133"/>
    </row>
    <row r="1285" spans="1:12" x14ac:dyDescent="0.2">
      <c r="A1285" s="158"/>
      <c r="B1285" s="55"/>
      <c r="C1285" s="652"/>
      <c r="D1285" s="652"/>
      <c r="E1285" s="652"/>
      <c r="F1285" s="652"/>
      <c r="G1285" s="652"/>
      <c r="H1285" s="652"/>
      <c r="I1285" s="652"/>
      <c r="J1285" s="653"/>
      <c r="K1285" s="132"/>
      <c r="L1285" s="133"/>
    </row>
    <row r="1286" spans="1:12" x14ac:dyDescent="0.2">
      <c r="A1286" s="158"/>
      <c r="B1286" s="55"/>
      <c r="C1286" s="71"/>
      <c r="D1286" s="71"/>
      <c r="E1286" s="71"/>
      <c r="F1286" s="71"/>
      <c r="G1286" s="71"/>
      <c r="H1286" s="71"/>
      <c r="I1286" s="71"/>
      <c r="J1286" s="174"/>
      <c r="K1286" s="132"/>
      <c r="L1286" s="133"/>
    </row>
    <row r="1287" spans="1:12" x14ac:dyDescent="0.2">
      <c r="A1287" s="598" t="s">
        <v>64</v>
      </c>
      <c r="B1287" s="638"/>
      <c r="C1287" s="662" t="s">
        <v>661</v>
      </c>
      <c r="D1287" s="662"/>
      <c r="E1287" s="662"/>
      <c r="F1287" s="662"/>
      <c r="G1287" s="662"/>
      <c r="H1287" s="662"/>
      <c r="I1287" s="662"/>
      <c r="J1287" s="663"/>
      <c r="K1287" s="132"/>
      <c r="L1287" s="133"/>
    </row>
    <row r="1288" spans="1:12" x14ac:dyDescent="0.2">
      <c r="A1288" s="158"/>
      <c r="B1288" s="55"/>
      <c r="C1288" s="71"/>
      <c r="D1288" s="71"/>
      <c r="E1288" s="71"/>
      <c r="F1288" s="71"/>
      <c r="G1288" s="71"/>
      <c r="H1288" s="71"/>
      <c r="I1288" s="71"/>
      <c r="J1288" s="174"/>
      <c r="K1288" s="132"/>
      <c r="L1288" s="133"/>
    </row>
    <row r="1289" spans="1:12" x14ac:dyDescent="0.2">
      <c r="A1289" s="158"/>
      <c r="B1289" s="55"/>
      <c r="C1289" s="71"/>
      <c r="D1289" s="71"/>
      <c r="E1289" s="71"/>
      <c r="F1289" s="71"/>
      <c r="G1289" s="71"/>
      <c r="H1289" s="71"/>
      <c r="I1289" s="71"/>
      <c r="J1289" s="174"/>
      <c r="K1289" s="132"/>
      <c r="L1289" s="133"/>
    </row>
    <row r="1290" spans="1:12" x14ac:dyDescent="0.2">
      <c r="A1290" s="158"/>
      <c r="B1290" s="55"/>
      <c r="C1290" s="71"/>
      <c r="D1290" s="71"/>
      <c r="E1290" s="71"/>
      <c r="F1290" s="71"/>
      <c r="G1290" s="71"/>
      <c r="H1290" s="71"/>
      <c r="I1290" s="71"/>
      <c r="J1290" s="174"/>
      <c r="K1290" s="132"/>
      <c r="L1290" s="133"/>
    </row>
    <row r="1291" spans="1:12" x14ac:dyDescent="0.2">
      <c r="C1291" s="159"/>
      <c r="D1291" s="159"/>
      <c r="E1291" s="159"/>
      <c r="F1291" s="159"/>
      <c r="G1291" s="159"/>
      <c r="H1291" s="159"/>
      <c r="I1291" s="159"/>
      <c r="J1291" s="160"/>
      <c r="K1291" s="132"/>
      <c r="L1291" s="133"/>
    </row>
    <row r="1292" spans="1:12" x14ac:dyDescent="0.2">
      <c r="A1292" s="158"/>
      <c r="B1292" s="55"/>
      <c r="C1292" s="159"/>
      <c r="D1292" s="159"/>
      <c r="E1292" s="159"/>
      <c r="F1292" s="159"/>
      <c r="G1292" s="159"/>
      <c r="H1292" s="159"/>
      <c r="I1292" s="159"/>
      <c r="J1292" s="160"/>
      <c r="K1292" s="132"/>
      <c r="L1292" s="133"/>
    </row>
    <row r="1293" spans="1:12" x14ac:dyDescent="0.2">
      <c r="A1293" s="158"/>
      <c r="B1293" s="55"/>
      <c r="C1293" s="71"/>
      <c r="D1293" s="71"/>
      <c r="E1293" s="71"/>
      <c r="F1293" s="71"/>
      <c r="G1293" s="71"/>
      <c r="H1293" s="71"/>
      <c r="I1293" s="71"/>
      <c r="J1293" s="174"/>
      <c r="K1293" s="132"/>
      <c r="L1293" s="133"/>
    </row>
    <row r="1294" spans="1:12" x14ac:dyDescent="0.2">
      <c r="A1294" s="158"/>
      <c r="B1294" s="55"/>
      <c r="C1294" s="71"/>
      <c r="D1294" s="71"/>
      <c r="E1294" s="71"/>
      <c r="F1294" s="71"/>
      <c r="G1294" s="71"/>
      <c r="H1294" s="71"/>
      <c r="I1294" s="71"/>
      <c r="J1294" s="174"/>
      <c r="K1294" s="132"/>
      <c r="L1294" s="133"/>
    </row>
    <row r="1295" spans="1:12" x14ac:dyDescent="0.2">
      <c r="A1295" s="158"/>
      <c r="B1295" s="55"/>
      <c r="C1295" s="71"/>
      <c r="D1295" s="71"/>
      <c r="E1295" s="71"/>
      <c r="F1295" s="71"/>
      <c r="G1295" s="71"/>
      <c r="H1295" s="71"/>
      <c r="I1295" s="71"/>
      <c r="J1295" s="174"/>
      <c r="K1295" s="132"/>
      <c r="L1295" s="133"/>
    </row>
    <row r="1296" spans="1:12" x14ac:dyDescent="0.2">
      <c r="A1296" s="158"/>
      <c r="B1296" s="55"/>
      <c r="C1296" s="71"/>
      <c r="D1296" s="71"/>
      <c r="E1296" s="71"/>
      <c r="F1296" s="71"/>
      <c r="G1296" s="71"/>
      <c r="H1296" s="71"/>
      <c r="I1296" s="71"/>
      <c r="J1296" s="174"/>
      <c r="K1296" s="132"/>
      <c r="L1296" s="133"/>
    </row>
    <row r="1297" spans="1:14" x14ac:dyDescent="0.2">
      <c r="A1297" s="158"/>
      <c r="B1297" s="55"/>
      <c r="C1297" s="71"/>
      <c r="D1297" s="71"/>
      <c r="E1297" s="71"/>
      <c r="F1297" s="71"/>
      <c r="G1297" s="71"/>
      <c r="H1297" s="71"/>
      <c r="I1297" s="71"/>
      <c r="J1297" s="174"/>
      <c r="K1297" s="132"/>
      <c r="L1297" s="133"/>
    </row>
    <row r="1298" spans="1:14" x14ac:dyDescent="0.2">
      <c r="A1298" s="158"/>
      <c r="B1298" s="55"/>
      <c r="C1298" s="175"/>
      <c r="D1298" s="175"/>
      <c r="E1298" s="172"/>
      <c r="F1298" s="172"/>
      <c r="G1298" s="172"/>
      <c r="H1298" s="172"/>
      <c r="I1298" s="172"/>
      <c r="J1298" s="173"/>
      <c r="K1298" s="132"/>
      <c r="L1298" s="133"/>
    </row>
    <row r="1299" spans="1:14" x14ac:dyDescent="0.2">
      <c r="A1299" s="158"/>
      <c r="B1299" s="55"/>
      <c r="C1299" s="175"/>
      <c r="D1299" s="175"/>
      <c r="E1299" s="172"/>
      <c r="F1299" s="172"/>
      <c r="G1299" s="172"/>
      <c r="H1299" s="172"/>
      <c r="I1299" s="172"/>
      <c r="J1299" s="173"/>
      <c r="K1299" s="132"/>
      <c r="L1299" s="133"/>
    </row>
    <row r="1300" spans="1:14" x14ac:dyDescent="0.2">
      <c r="A1300" s="158"/>
      <c r="B1300" s="55"/>
      <c r="C1300" s="175"/>
      <c r="D1300" s="175"/>
      <c r="E1300" s="172"/>
      <c r="F1300" s="172"/>
      <c r="G1300" s="172"/>
      <c r="H1300" s="172"/>
      <c r="I1300" s="172"/>
      <c r="J1300" s="173"/>
      <c r="K1300" s="132"/>
      <c r="L1300" s="133"/>
    </row>
    <row r="1301" spans="1:14" x14ac:dyDescent="0.2">
      <c r="A1301" s="158"/>
      <c r="B1301" s="55"/>
      <c r="C1301" s="175"/>
      <c r="D1301" s="175"/>
      <c r="E1301" s="175"/>
      <c r="F1301" s="175"/>
      <c r="G1301" s="175"/>
      <c r="H1301" s="175"/>
      <c r="I1301" s="175"/>
      <c r="J1301" s="176"/>
      <c r="K1301" s="132"/>
      <c r="L1301" s="133"/>
    </row>
    <row r="1302" spans="1:14" ht="13.5" thickBot="1" x14ac:dyDescent="0.25">
      <c r="A1302" s="149"/>
      <c r="B1302" s="167"/>
      <c r="C1302" s="151"/>
      <c r="D1302" s="151"/>
      <c r="E1302" s="151"/>
      <c r="F1302" s="151"/>
      <c r="G1302" s="151"/>
      <c r="H1302" s="151"/>
      <c r="I1302" s="151"/>
      <c r="J1302" s="168"/>
      <c r="K1302" s="132"/>
      <c r="L1302" s="133"/>
    </row>
    <row r="1303" spans="1:14" ht="15.75" x14ac:dyDescent="0.2">
      <c r="A1303" s="602" t="s">
        <v>4</v>
      </c>
      <c r="B1303" s="603"/>
      <c r="C1303" s="603" t="str">
        <f>'A IV.A'!$B$43</f>
        <v>FECHAMENTOS, PROTEÇÕES E ALVENARIAS EM GERAL</v>
      </c>
      <c r="D1303" s="603"/>
      <c r="E1303" s="603"/>
      <c r="F1303" s="603"/>
      <c r="G1303" s="603"/>
      <c r="H1303" s="603"/>
      <c r="I1303" s="603"/>
      <c r="J1303" s="604"/>
      <c r="K1303" s="132"/>
      <c r="L1303" s="133"/>
    </row>
    <row r="1304" spans="1:14" x14ac:dyDescent="0.2">
      <c r="A1304" s="609" t="str">
        <f>'A IV.A'!$A$43</f>
        <v>3.0</v>
      </c>
      <c r="B1304" s="610"/>
      <c r="C1304" s="605"/>
      <c r="D1304" s="605"/>
      <c r="E1304" s="605"/>
      <c r="F1304" s="605"/>
      <c r="G1304" s="605"/>
      <c r="H1304" s="605"/>
      <c r="I1304" s="605"/>
      <c r="J1304" s="606"/>
      <c r="K1304" s="132"/>
      <c r="L1304" s="133"/>
    </row>
    <row r="1305" spans="1:14" ht="13.5" thickBot="1" x14ac:dyDescent="0.25">
      <c r="A1305" s="611"/>
      <c r="B1305" s="612"/>
      <c r="C1305" s="607"/>
      <c r="D1305" s="607"/>
      <c r="E1305" s="607"/>
      <c r="F1305" s="607"/>
      <c r="G1305" s="607"/>
      <c r="H1305" s="607"/>
      <c r="I1305" s="607"/>
      <c r="J1305" s="608"/>
      <c r="K1305" s="132"/>
      <c r="L1305" s="133"/>
    </row>
    <row r="1306" spans="1:14" ht="13.5" thickBot="1" x14ac:dyDescent="0.25">
      <c r="A1306" s="169"/>
      <c r="B1306" s="169"/>
      <c r="C1306" s="613"/>
      <c r="D1306" s="613"/>
      <c r="E1306" s="613"/>
      <c r="F1306" s="613"/>
      <c r="G1306" s="613"/>
      <c r="H1306" s="613"/>
      <c r="I1306" s="613"/>
      <c r="J1306" s="169"/>
      <c r="K1306" s="132"/>
      <c r="L1306" s="133"/>
    </row>
    <row r="1307" spans="1:14" ht="13.5" thickBot="1" x14ac:dyDescent="0.25">
      <c r="A1307" s="632" t="s">
        <v>60</v>
      </c>
      <c r="B1307" s="633"/>
      <c r="C1307" s="656" t="s">
        <v>61</v>
      </c>
      <c r="D1307" s="656"/>
      <c r="E1307" s="656"/>
      <c r="F1307" s="656"/>
      <c r="G1307" s="656"/>
      <c r="H1307" s="656"/>
      <c r="I1307" s="656"/>
      <c r="J1307" s="260" t="s">
        <v>0</v>
      </c>
      <c r="K1307" s="132"/>
      <c r="L1307" s="133"/>
    </row>
    <row r="1308" spans="1:14" x14ac:dyDescent="0.2">
      <c r="A1308" s="136"/>
      <c r="B1308" s="137"/>
      <c r="C1308" s="619"/>
      <c r="D1308" s="620"/>
      <c r="E1308" s="621"/>
      <c r="F1308" s="621"/>
      <c r="G1308" s="621"/>
      <c r="H1308" s="621"/>
      <c r="I1308" s="622"/>
      <c r="J1308" s="138"/>
      <c r="K1308" s="132"/>
      <c r="L1308" s="133"/>
    </row>
    <row r="1309" spans="1:14" x14ac:dyDescent="0.2">
      <c r="A1309" s="623" t="str">
        <f>'A IV.A'!A52</f>
        <v>3.2.3</v>
      </c>
      <c r="B1309" s="624"/>
      <c r="C1309" s="626" t="str">
        <f>'A IV.A'!B52</f>
        <v>RECOLOCAÇÃO DE ESQUADRIAS METÁLICAS NO GERAL</v>
      </c>
      <c r="D1309" s="627"/>
      <c r="E1309" s="627"/>
      <c r="F1309" s="627"/>
      <c r="G1309" s="627"/>
      <c r="H1309" s="627"/>
      <c r="I1309" s="628"/>
      <c r="J1309" s="629" t="str">
        <f>'A IV.A'!C52</f>
        <v>M2</v>
      </c>
      <c r="K1309" s="630" t="str">
        <f>VLOOKUP(A1309,'A IV.A'!$A$14:$M$233,2,FALSE)</f>
        <v>RECOLOCAÇÃO DE ESQUADRIAS METÁLICAS NO GERAL</v>
      </c>
      <c r="L1309" s="631" t="str">
        <f>IF(C1309=K1309,"sim","nao")</f>
        <v>sim</v>
      </c>
      <c r="M1309" s="631" t="str">
        <f>VLOOKUP(A1309,'A IV.A'!$A$14:$M$233,3,FALSE)</f>
        <v>M2</v>
      </c>
      <c r="N1309" s="631" t="str">
        <f>IF(J1309=M1309,"sim","nao")</f>
        <v>sim</v>
      </c>
    </row>
    <row r="1310" spans="1:14" x14ac:dyDescent="0.2">
      <c r="A1310" s="625"/>
      <c r="B1310" s="624"/>
      <c r="C1310" s="626"/>
      <c r="D1310" s="627"/>
      <c r="E1310" s="627"/>
      <c r="F1310" s="627"/>
      <c r="G1310" s="627"/>
      <c r="H1310" s="627"/>
      <c r="I1310" s="628"/>
      <c r="J1310" s="629"/>
      <c r="K1310" s="630"/>
      <c r="L1310" s="631"/>
      <c r="M1310" s="631"/>
      <c r="N1310" s="631"/>
    </row>
    <row r="1311" spans="1:14" x14ac:dyDescent="0.2">
      <c r="A1311" s="139"/>
      <c r="B1311" s="140"/>
      <c r="C1311" s="141"/>
      <c r="D1311" s="142"/>
      <c r="E1311" s="142"/>
      <c r="F1311" s="142"/>
      <c r="G1311" s="142"/>
      <c r="H1311" s="142"/>
      <c r="I1311" s="143"/>
      <c r="J1311" s="144"/>
      <c r="K1311" s="132"/>
      <c r="L1311" s="133"/>
    </row>
    <row r="1312" spans="1:14" x14ac:dyDescent="0.2">
      <c r="A1312" s="158"/>
      <c r="B1312" s="188"/>
      <c r="C1312" s="189"/>
      <c r="D1312" s="165"/>
      <c r="E1312" s="165"/>
      <c r="F1312" s="165"/>
      <c r="G1312" s="165"/>
      <c r="H1312" s="165"/>
      <c r="I1312" s="190"/>
      <c r="J1312" s="191"/>
      <c r="K1312" s="192"/>
      <c r="L1312" s="55"/>
      <c r="M1312" s="55"/>
      <c r="N1312" s="55"/>
    </row>
    <row r="1313" spans="1:14" x14ac:dyDescent="0.2">
      <c r="A1313" s="158"/>
      <c r="B1313" s="188"/>
      <c r="C1313" s="189"/>
      <c r="D1313" s="165"/>
      <c r="E1313" s="165"/>
      <c r="F1313" s="165"/>
      <c r="G1313" s="165"/>
      <c r="H1313" s="165"/>
      <c r="I1313" s="190"/>
      <c r="J1313" s="191"/>
      <c r="K1313" s="192"/>
      <c r="L1313" s="55"/>
      <c r="M1313" s="55"/>
      <c r="N1313" s="55"/>
    </row>
    <row r="1314" spans="1:14" x14ac:dyDescent="0.2">
      <c r="A1314" s="145"/>
      <c r="B1314" s="146"/>
      <c r="C1314" s="147"/>
      <c r="D1314" s="147"/>
      <c r="E1314" s="147"/>
      <c r="F1314" s="147"/>
      <c r="G1314" s="147"/>
      <c r="H1314" s="147"/>
      <c r="I1314" s="147"/>
      <c r="J1314" s="148"/>
      <c r="K1314" s="132"/>
      <c r="L1314" s="133"/>
    </row>
    <row r="1315" spans="1:14" x14ac:dyDescent="0.2">
      <c r="A1315" s="158"/>
      <c r="B1315" s="188"/>
      <c r="C1315" s="189"/>
      <c r="D1315" s="165"/>
      <c r="E1315" s="165"/>
      <c r="F1315" s="165"/>
      <c r="G1315" s="165"/>
      <c r="H1315" s="165"/>
      <c r="I1315" s="190"/>
      <c r="J1315" s="191"/>
      <c r="K1315" s="630"/>
      <c r="L1315" s="631"/>
      <c r="M1315" s="631"/>
      <c r="N1315" s="631"/>
    </row>
    <row r="1316" spans="1:14" x14ac:dyDescent="0.2">
      <c r="A1316" s="158"/>
      <c r="B1316" s="188"/>
      <c r="C1316" s="189"/>
      <c r="D1316" s="165"/>
      <c r="E1316" s="165"/>
      <c r="F1316" s="165"/>
      <c r="G1316" s="165"/>
      <c r="H1316" s="165"/>
      <c r="I1316" s="190"/>
      <c r="J1316" s="191"/>
      <c r="K1316" s="630"/>
      <c r="L1316" s="631"/>
      <c r="M1316" s="631"/>
      <c r="N1316" s="631"/>
    </row>
    <row r="1317" spans="1:14" x14ac:dyDescent="0.2">
      <c r="A1317" s="145"/>
      <c r="B1317" s="146"/>
      <c r="C1317" s="147"/>
      <c r="D1317" s="147"/>
      <c r="E1317" s="147"/>
      <c r="F1317" s="147"/>
      <c r="G1317" s="147"/>
      <c r="H1317" s="147"/>
      <c r="I1317" s="147"/>
      <c r="J1317" s="148"/>
      <c r="K1317" s="132"/>
      <c r="L1317" s="133"/>
    </row>
    <row r="1318" spans="1:14" x14ac:dyDescent="0.2">
      <c r="A1318" s="145"/>
      <c r="B1318" s="146"/>
      <c r="C1318" s="147"/>
      <c r="D1318" s="147"/>
      <c r="E1318" s="147"/>
      <c r="F1318" s="147"/>
      <c r="G1318" s="147"/>
      <c r="H1318" s="147"/>
      <c r="I1318" s="147"/>
      <c r="J1318" s="148"/>
      <c r="K1318" s="132"/>
      <c r="L1318" s="133"/>
    </row>
    <row r="1319" spans="1:14" x14ac:dyDescent="0.2">
      <c r="A1319" s="145"/>
      <c r="B1319" s="146"/>
      <c r="C1319" s="147"/>
      <c r="D1319" s="147"/>
      <c r="E1319" s="147"/>
      <c r="F1319" s="147"/>
      <c r="G1319" s="147"/>
      <c r="H1319" s="147"/>
      <c r="I1319" s="147"/>
      <c r="J1319" s="148"/>
      <c r="K1319" s="132"/>
      <c r="L1319" s="133"/>
    </row>
    <row r="1320" spans="1:14" x14ac:dyDescent="0.2">
      <c r="A1320" s="145"/>
      <c r="B1320" s="146"/>
      <c r="C1320" s="147"/>
      <c r="D1320" s="147"/>
      <c r="E1320" s="147"/>
      <c r="F1320" s="147"/>
      <c r="G1320" s="147"/>
      <c r="H1320" s="147"/>
      <c r="I1320" s="147"/>
      <c r="J1320" s="148"/>
      <c r="K1320" s="132"/>
      <c r="L1320" s="133"/>
    </row>
    <row r="1321" spans="1:14" x14ac:dyDescent="0.2">
      <c r="A1321" s="145"/>
      <c r="B1321" s="146"/>
      <c r="C1321" s="147"/>
      <c r="D1321" s="147"/>
      <c r="E1321" s="147"/>
      <c r="F1321" s="147"/>
      <c r="G1321" s="147"/>
      <c r="H1321" s="147"/>
      <c r="I1321" s="147"/>
      <c r="J1321" s="148"/>
      <c r="K1321" s="132"/>
      <c r="L1321" s="133"/>
    </row>
    <row r="1322" spans="1:14" x14ac:dyDescent="0.2">
      <c r="A1322" s="145"/>
      <c r="B1322" s="146"/>
      <c r="C1322" s="147"/>
      <c r="D1322" s="147"/>
      <c r="E1322" s="147"/>
      <c r="F1322" s="147"/>
      <c r="G1322" s="147"/>
      <c r="H1322" s="147"/>
      <c r="I1322" s="147"/>
      <c r="J1322" s="148"/>
      <c r="K1322" s="132"/>
      <c r="L1322" s="133"/>
    </row>
    <row r="1323" spans="1:14" x14ac:dyDescent="0.2">
      <c r="A1323" s="145"/>
      <c r="B1323" s="146"/>
      <c r="C1323" s="147"/>
      <c r="D1323" s="147"/>
      <c r="E1323" s="147"/>
      <c r="F1323" s="147"/>
      <c r="G1323" s="147"/>
      <c r="H1323" s="147"/>
      <c r="I1323" s="147"/>
      <c r="J1323" s="148"/>
      <c r="K1323" s="132"/>
      <c r="L1323" s="133"/>
    </row>
    <row r="1324" spans="1:14" x14ac:dyDescent="0.2">
      <c r="A1324" s="145"/>
      <c r="B1324" s="146"/>
      <c r="C1324" s="147"/>
      <c r="D1324" s="147"/>
      <c r="E1324" s="147"/>
      <c r="F1324" s="147"/>
      <c r="G1324" s="147"/>
      <c r="H1324" s="147"/>
      <c r="I1324" s="147"/>
      <c r="J1324" s="148"/>
      <c r="K1324" s="132"/>
      <c r="L1324" s="133"/>
    </row>
    <row r="1325" spans="1:14" x14ac:dyDescent="0.2">
      <c r="A1325" s="145"/>
      <c r="B1325" s="146"/>
      <c r="C1325" s="147"/>
      <c r="D1325" s="147"/>
      <c r="E1325" s="147"/>
      <c r="F1325" s="147"/>
      <c r="G1325" s="147"/>
      <c r="H1325" s="147"/>
      <c r="I1325" s="147"/>
      <c r="J1325" s="148"/>
      <c r="K1325" s="132"/>
      <c r="L1325" s="133"/>
    </row>
    <row r="1326" spans="1:14" x14ac:dyDescent="0.2">
      <c r="A1326" s="145"/>
      <c r="B1326" s="146"/>
      <c r="C1326" s="147"/>
      <c r="D1326" s="147"/>
      <c r="E1326" s="147"/>
      <c r="F1326" s="147"/>
      <c r="G1326" s="147"/>
      <c r="H1326" s="147"/>
      <c r="I1326" s="147"/>
      <c r="J1326" s="148"/>
      <c r="K1326" s="132"/>
      <c r="L1326" s="133"/>
    </row>
    <row r="1327" spans="1:14" x14ac:dyDescent="0.2">
      <c r="A1327" s="145"/>
      <c r="B1327" s="146"/>
      <c r="C1327" s="147"/>
      <c r="D1327" s="147"/>
      <c r="E1327" s="147"/>
      <c r="F1327" s="147"/>
      <c r="G1327" s="147"/>
      <c r="H1327" s="147"/>
      <c r="I1327" s="147"/>
      <c r="J1327" s="148"/>
      <c r="K1327" s="132"/>
      <c r="L1327" s="133"/>
    </row>
    <row r="1328" spans="1:14" x14ac:dyDescent="0.2">
      <c r="A1328" s="145"/>
      <c r="B1328" s="146"/>
      <c r="C1328" s="147"/>
      <c r="D1328" s="147"/>
      <c r="E1328" s="147"/>
      <c r="F1328" s="147"/>
      <c r="G1328" s="147"/>
      <c r="H1328" s="147"/>
      <c r="I1328" s="147"/>
      <c r="J1328" s="148"/>
      <c r="K1328" s="132"/>
      <c r="L1328" s="133"/>
    </row>
    <row r="1329" spans="1:12" x14ac:dyDescent="0.2">
      <c r="A1329" s="145"/>
      <c r="B1329" s="146"/>
      <c r="C1329" s="147"/>
      <c r="D1329" s="147"/>
      <c r="E1329" s="147"/>
      <c r="F1329" s="147"/>
      <c r="G1329" s="147"/>
      <c r="H1329" s="147"/>
      <c r="I1329" s="147"/>
      <c r="J1329" s="148"/>
      <c r="K1329" s="132"/>
      <c r="L1329" s="133"/>
    </row>
    <row r="1330" spans="1:12" ht="13.5" thickBot="1" x14ac:dyDescent="0.25">
      <c r="A1330" s="149"/>
      <c r="B1330" s="150"/>
      <c r="C1330" s="151"/>
      <c r="D1330" s="151"/>
      <c r="E1330" s="151"/>
      <c r="F1330" s="151"/>
      <c r="G1330" s="151"/>
      <c r="H1330" s="151"/>
      <c r="I1330" s="151"/>
      <c r="J1330" s="152"/>
      <c r="K1330" s="132"/>
      <c r="L1330" s="133"/>
    </row>
    <row r="1331" spans="1:12" ht="13.5" thickBot="1" x14ac:dyDescent="0.25">
      <c r="A1331" s="153"/>
      <c r="B1331" s="153"/>
      <c r="C1331" s="154"/>
      <c r="D1331" s="154"/>
      <c r="E1331" s="154"/>
      <c r="F1331" s="154"/>
      <c r="G1331" s="154"/>
      <c r="H1331" s="154"/>
      <c r="I1331" s="154"/>
      <c r="J1331" s="153"/>
      <c r="K1331" s="132"/>
      <c r="L1331" s="133"/>
    </row>
    <row r="1332" spans="1:12" ht="13.5" thickBot="1" x14ac:dyDescent="0.25">
      <c r="A1332" s="614" t="s">
        <v>62</v>
      </c>
      <c r="B1332" s="648"/>
      <c r="C1332" s="648"/>
      <c r="D1332" s="648"/>
      <c r="E1332" s="648"/>
      <c r="F1332" s="648"/>
      <c r="G1332" s="648"/>
      <c r="H1332" s="648"/>
      <c r="I1332" s="648"/>
      <c r="J1332" s="649"/>
      <c r="K1332" s="132"/>
      <c r="L1332" s="133"/>
    </row>
    <row r="1333" spans="1:12" x14ac:dyDescent="0.2">
      <c r="A1333" s="136"/>
      <c r="B1333" s="155"/>
      <c r="C1333" s="156"/>
      <c r="D1333" s="156"/>
      <c r="E1333" s="156"/>
      <c r="F1333" s="156"/>
      <c r="G1333" s="156"/>
      <c r="H1333" s="156"/>
      <c r="I1333" s="156"/>
      <c r="J1333" s="157"/>
      <c r="K1333" s="132"/>
      <c r="L1333" s="133"/>
    </row>
    <row r="1334" spans="1:12" ht="12.75" customHeight="1" x14ac:dyDescent="0.2">
      <c r="A1334" s="158" t="s">
        <v>63</v>
      </c>
      <c r="B1334" s="55"/>
      <c r="C1334" s="652" t="s">
        <v>684</v>
      </c>
      <c r="D1334" s="652"/>
      <c r="E1334" s="652"/>
      <c r="F1334" s="652"/>
      <c r="G1334" s="652"/>
      <c r="H1334" s="652"/>
      <c r="I1334" s="652"/>
      <c r="J1334" s="653"/>
      <c r="K1334" s="132"/>
      <c r="L1334" s="133"/>
    </row>
    <row r="1335" spans="1:12" x14ac:dyDescent="0.2">
      <c r="A1335" s="158"/>
      <c r="B1335" s="55"/>
      <c r="C1335" s="652"/>
      <c r="D1335" s="652"/>
      <c r="E1335" s="652"/>
      <c r="F1335" s="652"/>
      <c r="G1335" s="652"/>
      <c r="H1335" s="652"/>
      <c r="I1335" s="652"/>
      <c r="J1335" s="653"/>
      <c r="K1335" s="132"/>
      <c r="L1335" s="133"/>
    </row>
    <row r="1336" spans="1:12" x14ac:dyDescent="0.2">
      <c r="A1336" s="158"/>
      <c r="B1336" s="55"/>
      <c r="C1336" s="55"/>
      <c r="D1336" s="55"/>
      <c r="E1336" s="55"/>
      <c r="F1336" s="55"/>
      <c r="G1336" s="55"/>
      <c r="H1336" s="55"/>
      <c r="I1336" s="55"/>
      <c r="J1336" s="196"/>
      <c r="K1336" s="132"/>
      <c r="L1336" s="133"/>
    </row>
    <row r="1337" spans="1:12" x14ac:dyDescent="0.2">
      <c r="A1337" s="158" t="s">
        <v>64</v>
      </c>
      <c r="B1337" s="55"/>
      <c r="C1337" s="634" t="s">
        <v>685</v>
      </c>
      <c r="D1337" s="634"/>
      <c r="E1337" s="634"/>
      <c r="F1337" s="634"/>
      <c r="G1337" s="634"/>
      <c r="H1337" s="634"/>
      <c r="I1337" s="634"/>
      <c r="J1337" s="635"/>
      <c r="K1337" s="132"/>
      <c r="L1337" s="133"/>
    </row>
    <row r="1338" spans="1:12" x14ac:dyDescent="0.2">
      <c r="A1338" s="158"/>
      <c r="B1338" s="55"/>
      <c r="C1338" s="175"/>
      <c r="D1338" s="175"/>
      <c r="E1338" s="175"/>
      <c r="F1338" s="175"/>
      <c r="G1338" s="175"/>
      <c r="H1338" s="175"/>
      <c r="I1338" s="175"/>
      <c r="J1338" s="176"/>
      <c r="K1338" s="132"/>
      <c r="L1338" s="133"/>
    </row>
    <row r="1339" spans="1:12" x14ac:dyDescent="0.2">
      <c r="A1339" s="598"/>
      <c r="B1339" s="599"/>
      <c r="C1339" s="600"/>
      <c r="D1339" s="600"/>
      <c r="E1339" s="600"/>
      <c r="F1339" s="600"/>
      <c r="G1339" s="600"/>
      <c r="H1339" s="600"/>
      <c r="I1339" s="600"/>
      <c r="J1339" s="601"/>
      <c r="K1339" s="132"/>
      <c r="L1339" s="133"/>
    </row>
    <row r="1340" spans="1:12" x14ac:dyDescent="0.2">
      <c r="A1340" s="158"/>
      <c r="B1340" s="55"/>
      <c r="C1340" s="71"/>
      <c r="D1340" s="71"/>
      <c r="E1340" s="71"/>
      <c r="F1340" s="71"/>
      <c r="G1340" s="71"/>
      <c r="H1340" s="71"/>
      <c r="I1340" s="71"/>
      <c r="J1340" s="174"/>
      <c r="K1340" s="132"/>
      <c r="L1340" s="133"/>
    </row>
    <row r="1341" spans="1:12" x14ac:dyDescent="0.2">
      <c r="A1341" s="158"/>
      <c r="B1341" s="55"/>
      <c r="C1341" s="71"/>
      <c r="D1341" s="71"/>
      <c r="E1341" s="71"/>
      <c r="F1341" s="71"/>
      <c r="G1341" s="71"/>
      <c r="H1341" s="71"/>
      <c r="I1341" s="71"/>
      <c r="J1341" s="174"/>
      <c r="K1341" s="132"/>
      <c r="L1341" s="133"/>
    </row>
    <row r="1342" spans="1:12" x14ac:dyDescent="0.2">
      <c r="A1342" s="158"/>
      <c r="B1342" s="55"/>
      <c r="C1342" s="71"/>
      <c r="D1342" s="71"/>
      <c r="E1342" s="71"/>
      <c r="F1342" s="71"/>
      <c r="G1342" s="71"/>
      <c r="H1342" s="71"/>
      <c r="I1342" s="71"/>
      <c r="J1342" s="174"/>
      <c r="K1342" s="132"/>
      <c r="L1342" s="133"/>
    </row>
    <row r="1343" spans="1:12" x14ac:dyDescent="0.2">
      <c r="A1343" s="158"/>
      <c r="B1343" s="55"/>
      <c r="C1343" s="71"/>
      <c r="D1343" s="71"/>
      <c r="E1343" s="71"/>
      <c r="F1343" s="71"/>
      <c r="G1343" s="71"/>
      <c r="H1343" s="71"/>
      <c r="I1343" s="71"/>
      <c r="J1343" s="174"/>
      <c r="K1343" s="132"/>
      <c r="L1343" s="133"/>
    </row>
    <row r="1344" spans="1:12" x14ac:dyDescent="0.2">
      <c r="A1344" s="158"/>
      <c r="B1344" s="55"/>
      <c r="C1344" s="71"/>
      <c r="D1344" s="71"/>
      <c r="E1344" s="71"/>
      <c r="F1344" s="71"/>
      <c r="G1344" s="71"/>
      <c r="H1344" s="71"/>
      <c r="I1344" s="71"/>
      <c r="J1344" s="174"/>
      <c r="K1344" s="132"/>
      <c r="L1344" s="133"/>
    </row>
    <row r="1345" spans="1:12" x14ac:dyDescent="0.2">
      <c r="A1345" s="158"/>
      <c r="B1345" s="55"/>
      <c r="C1345" s="71"/>
      <c r="D1345" s="71"/>
      <c r="E1345" s="71"/>
      <c r="F1345" s="71"/>
      <c r="G1345" s="71"/>
      <c r="H1345" s="71"/>
      <c r="I1345" s="71"/>
      <c r="J1345" s="174"/>
      <c r="K1345" s="132"/>
      <c r="L1345" s="133"/>
    </row>
    <row r="1346" spans="1:12" x14ac:dyDescent="0.2">
      <c r="A1346" s="158"/>
      <c r="B1346" s="55"/>
      <c r="C1346" s="71"/>
      <c r="D1346" s="71"/>
      <c r="E1346" s="71"/>
      <c r="F1346" s="71"/>
      <c r="G1346" s="71"/>
      <c r="H1346" s="71"/>
      <c r="I1346" s="71"/>
      <c r="J1346" s="174"/>
      <c r="K1346" s="132"/>
      <c r="L1346" s="133"/>
    </row>
    <row r="1347" spans="1:12" x14ac:dyDescent="0.2">
      <c r="A1347" s="158"/>
      <c r="B1347" s="55"/>
      <c r="C1347" s="71"/>
      <c r="D1347" s="71"/>
      <c r="E1347" s="71"/>
      <c r="F1347" s="71"/>
      <c r="G1347" s="71"/>
      <c r="H1347" s="71"/>
      <c r="I1347" s="71"/>
      <c r="J1347" s="174"/>
      <c r="K1347" s="132"/>
      <c r="L1347" s="133"/>
    </row>
    <row r="1348" spans="1:12" x14ac:dyDescent="0.2">
      <c r="A1348" s="158"/>
      <c r="B1348" s="55"/>
      <c r="C1348" s="71"/>
      <c r="D1348" s="71"/>
      <c r="E1348" s="71"/>
      <c r="F1348" s="71"/>
      <c r="G1348" s="71"/>
      <c r="H1348" s="71"/>
      <c r="I1348" s="71"/>
      <c r="J1348" s="174"/>
      <c r="K1348" s="132"/>
      <c r="L1348" s="133"/>
    </row>
    <row r="1349" spans="1:12" x14ac:dyDescent="0.2">
      <c r="A1349" s="158"/>
      <c r="B1349" s="55"/>
      <c r="C1349" s="71"/>
      <c r="D1349" s="71"/>
      <c r="E1349" s="71"/>
      <c r="F1349" s="71"/>
      <c r="G1349" s="71"/>
      <c r="H1349" s="71"/>
      <c r="I1349" s="71"/>
      <c r="J1349" s="174"/>
      <c r="K1349" s="132"/>
      <c r="L1349" s="133"/>
    </row>
    <row r="1350" spans="1:12" x14ac:dyDescent="0.2">
      <c r="A1350" s="158"/>
      <c r="B1350" s="55"/>
      <c r="C1350" s="175"/>
      <c r="D1350" s="175"/>
      <c r="E1350" s="172"/>
      <c r="F1350" s="172"/>
      <c r="G1350" s="172"/>
      <c r="H1350" s="172"/>
      <c r="I1350" s="172"/>
      <c r="J1350" s="173"/>
      <c r="K1350" s="132"/>
      <c r="L1350" s="133"/>
    </row>
    <row r="1351" spans="1:12" x14ac:dyDescent="0.2">
      <c r="A1351" s="158"/>
      <c r="B1351" s="55"/>
      <c r="C1351" s="175"/>
      <c r="D1351" s="175"/>
      <c r="E1351" s="172"/>
      <c r="F1351" s="172"/>
      <c r="G1351" s="172"/>
      <c r="H1351" s="172"/>
      <c r="I1351" s="172"/>
      <c r="J1351" s="173"/>
      <c r="K1351" s="132"/>
      <c r="L1351" s="133"/>
    </row>
    <row r="1352" spans="1:12" x14ac:dyDescent="0.2">
      <c r="A1352" s="158"/>
      <c r="B1352" s="55"/>
      <c r="C1352" s="175"/>
      <c r="D1352" s="175"/>
      <c r="E1352" s="172"/>
      <c r="F1352" s="172"/>
      <c r="G1352" s="172"/>
      <c r="H1352" s="172"/>
      <c r="I1352" s="172"/>
      <c r="J1352" s="173"/>
      <c r="K1352" s="132"/>
      <c r="L1352" s="133"/>
    </row>
    <row r="1353" spans="1:12" x14ac:dyDescent="0.2">
      <c r="A1353" s="158"/>
      <c r="B1353" s="55"/>
      <c r="C1353" s="175"/>
      <c r="D1353" s="175"/>
      <c r="E1353" s="175"/>
      <c r="F1353" s="175"/>
      <c r="G1353" s="175"/>
      <c r="H1353" s="175"/>
      <c r="I1353" s="175"/>
      <c r="J1353" s="176"/>
      <c r="K1353" s="132"/>
      <c r="L1353" s="133"/>
    </row>
    <row r="1354" spans="1:12" x14ac:dyDescent="0.2">
      <c r="A1354" s="158"/>
      <c r="B1354" s="55"/>
      <c r="C1354" s="175"/>
      <c r="D1354" s="175"/>
      <c r="E1354" s="175"/>
      <c r="F1354" s="175"/>
      <c r="G1354" s="175"/>
      <c r="H1354" s="175"/>
      <c r="I1354" s="175"/>
      <c r="J1354" s="176"/>
      <c r="K1354" s="132"/>
      <c r="L1354" s="133"/>
    </row>
    <row r="1355" spans="1:12" x14ac:dyDescent="0.2">
      <c r="A1355" s="158"/>
      <c r="B1355" s="55"/>
      <c r="C1355" s="175"/>
      <c r="D1355" s="175"/>
      <c r="E1355" s="175"/>
      <c r="F1355" s="175"/>
      <c r="G1355" s="175"/>
      <c r="H1355" s="175"/>
      <c r="I1355" s="175"/>
      <c r="J1355" s="176"/>
      <c r="K1355" s="132"/>
      <c r="L1355" s="133"/>
    </row>
    <row r="1356" spans="1:12" ht="13.5" thickBot="1" x14ac:dyDescent="0.25">
      <c r="A1356" s="149"/>
      <c r="B1356" s="167"/>
      <c r="C1356" s="151"/>
      <c r="D1356" s="151"/>
      <c r="E1356" s="151"/>
      <c r="F1356" s="151"/>
      <c r="G1356" s="151"/>
      <c r="H1356" s="151"/>
      <c r="I1356" s="151"/>
      <c r="J1356" s="168"/>
      <c r="K1356" s="132"/>
      <c r="L1356" s="133"/>
    </row>
    <row r="1357" spans="1:12" ht="15.75" x14ac:dyDescent="0.2">
      <c r="A1357" s="602" t="s">
        <v>4</v>
      </c>
      <c r="B1357" s="603"/>
      <c r="C1357" s="603" t="str">
        <f>'A IV.A'!$B$43</f>
        <v>FECHAMENTOS, PROTEÇÕES E ALVENARIAS EM GERAL</v>
      </c>
      <c r="D1357" s="603"/>
      <c r="E1357" s="603"/>
      <c r="F1357" s="603"/>
      <c r="G1357" s="603"/>
      <c r="H1357" s="603"/>
      <c r="I1357" s="603"/>
      <c r="J1357" s="604"/>
      <c r="K1357" s="132"/>
      <c r="L1357" s="133"/>
    </row>
    <row r="1358" spans="1:12" x14ac:dyDescent="0.2">
      <c r="A1358" s="609" t="str">
        <f>'A IV.A'!$A$43</f>
        <v>3.0</v>
      </c>
      <c r="B1358" s="610"/>
      <c r="C1358" s="605"/>
      <c r="D1358" s="605"/>
      <c r="E1358" s="605"/>
      <c r="F1358" s="605"/>
      <c r="G1358" s="605"/>
      <c r="H1358" s="605"/>
      <c r="I1358" s="605"/>
      <c r="J1358" s="606"/>
      <c r="K1358" s="132"/>
      <c r="L1358" s="133"/>
    </row>
    <row r="1359" spans="1:12" ht="13.5" thickBot="1" x14ac:dyDescent="0.25">
      <c r="A1359" s="611"/>
      <c r="B1359" s="612"/>
      <c r="C1359" s="607"/>
      <c r="D1359" s="607"/>
      <c r="E1359" s="607"/>
      <c r="F1359" s="607"/>
      <c r="G1359" s="607"/>
      <c r="H1359" s="607"/>
      <c r="I1359" s="607"/>
      <c r="J1359" s="608"/>
      <c r="K1359" s="132"/>
      <c r="L1359" s="133"/>
    </row>
    <row r="1360" spans="1:12" ht="13.5" thickBot="1" x14ac:dyDescent="0.25">
      <c r="A1360" s="169"/>
      <c r="B1360" s="169"/>
      <c r="C1360" s="613"/>
      <c r="D1360" s="613"/>
      <c r="E1360" s="613"/>
      <c r="F1360" s="613"/>
      <c r="G1360" s="613"/>
      <c r="H1360" s="613"/>
      <c r="I1360" s="613"/>
      <c r="J1360" s="169"/>
      <c r="K1360" s="132"/>
      <c r="L1360" s="133"/>
    </row>
    <row r="1361" spans="1:14" ht="13.5" thickBot="1" x14ac:dyDescent="0.25">
      <c r="A1361" s="730" t="s">
        <v>60</v>
      </c>
      <c r="B1361" s="731"/>
      <c r="C1361" s="654" t="s">
        <v>61</v>
      </c>
      <c r="D1361" s="654"/>
      <c r="E1361" s="654"/>
      <c r="F1361" s="654"/>
      <c r="G1361" s="654"/>
      <c r="H1361" s="654"/>
      <c r="I1361" s="654"/>
      <c r="J1361" s="282" t="s">
        <v>0</v>
      </c>
      <c r="K1361" s="132"/>
      <c r="L1361" s="133"/>
    </row>
    <row r="1362" spans="1:14" x14ac:dyDescent="0.2">
      <c r="A1362" s="136"/>
      <c r="B1362" s="137"/>
      <c r="C1362" s="619"/>
      <c r="D1362" s="620"/>
      <c r="E1362" s="621"/>
      <c r="F1362" s="621"/>
      <c r="G1362" s="621"/>
      <c r="H1362" s="621"/>
      <c r="I1362" s="622"/>
      <c r="J1362" s="138"/>
      <c r="K1362" s="132"/>
      <c r="L1362" s="133"/>
    </row>
    <row r="1363" spans="1:14" x14ac:dyDescent="0.2">
      <c r="A1363" s="623" t="str">
        <f>'A IV.A'!$A$53</f>
        <v>3.2.4</v>
      </c>
      <c r="B1363" s="624"/>
      <c r="C1363" s="626" t="str">
        <f>'A IV.A'!$B$53</f>
        <v>FORNECIMENTO ABRIGO DE PROTEÇÃO PARA POÇOS (REFORÇADO)</v>
      </c>
      <c r="D1363" s="627"/>
      <c r="E1363" s="627"/>
      <c r="F1363" s="627"/>
      <c r="G1363" s="627"/>
      <c r="H1363" s="627"/>
      <c r="I1363" s="628"/>
      <c r="J1363" s="629" t="str">
        <f>'A IV.A'!$C$53</f>
        <v>UN</v>
      </c>
      <c r="K1363" s="630" t="str">
        <f>VLOOKUP(A1363,'A IV.A'!$A$14:$M$233,2,FALSE)</f>
        <v>FORNECIMENTO ABRIGO DE PROTEÇÃO PARA POÇOS (REFORÇADO)</v>
      </c>
      <c r="L1363" s="631" t="str">
        <f>IF(C1363=K1363,"sim","nao")</f>
        <v>sim</v>
      </c>
      <c r="M1363" s="631" t="str">
        <f>VLOOKUP(A1363,'A IV.A'!$A$14:$M$233,3,FALSE)</f>
        <v>UN</v>
      </c>
      <c r="N1363" s="631" t="str">
        <f>IF(J1363=M1363,"sim","nao")</f>
        <v>sim</v>
      </c>
    </row>
    <row r="1364" spans="1:14" x14ac:dyDescent="0.2">
      <c r="A1364" s="625"/>
      <c r="B1364" s="624"/>
      <c r="C1364" s="626"/>
      <c r="D1364" s="627"/>
      <c r="E1364" s="627"/>
      <c r="F1364" s="627"/>
      <c r="G1364" s="627"/>
      <c r="H1364" s="627"/>
      <c r="I1364" s="628"/>
      <c r="J1364" s="629"/>
      <c r="K1364" s="630"/>
      <c r="L1364" s="631"/>
      <c r="M1364" s="631"/>
      <c r="N1364" s="631"/>
    </row>
    <row r="1365" spans="1:14" x14ac:dyDescent="0.2">
      <c r="A1365" s="139"/>
      <c r="B1365" s="140"/>
      <c r="C1365" s="141"/>
      <c r="D1365" s="142"/>
      <c r="E1365" s="142"/>
      <c r="F1365" s="142"/>
      <c r="G1365" s="142"/>
      <c r="H1365" s="142"/>
      <c r="I1365" s="143"/>
      <c r="J1365" s="144"/>
      <c r="K1365" s="132"/>
      <c r="L1365" s="133"/>
    </row>
    <row r="1366" spans="1:14" x14ac:dyDescent="0.2">
      <c r="A1366" s="158"/>
      <c r="B1366" s="188"/>
      <c r="C1366" s="189"/>
      <c r="D1366" s="165"/>
      <c r="E1366" s="165"/>
      <c r="F1366" s="165"/>
      <c r="G1366" s="165"/>
      <c r="H1366" s="165"/>
      <c r="I1366" s="190"/>
      <c r="J1366" s="191"/>
      <c r="K1366" s="192"/>
      <c r="L1366" s="55"/>
      <c r="M1366" s="55"/>
      <c r="N1366" s="55"/>
    </row>
    <row r="1367" spans="1:14" x14ac:dyDescent="0.2">
      <c r="A1367" s="158"/>
      <c r="B1367" s="188"/>
      <c r="C1367" s="189"/>
      <c r="D1367" s="165"/>
      <c r="E1367" s="165"/>
      <c r="F1367" s="165"/>
      <c r="G1367" s="165"/>
      <c r="H1367" s="165"/>
      <c r="I1367" s="190"/>
      <c r="J1367" s="191"/>
      <c r="K1367" s="192"/>
      <c r="L1367" s="55"/>
      <c r="M1367" s="55"/>
      <c r="N1367" s="55"/>
    </row>
    <row r="1368" spans="1:14" x14ac:dyDescent="0.2">
      <c r="A1368" s="145"/>
      <c r="B1368" s="146"/>
      <c r="C1368" s="147"/>
      <c r="D1368" s="147"/>
      <c r="E1368" s="147"/>
      <c r="F1368" s="147"/>
      <c r="G1368" s="147"/>
      <c r="H1368" s="147"/>
      <c r="I1368" s="147"/>
      <c r="J1368" s="148"/>
      <c r="K1368" s="132"/>
      <c r="L1368" s="133"/>
    </row>
    <row r="1369" spans="1:14" x14ac:dyDescent="0.2">
      <c r="A1369" s="158"/>
      <c r="B1369" s="188"/>
      <c r="C1369" s="189"/>
      <c r="D1369" s="165"/>
      <c r="E1369" s="165"/>
      <c r="F1369" s="165"/>
      <c r="G1369" s="165"/>
      <c r="H1369" s="165"/>
      <c r="I1369" s="190"/>
      <c r="J1369" s="191"/>
      <c r="K1369" s="630"/>
      <c r="L1369" s="631"/>
      <c r="M1369" s="631"/>
      <c r="N1369" s="631"/>
    </row>
    <row r="1370" spans="1:14" x14ac:dyDescent="0.2">
      <c r="A1370" s="158"/>
      <c r="B1370" s="188"/>
      <c r="C1370" s="189"/>
      <c r="D1370" s="165"/>
      <c r="E1370" s="165"/>
      <c r="F1370" s="165"/>
      <c r="G1370" s="165"/>
      <c r="H1370" s="165"/>
      <c r="I1370" s="190"/>
      <c r="J1370" s="191"/>
      <c r="K1370" s="630"/>
      <c r="L1370" s="631"/>
      <c r="M1370" s="631"/>
      <c r="N1370" s="631"/>
    </row>
    <row r="1371" spans="1:14" x14ac:dyDescent="0.2">
      <c r="A1371" s="145"/>
      <c r="B1371" s="146"/>
      <c r="C1371" s="147"/>
      <c r="D1371" s="147"/>
      <c r="E1371" s="147"/>
      <c r="F1371" s="147"/>
      <c r="G1371" s="147"/>
      <c r="H1371" s="147"/>
      <c r="I1371" s="147"/>
      <c r="J1371" s="148"/>
      <c r="K1371" s="132"/>
      <c r="L1371" s="133"/>
    </row>
    <row r="1372" spans="1:14" x14ac:dyDescent="0.2">
      <c r="A1372" s="145"/>
      <c r="B1372" s="146"/>
      <c r="C1372" s="147"/>
      <c r="D1372" s="147"/>
      <c r="E1372" s="147"/>
      <c r="F1372" s="147"/>
      <c r="G1372" s="147"/>
      <c r="H1372" s="147"/>
      <c r="I1372" s="147"/>
      <c r="J1372" s="148"/>
      <c r="K1372" s="132"/>
      <c r="L1372" s="133"/>
    </row>
    <row r="1373" spans="1:14" x14ac:dyDescent="0.2">
      <c r="A1373" s="145"/>
      <c r="B1373" s="146"/>
      <c r="C1373" s="147"/>
      <c r="D1373" s="147"/>
      <c r="E1373" s="147"/>
      <c r="F1373" s="147"/>
      <c r="G1373" s="147"/>
      <c r="H1373" s="147"/>
      <c r="I1373" s="147"/>
      <c r="J1373" s="148"/>
      <c r="K1373" s="132"/>
      <c r="L1373" s="133"/>
    </row>
    <row r="1374" spans="1:14" x14ac:dyDescent="0.2">
      <c r="A1374" s="145"/>
      <c r="B1374" s="146"/>
      <c r="C1374" s="147"/>
      <c r="D1374" s="147"/>
      <c r="E1374" s="147"/>
      <c r="F1374" s="147"/>
      <c r="G1374" s="147"/>
      <c r="H1374" s="147"/>
      <c r="I1374" s="147"/>
      <c r="J1374" s="148"/>
      <c r="K1374" s="132"/>
      <c r="L1374" s="133"/>
    </row>
    <row r="1375" spans="1:14" x14ac:dyDescent="0.2">
      <c r="A1375" s="145"/>
      <c r="B1375" s="146"/>
      <c r="C1375" s="147"/>
      <c r="D1375" s="147"/>
      <c r="E1375" s="147"/>
      <c r="F1375" s="147"/>
      <c r="G1375" s="147"/>
      <c r="H1375" s="147"/>
      <c r="I1375" s="147"/>
      <c r="J1375" s="148"/>
      <c r="K1375" s="132"/>
      <c r="L1375" s="133"/>
    </row>
    <row r="1376" spans="1:14" x14ac:dyDescent="0.2">
      <c r="A1376" s="145"/>
      <c r="B1376" s="146"/>
      <c r="C1376" s="147"/>
      <c r="D1376" s="147"/>
      <c r="E1376" s="147"/>
      <c r="F1376" s="147"/>
      <c r="G1376" s="147"/>
      <c r="H1376" s="147"/>
      <c r="I1376" s="147"/>
      <c r="J1376" s="148"/>
      <c r="K1376" s="132"/>
      <c r="L1376" s="133"/>
    </row>
    <row r="1377" spans="1:12" x14ac:dyDescent="0.2">
      <c r="A1377" s="145"/>
      <c r="B1377" s="146"/>
      <c r="C1377" s="147"/>
      <c r="D1377" s="147"/>
      <c r="E1377" s="147"/>
      <c r="F1377" s="147"/>
      <c r="G1377" s="147"/>
      <c r="H1377" s="147"/>
      <c r="I1377" s="147"/>
      <c r="J1377" s="148"/>
      <c r="K1377" s="132"/>
      <c r="L1377" s="133"/>
    </row>
    <row r="1378" spans="1:12" x14ac:dyDescent="0.2">
      <c r="A1378" s="145"/>
      <c r="B1378" s="146"/>
      <c r="C1378" s="147"/>
      <c r="D1378" s="147"/>
      <c r="E1378" s="147"/>
      <c r="F1378" s="147"/>
      <c r="G1378" s="147"/>
      <c r="H1378" s="147"/>
      <c r="I1378" s="147"/>
      <c r="J1378" s="148"/>
      <c r="K1378" s="132"/>
      <c r="L1378" s="133"/>
    </row>
    <row r="1379" spans="1:12" x14ac:dyDescent="0.2">
      <c r="A1379" s="145"/>
      <c r="B1379" s="146"/>
      <c r="C1379" s="147"/>
      <c r="D1379" s="147"/>
      <c r="E1379" s="147"/>
      <c r="F1379" s="147"/>
      <c r="G1379" s="147"/>
      <c r="H1379" s="147"/>
      <c r="I1379" s="147"/>
      <c r="J1379" s="148"/>
      <c r="K1379" s="132"/>
      <c r="L1379" s="133"/>
    </row>
    <row r="1380" spans="1:12" x14ac:dyDescent="0.2">
      <c r="A1380" s="145"/>
      <c r="B1380" s="146"/>
      <c r="C1380" s="147"/>
      <c r="D1380" s="147"/>
      <c r="E1380" s="147"/>
      <c r="F1380" s="147"/>
      <c r="G1380" s="147"/>
      <c r="H1380" s="147"/>
      <c r="I1380" s="147"/>
      <c r="J1380" s="148"/>
      <c r="K1380" s="132"/>
      <c r="L1380" s="133"/>
    </row>
    <row r="1381" spans="1:12" x14ac:dyDescent="0.2">
      <c r="A1381" s="145"/>
      <c r="B1381" s="146"/>
      <c r="C1381" s="147"/>
      <c r="D1381" s="147"/>
      <c r="E1381" s="147"/>
      <c r="F1381" s="147"/>
      <c r="G1381" s="147"/>
      <c r="H1381" s="147"/>
      <c r="I1381" s="147"/>
      <c r="J1381" s="148"/>
      <c r="K1381" s="132"/>
      <c r="L1381" s="133"/>
    </row>
    <row r="1382" spans="1:12" x14ac:dyDescent="0.2">
      <c r="A1382" s="145"/>
      <c r="B1382" s="146"/>
      <c r="C1382" s="147"/>
      <c r="D1382" s="147"/>
      <c r="E1382" s="147"/>
      <c r="F1382" s="147"/>
      <c r="G1382" s="147"/>
      <c r="H1382" s="147"/>
      <c r="I1382" s="147"/>
      <c r="J1382" s="148"/>
      <c r="K1382" s="132"/>
      <c r="L1382" s="133"/>
    </row>
    <row r="1383" spans="1:12" x14ac:dyDescent="0.2">
      <c r="A1383" s="145"/>
      <c r="B1383" s="146"/>
      <c r="C1383" s="147"/>
      <c r="D1383" s="147"/>
      <c r="E1383" s="147"/>
      <c r="F1383" s="147"/>
      <c r="G1383" s="147"/>
      <c r="H1383" s="147"/>
      <c r="I1383" s="147"/>
      <c r="J1383" s="148"/>
      <c r="K1383" s="132"/>
      <c r="L1383" s="133"/>
    </row>
    <row r="1384" spans="1:12" ht="13.5" thickBot="1" x14ac:dyDescent="0.25">
      <c r="A1384" s="149"/>
      <c r="B1384" s="150"/>
      <c r="C1384" s="151"/>
      <c r="D1384" s="151"/>
      <c r="E1384" s="151"/>
      <c r="F1384" s="151"/>
      <c r="G1384" s="151"/>
      <c r="H1384" s="151"/>
      <c r="I1384" s="151"/>
      <c r="J1384" s="152"/>
      <c r="K1384" s="132"/>
      <c r="L1384" s="133"/>
    </row>
    <row r="1385" spans="1:12" ht="13.5" thickBot="1" x14ac:dyDescent="0.25">
      <c r="A1385" s="153"/>
      <c r="B1385" s="153"/>
      <c r="C1385" s="154"/>
      <c r="D1385" s="154"/>
      <c r="E1385" s="154"/>
      <c r="F1385" s="154"/>
      <c r="G1385" s="154"/>
      <c r="H1385" s="154"/>
      <c r="I1385" s="154"/>
      <c r="J1385" s="153"/>
      <c r="K1385" s="132"/>
      <c r="L1385" s="133"/>
    </row>
    <row r="1386" spans="1:12" ht="13.5" thickBot="1" x14ac:dyDescent="0.25">
      <c r="A1386" s="614" t="s">
        <v>62</v>
      </c>
      <c r="B1386" s="648"/>
      <c r="C1386" s="648"/>
      <c r="D1386" s="648"/>
      <c r="E1386" s="648"/>
      <c r="F1386" s="648"/>
      <c r="G1386" s="648"/>
      <c r="H1386" s="648"/>
      <c r="I1386" s="648"/>
      <c r="J1386" s="649"/>
      <c r="K1386" s="132"/>
      <c r="L1386" s="133"/>
    </row>
    <row r="1387" spans="1:12" x14ac:dyDescent="0.2">
      <c r="A1387" s="136"/>
      <c r="B1387" s="155"/>
      <c r="C1387" s="156"/>
      <c r="D1387" s="156"/>
      <c r="E1387" s="156"/>
      <c r="F1387" s="156"/>
      <c r="G1387" s="156"/>
      <c r="H1387" s="156"/>
      <c r="I1387" s="156"/>
      <c r="J1387" s="157"/>
      <c r="K1387" s="132"/>
      <c r="L1387" s="133"/>
    </row>
    <row r="1388" spans="1:12" ht="12.75" customHeight="1" x14ac:dyDescent="0.2">
      <c r="A1388" s="158" t="s">
        <v>63</v>
      </c>
      <c r="B1388" s="55"/>
      <c r="C1388" s="652" t="s">
        <v>152</v>
      </c>
      <c r="D1388" s="652"/>
      <c r="E1388" s="652"/>
      <c r="F1388" s="652"/>
      <c r="G1388" s="652"/>
      <c r="H1388" s="652"/>
      <c r="I1388" s="652"/>
      <c r="J1388" s="653"/>
      <c r="K1388" s="132"/>
      <c r="L1388" s="133"/>
    </row>
    <row r="1389" spans="1:12" x14ac:dyDescent="0.2">
      <c r="A1389" s="158"/>
      <c r="B1389" s="55"/>
      <c r="C1389" s="652"/>
      <c r="D1389" s="652"/>
      <c r="E1389" s="652"/>
      <c r="F1389" s="652"/>
      <c r="G1389" s="652"/>
      <c r="H1389" s="652"/>
      <c r="I1389" s="652"/>
      <c r="J1389" s="653"/>
      <c r="K1389" s="132"/>
      <c r="L1389" s="133"/>
    </row>
    <row r="1390" spans="1:12" x14ac:dyDescent="0.2">
      <c r="A1390" s="158"/>
      <c r="B1390" s="55"/>
      <c r="C1390" s="652"/>
      <c r="D1390" s="652"/>
      <c r="E1390" s="652"/>
      <c r="F1390" s="652"/>
      <c r="G1390" s="652"/>
      <c r="H1390" s="652"/>
      <c r="I1390" s="652"/>
      <c r="J1390" s="653"/>
      <c r="K1390" s="132"/>
      <c r="L1390" s="133"/>
    </row>
    <row r="1391" spans="1:12" x14ac:dyDescent="0.2">
      <c r="A1391" s="158"/>
      <c r="B1391" s="55"/>
      <c r="C1391" s="652"/>
      <c r="D1391" s="652"/>
      <c r="E1391" s="652"/>
      <c r="F1391" s="652"/>
      <c r="G1391" s="652"/>
      <c r="H1391" s="652"/>
      <c r="I1391" s="652"/>
      <c r="J1391" s="653"/>
      <c r="K1391" s="132"/>
      <c r="L1391" s="133"/>
    </row>
    <row r="1392" spans="1:12" ht="12.75" customHeight="1" x14ac:dyDescent="0.2">
      <c r="A1392" s="158"/>
      <c r="B1392" s="55"/>
      <c r="C1392" s="652"/>
      <c r="D1392" s="652"/>
      <c r="E1392" s="652"/>
      <c r="F1392" s="652"/>
      <c r="G1392" s="652"/>
      <c r="H1392" s="652"/>
      <c r="I1392" s="652"/>
      <c r="J1392" s="653"/>
      <c r="K1392" s="132"/>
      <c r="L1392" s="133"/>
    </row>
    <row r="1393" spans="1:12" x14ac:dyDescent="0.2">
      <c r="A1393" s="158"/>
      <c r="B1393" s="55"/>
      <c r="C1393" s="652"/>
      <c r="D1393" s="652"/>
      <c r="E1393" s="652"/>
      <c r="F1393" s="652"/>
      <c r="G1393" s="652"/>
      <c r="H1393" s="652"/>
      <c r="I1393" s="652"/>
      <c r="J1393" s="653"/>
      <c r="K1393" s="132"/>
      <c r="L1393" s="133"/>
    </row>
    <row r="1394" spans="1:12" x14ac:dyDescent="0.2">
      <c r="A1394" s="158"/>
      <c r="B1394" s="55"/>
      <c r="C1394" s="175"/>
      <c r="D1394" s="175"/>
      <c r="E1394" s="175"/>
      <c r="F1394" s="175"/>
      <c r="G1394" s="175"/>
      <c r="H1394" s="175"/>
      <c r="I1394" s="175"/>
      <c r="J1394" s="176"/>
      <c r="K1394" s="132"/>
      <c r="L1394" s="133"/>
    </row>
    <row r="1395" spans="1:12" x14ac:dyDescent="0.2">
      <c r="A1395" s="598" t="s">
        <v>64</v>
      </c>
      <c r="B1395" s="599"/>
      <c r="C1395" s="600" t="s">
        <v>459</v>
      </c>
      <c r="D1395" s="600"/>
      <c r="E1395" s="600"/>
      <c r="F1395" s="600"/>
      <c r="G1395" s="600"/>
      <c r="H1395" s="600"/>
      <c r="I1395" s="600"/>
      <c r="J1395" s="601"/>
      <c r="K1395" s="132"/>
      <c r="L1395" s="133"/>
    </row>
    <row r="1396" spans="1:12" x14ac:dyDescent="0.2">
      <c r="A1396" s="158"/>
      <c r="B1396" s="55"/>
      <c r="C1396" s="71"/>
      <c r="D1396" s="71"/>
      <c r="E1396" s="71"/>
      <c r="F1396" s="71"/>
      <c r="G1396" s="71"/>
      <c r="H1396" s="71"/>
      <c r="I1396" s="71"/>
      <c r="J1396" s="174"/>
      <c r="K1396" s="132"/>
      <c r="L1396" s="133"/>
    </row>
    <row r="1397" spans="1:12" x14ac:dyDescent="0.2">
      <c r="A1397" s="158" t="s">
        <v>65</v>
      </c>
      <c r="B1397" s="55"/>
      <c r="C1397" s="662" t="s">
        <v>1043</v>
      </c>
      <c r="D1397" s="662"/>
      <c r="E1397" s="662"/>
      <c r="F1397" s="662"/>
      <c r="G1397" s="662"/>
      <c r="H1397" s="662"/>
      <c r="I1397" s="662"/>
      <c r="J1397" s="663"/>
      <c r="K1397" s="132"/>
      <c r="L1397" s="133"/>
    </row>
    <row r="1398" spans="1:12" x14ac:dyDescent="0.2">
      <c r="A1398" s="158"/>
      <c r="B1398" s="55"/>
      <c r="C1398" s="71"/>
      <c r="D1398" s="71"/>
      <c r="E1398" s="71"/>
      <c r="F1398" s="71"/>
      <c r="G1398" s="71"/>
      <c r="H1398" s="71"/>
      <c r="I1398" s="71"/>
      <c r="J1398" s="174"/>
      <c r="K1398" s="132"/>
      <c r="L1398" s="133"/>
    </row>
    <row r="1399" spans="1:12" x14ac:dyDescent="0.2">
      <c r="A1399" s="158"/>
      <c r="B1399" s="55"/>
      <c r="C1399" s="71"/>
      <c r="D1399" s="71"/>
      <c r="E1399" s="71"/>
      <c r="F1399" s="71"/>
      <c r="G1399" s="71"/>
      <c r="H1399" s="71"/>
      <c r="I1399" s="71"/>
      <c r="J1399" s="174"/>
      <c r="K1399" s="132"/>
      <c r="L1399" s="133"/>
    </row>
    <row r="1400" spans="1:12" x14ac:dyDescent="0.2">
      <c r="A1400" s="158"/>
      <c r="B1400" s="55"/>
      <c r="C1400" s="71"/>
      <c r="D1400" s="71"/>
      <c r="E1400" s="71"/>
      <c r="F1400" s="71"/>
      <c r="G1400" s="71"/>
      <c r="H1400" s="71"/>
      <c r="I1400" s="71"/>
      <c r="J1400" s="174"/>
      <c r="K1400" s="132"/>
      <c r="L1400" s="133"/>
    </row>
    <row r="1401" spans="1:12" x14ac:dyDescent="0.2">
      <c r="A1401" s="158"/>
      <c r="B1401" s="55"/>
      <c r="C1401" s="71"/>
      <c r="D1401" s="71"/>
      <c r="E1401" s="71"/>
      <c r="F1401" s="71"/>
      <c r="G1401" s="71"/>
      <c r="H1401" s="71"/>
      <c r="I1401" s="71"/>
      <c r="J1401" s="174"/>
      <c r="K1401" s="132"/>
      <c r="L1401" s="133"/>
    </row>
    <row r="1402" spans="1:12" x14ac:dyDescent="0.2">
      <c r="A1402" s="158"/>
      <c r="B1402" s="55"/>
      <c r="C1402" s="71"/>
      <c r="D1402" s="71"/>
      <c r="E1402" s="71"/>
      <c r="F1402" s="71"/>
      <c r="G1402" s="71"/>
      <c r="H1402" s="71"/>
      <c r="I1402" s="71"/>
      <c r="J1402" s="174"/>
      <c r="K1402" s="132"/>
      <c r="L1402" s="133"/>
    </row>
    <row r="1403" spans="1:12" x14ac:dyDescent="0.2">
      <c r="A1403" s="158"/>
      <c r="B1403" s="55"/>
      <c r="C1403" s="71"/>
      <c r="D1403" s="71"/>
      <c r="E1403" s="71"/>
      <c r="F1403" s="71"/>
      <c r="G1403" s="71"/>
      <c r="H1403" s="71"/>
      <c r="I1403" s="71"/>
      <c r="J1403" s="174"/>
      <c r="K1403" s="132"/>
      <c r="L1403" s="133"/>
    </row>
    <row r="1404" spans="1:12" x14ac:dyDescent="0.2">
      <c r="A1404" s="158"/>
      <c r="B1404" s="55"/>
      <c r="C1404" s="71"/>
      <c r="D1404" s="71"/>
      <c r="E1404" s="71"/>
      <c r="F1404" s="71"/>
      <c r="G1404" s="71"/>
      <c r="H1404" s="71"/>
      <c r="I1404" s="71"/>
      <c r="J1404" s="174"/>
      <c r="K1404" s="132"/>
      <c r="L1404" s="133"/>
    </row>
    <row r="1405" spans="1:12" x14ac:dyDescent="0.2">
      <c r="A1405" s="158"/>
      <c r="B1405" s="55"/>
      <c r="C1405" s="175"/>
      <c r="D1405" s="175"/>
      <c r="E1405" s="172"/>
      <c r="F1405" s="172"/>
      <c r="G1405" s="172"/>
      <c r="H1405" s="172"/>
      <c r="I1405" s="172"/>
      <c r="J1405" s="173"/>
      <c r="K1405" s="132"/>
      <c r="L1405" s="133"/>
    </row>
    <row r="1406" spans="1:12" x14ac:dyDescent="0.2">
      <c r="A1406" s="158"/>
      <c r="B1406" s="55"/>
      <c r="C1406" s="175"/>
      <c r="D1406" s="175"/>
      <c r="E1406" s="172"/>
      <c r="F1406" s="172"/>
      <c r="G1406" s="172"/>
      <c r="H1406" s="172"/>
      <c r="I1406" s="172"/>
      <c r="J1406" s="173"/>
      <c r="K1406" s="132"/>
      <c r="L1406" s="133"/>
    </row>
    <row r="1407" spans="1:12" x14ac:dyDescent="0.2">
      <c r="A1407" s="158"/>
      <c r="B1407" s="55"/>
      <c r="C1407" s="175"/>
      <c r="D1407" s="175"/>
      <c r="E1407" s="172"/>
      <c r="F1407" s="172"/>
      <c r="G1407" s="172"/>
      <c r="H1407" s="172"/>
      <c r="I1407" s="172"/>
      <c r="J1407" s="173"/>
      <c r="K1407" s="132"/>
      <c r="L1407" s="133"/>
    </row>
    <row r="1408" spans="1:12" x14ac:dyDescent="0.2">
      <c r="A1408" s="158"/>
      <c r="B1408" s="55"/>
      <c r="C1408" s="175"/>
      <c r="D1408" s="175"/>
      <c r="E1408" s="175"/>
      <c r="F1408" s="175"/>
      <c r="G1408" s="175"/>
      <c r="H1408" s="175"/>
      <c r="I1408" s="175"/>
      <c r="J1408" s="176"/>
      <c r="K1408" s="132"/>
      <c r="L1408" s="133"/>
    </row>
    <row r="1409" spans="1:14" ht="13.5" thickBot="1" x14ac:dyDescent="0.25">
      <c r="A1409" s="149"/>
      <c r="B1409" s="167"/>
      <c r="C1409" s="151"/>
      <c r="D1409" s="151"/>
      <c r="E1409" s="151"/>
      <c r="F1409" s="151"/>
      <c r="G1409" s="151"/>
      <c r="H1409" s="151"/>
      <c r="I1409" s="151"/>
      <c r="J1409" s="168"/>
      <c r="K1409" s="132"/>
      <c r="L1409" s="133"/>
    </row>
    <row r="1410" spans="1:14" ht="15.75" x14ac:dyDescent="0.2">
      <c r="A1410" s="602" t="s">
        <v>4</v>
      </c>
      <c r="B1410" s="603"/>
      <c r="C1410" s="603" t="str">
        <f>'A IV.A'!$B$43</f>
        <v>FECHAMENTOS, PROTEÇÕES E ALVENARIAS EM GERAL</v>
      </c>
      <c r="D1410" s="603"/>
      <c r="E1410" s="603"/>
      <c r="F1410" s="603"/>
      <c r="G1410" s="603"/>
      <c r="H1410" s="603"/>
      <c r="I1410" s="603"/>
      <c r="J1410" s="604"/>
      <c r="K1410" s="132"/>
      <c r="L1410" s="133"/>
    </row>
    <row r="1411" spans="1:14" x14ac:dyDescent="0.2">
      <c r="A1411" s="609" t="str">
        <f>'A IV.A'!$A$43</f>
        <v>3.0</v>
      </c>
      <c r="B1411" s="610"/>
      <c r="C1411" s="605"/>
      <c r="D1411" s="605"/>
      <c r="E1411" s="605"/>
      <c r="F1411" s="605"/>
      <c r="G1411" s="605"/>
      <c r="H1411" s="605"/>
      <c r="I1411" s="605"/>
      <c r="J1411" s="606"/>
      <c r="K1411" s="132"/>
      <c r="L1411" s="133"/>
    </row>
    <row r="1412" spans="1:14" ht="13.5" thickBot="1" x14ac:dyDescent="0.25">
      <c r="A1412" s="611"/>
      <c r="B1412" s="612"/>
      <c r="C1412" s="607"/>
      <c r="D1412" s="607"/>
      <c r="E1412" s="607"/>
      <c r="F1412" s="607"/>
      <c r="G1412" s="607"/>
      <c r="H1412" s="607"/>
      <c r="I1412" s="607"/>
      <c r="J1412" s="608"/>
      <c r="K1412" s="132"/>
      <c r="L1412" s="133"/>
    </row>
    <row r="1413" spans="1:14" ht="13.5" thickBot="1" x14ac:dyDescent="0.25">
      <c r="A1413" s="169"/>
      <c r="B1413" s="169"/>
      <c r="C1413" s="613"/>
      <c r="D1413" s="613"/>
      <c r="E1413" s="613"/>
      <c r="F1413" s="613"/>
      <c r="G1413" s="613"/>
      <c r="H1413" s="613"/>
      <c r="I1413" s="613"/>
      <c r="J1413" s="169"/>
      <c r="K1413" s="132"/>
      <c r="L1413" s="133"/>
    </row>
    <row r="1414" spans="1:14" ht="13.5" thickBot="1" x14ac:dyDescent="0.25">
      <c r="A1414" s="730" t="s">
        <v>60</v>
      </c>
      <c r="B1414" s="731"/>
      <c r="C1414" s="654" t="s">
        <v>61</v>
      </c>
      <c r="D1414" s="654"/>
      <c r="E1414" s="654"/>
      <c r="F1414" s="654"/>
      <c r="G1414" s="654"/>
      <c r="H1414" s="654"/>
      <c r="I1414" s="654"/>
      <c r="J1414" s="282" t="s">
        <v>0</v>
      </c>
      <c r="K1414" s="132"/>
      <c r="L1414" s="133"/>
    </row>
    <row r="1415" spans="1:14" x14ac:dyDescent="0.2">
      <c r="A1415" s="136"/>
      <c r="B1415" s="137"/>
      <c r="C1415" s="619"/>
      <c r="D1415" s="620"/>
      <c r="E1415" s="621"/>
      <c r="F1415" s="621"/>
      <c r="G1415" s="621"/>
      <c r="H1415" s="621"/>
      <c r="I1415" s="622"/>
      <c r="J1415" s="138"/>
      <c r="K1415" s="132"/>
      <c r="L1415" s="133"/>
    </row>
    <row r="1416" spans="1:14" x14ac:dyDescent="0.2">
      <c r="A1416" s="623" t="str">
        <f>'A IV.A'!A54</f>
        <v>3.2.5</v>
      </c>
      <c r="B1416" s="624"/>
      <c r="C1416" s="626" t="str">
        <f>'A IV.A'!B54</f>
        <v>JANELA DE AÇO  TIPO BASCULANTE, FIXAÇÃO COM ARGAMASSA</v>
      </c>
      <c r="D1416" s="627"/>
      <c r="E1416" s="627"/>
      <c r="F1416" s="627"/>
      <c r="G1416" s="627"/>
      <c r="H1416" s="627"/>
      <c r="I1416" s="628"/>
      <c r="J1416" s="629" t="str">
        <f>'A IV.A'!C54</f>
        <v>M2</v>
      </c>
      <c r="K1416" s="630" t="str">
        <f>VLOOKUP(A1416,'A IV.A'!$A$14:$M$233,2,FALSE)</f>
        <v>JANELA DE AÇO  TIPO BASCULANTE, FIXAÇÃO COM ARGAMASSA</v>
      </c>
      <c r="L1416" s="631" t="str">
        <f>IF(C1416=K1416,"sim","nao")</f>
        <v>sim</v>
      </c>
      <c r="M1416" s="631" t="str">
        <f>VLOOKUP(A1416,'A IV.A'!$A$14:$M$233,3,FALSE)</f>
        <v>M2</v>
      </c>
      <c r="N1416" s="631" t="str">
        <f>IF(J1416=M1416,"sim","nao")</f>
        <v>sim</v>
      </c>
    </row>
    <row r="1417" spans="1:14" x14ac:dyDescent="0.2">
      <c r="A1417" s="625"/>
      <c r="B1417" s="624"/>
      <c r="C1417" s="626"/>
      <c r="D1417" s="627"/>
      <c r="E1417" s="627"/>
      <c r="F1417" s="627"/>
      <c r="G1417" s="627"/>
      <c r="H1417" s="627"/>
      <c r="I1417" s="628"/>
      <c r="J1417" s="629"/>
      <c r="K1417" s="630"/>
      <c r="L1417" s="631"/>
      <c r="M1417" s="631"/>
      <c r="N1417" s="631"/>
    </row>
    <row r="1418" spans="1:14" x14ac:dyDescent="0.2">
      <c r="A1418" s="139"/>
      <c r="B1418" s="140"/>
      <c r="C1418" s="141"/>
      <c r="D1418" s="142"/>
      <c r="E1418" s="142"/>
      <c r="F1418" s="142"/>
      <c r="G1418" s="142"/>
      <c r="H1418" s="142"/>
      <c r="I1418" s="143"/>
      <c r="J1418" s="144"/>
      <c r="K1418" s="132"/>
      <c r="L1418" s="133"/>
    </row>
    <row r="1419" spans="1:14" x14ac:dyDescent="0.2">
      <c r="A1419" s="158"/>
      <c r="B1419" s="188"/>
      <c r="C1419" s="189"/>
      <c r="D1419" s="165"/>
      <c r="E1419" s="165"/>
      <c r="F1419" s="165"/>
      <c r="G1419" s="165"/>
      <c r="H1419" s="165"/>
      <c r="I1419" s="190"/>
      <c r="J1419" s="191"/>
      <c r="K1419" s="192"/>
      <c r="L1419" s="55"/>
      <c r="M1419" s="55"/>
      <c r="N1419" s="55"/>
    </row>
    <row r="1420" spans="1:14" x14ac:dyDescent="0.2">
      <c r="A1420" s="158"/>
      <c r="B1420" s="188"/>
      <c r="C1420" s="189"/>
      <c r="D1420" s="165"/>
      <c r="E1420" s="165"/>
      <c r="F1420" s="165"/>
      <c r="G1420" s="165"/>
      <c r="H1420" s="165"/>
      <c r="I1420" s="190"/>
      <c r="J1420" s="191"/>
      <c r="K1420" s="192"/>
      <c r="L1420" s="55"/>
      <c r="M1420" s="55"/>
      <c r="N1420" s="55"/>
    </row>
    <row r="1421" spans="1:14" x14ac:dyDescent="0.2">
      <c r="A1421" s="145"/>
      <c r="B1421" s="146"/>
      <c r="C1421" s="147"/>
      <c r="D1421" s="147"/>
      <c r="E1421" s="147"/>
      <c r="F1421" s="147"/>
      <c r="G1421" s="147"/>
      <c r="H1421" s="147"/>
      <c r="I1421" s="147"/>
      <c r="J1421" s="148"/>
      <c r="K1421" s="132"/>
      <c r="L1421" s="133"/>
    </row>
    <row r="1422" spans="1:14" x14ac:dyDescent="0.2">
      <c r="A1422" s="158"/>
      <c r="B1422" s="188"/>
      <c r="C1422" s="189"/>
      <c r="D1422" s="165"/>
      <c r="E1422" s="165"/>
      <c r="F1422" s="165"/>
      <c r="G1422" s="165"/>
      <c r="H1422" s="165"/>
      <c r="I1422" s="190"/>
      <c r="J1422" s="191"/>
      <c r="K1422" s="630"/>
      <c r="L1422" s="631"/>
      <c r="M1422" s="631"/>
      <c r="N1422" s="631"/>
    </row>
    <row r="1423" spans="1:14" x14ac:dyDescent="0.2">
      <c r="A1423" s="158"/>
      <c r="B1423" s="188"/>
      <c r="C1423" s="189"/>
      <c r="D1423" s="165"/>
      <c r="E1423" s="165"/>
      <c r="F1423" s="165"/>
      <c r="G1423" s="165"/>
      <c r="H1423" s="165"/>
      <c r="I1423" s="190"/>
      <c r="J1423" s="191"/>
      <c r="K1423" s="630"/>
      <c r="L1423" s="631"/>
      <c r="M1423" s="631"/>
      <c r="N1423" s="631"/>
    </row>
    <row r="1424" spans="1:14" x14ac:dyDescent="0.2">
      <c r="A1424" s="145"/>
      <c r="B1424" s="146"/>
      <c r="C1424" s="147"/>
      <c r="D1424" s="147"/>
      <c r="E1424" s="147"/>
      <c r="F1424" s="147"/>
      <c r="G1424" s="147"/>
      <c r="H1424" s="147"/>
      <c r="I1424" s="147"/>
      <c r="J1424" s="148"/>
      <c r="K1424" s="132"/>
      <c r="L1424" s="133"/>
    </row>
    <row r="1425" spans="1:12" x14ac:dyDescent="0.2">
      <c r="A1425" s="145"/>
      <c r="B1425" s="146"/>
      <c r="C1425" s="147"/>
      <c r="D1425" s="147"/>
      <c r="E1425" s="147"/>
      <c r="F1425" s="147"/>
      <c r="G1425" s="147"/>
      <c r="H1425" s="147"/>
      <c r="I1425" s="147"/>
      <c r="J1425" s="148"/>
      <c r="K1425" s="132"/>
      <c r="L1425" s="133"/>
    </row>
    <row r="1426" spans="1:12" x14ac:dyDescent="0.2">
      <c r="A1426" s="145"/>
      <c r="B1426" s="146"/>
      <c r="C1426" s="147"/>
      <c r="D1426" s="147"/>
      <c r="E1426" s="147"/>
      <c r="F1426" s="147"/>
      <c r="G1426" s="147"/>
      <c r="H1426" s="147"/>
      <c r="I1426" s="147"/>
      <c r="J1426" s="148"/>
      <c r="K1426" s="132"/>
      <c r="L1426" s="133"/>
    </row>
    <row r="1427" spans="1:12" x14ac:dyDescent="0.2">
      <c r="A1427" s="145"/>
      <c r="B1427" s="146"/>
      <c r="C1427" s="147"/>
      <c r="D1427" s="147"/>
      <c r="E1427" s="147"/>
      <c r="F1427" s="147"/>
      <c r="G1427" s="147"/>
      <c r="H1427" s="147"/>
      <c r="I1427" s="147"/>
      <c r="J1427" s="148"/>
      <c r="K1427" s="132"/>
      <c r="L1427" s="133"/>
    </row>
    <row r="1428" spans="1:12" x14ac:dyDescent="0.2">
      <c r="A1428" s="145"/>
      <c r="B1428" s="146"/>
      <c r="C1428" s="147"/>
      <c r="D1428" s="147"/>
      <c r="E1428" s="147"/>
      <c r="F1428" s="147"/>
      <c r="G1428" s="147"/>
      <c r="H1428" s="147"/>
      <c r="I1428" s="147"/>
      <c r="J1428" s="148"/>
      <c r="K1428" s="132"/>
      <c r="L1428" s="133"/>
    </row>
    <row r="1429" spans="1:12" x14ac:dyDescent="0.2">
      <c r="A1429" s="145"/>
      <c r="B1429" s="146"/>
      <c r="C1429" s="147"/>
      <c r="D1429" s="147"/>
      <c r="E1429" s="147"/>
      <c r="F1429" s="147"/>
      <c r="G1429" s="147"/>
      <c r="H1429" s="147"/>
      <c r="I1429" s="147"/>
      <c r="J1429" s="148"/>
      <c r="K1429" s="132"/>
      <c r="L1429" s="133"/>
    </row>
    <row r="1430" spans="1:12" x14ac:dyDescent="0.2">
      <c r="A1430" s="145"/>
      <c r="B1430" s="146"/>
      <c r="C1430" s="147"/>
      <c r="D1430" s="147"/>
      <c r="E1430" s="147"/>
      <c r="F1430" s="147"/>
      <c r="G1430" s="147"/>
      <c r="H1430" s="147"/>
      <c r="I1430" s="147"/>
      <c r="J1430" s="148"/>
      <c r="K1430" s="132"/>
      <c r="L1430" s="133"/>
    </row>
    <row r="1431" spans="1:12" x14ac:dyDescent="0.2">
      <c r="A1431" s="145"/>
      <c r="B1431" s="146"/>
      <c r="C1431" s="147"/>
      <c r="D1431" s="147"/>
      <c r="E1431" s="147"/>
      <c r="F1431" s="147"/>
      <c r="G1431" s="147"/>
      <c r="H1431" s="147"/>
      <c r="I1431" s="147"/>
      <c r="J1431" s="148"/>
      <c r="K1431" s="132"/>
      <c r="L1431" s="133"/>
    </row>
    <row r="1432" spans="1:12" x14ac:dyDescent="0.2">
      <c r="A1432" s="145"/>
      <c r="B1432" s="146"/>
      <c r="C1432" s="147"/>
      <c r="D1432" s="147"/>
      <c r="E1432" s="147"/>
      <c r="F1432" s="147"/>
      <c r="G1432" s="147"/>
      <c r="H1432" s="147"/>
      <c r="I1432" s="147"/>
      <c r="J1432" s="148"/>
      <c r="K1432" s="132"/>
      <c r="L1432" s="133"/>
    </row>
    <row r="1433" spans="1:12" x14ac:dyDescent="0.2">
      <c r="A1433" s="145"/>
      <c r="B1433" s="146"/>
      <c r="C1433" s="147"/>
      <c r="D1433" s="147"/>
      <c r="E1433" s="147"/>
      <c r="F1433" s="147"/>
      <c r="G1433" s="147"/>
      <c r="H1433" s="147"/>
      <c r="I1433" s="147"/>
      <c r="J1433" s="148"/>
      <c r="K1433" s="132"/>
      <c r="L1433" s="133"/>
    </row>
    <row r="1434" spans="1:12" x14ac:dyDescent="0.2">
      <c r="A1434" s="145"/>
      <c r="B1434" s="146"/>
      <c r="C1434" s="147"/>
      <c r="D1434" s="147"/>
      <c r="E1434" s="147"/>
      <c r="F1434" s="147"/>
      <c r="G1434" s="147"/>
      <c r="H1434" s="147"/>
      <c r="I1434" s="147"/>
      <c r="J1434" s="148"/>
      <c r="K1434" s="132"/>
      <c r="L1434" s="133"/>
    </row>
    <row r="1435" spans="1:12" x14ac:dyDescent="0.2">
      <c r="A1435" s="145"/>
      <c r="B1435" s="146"/>
      <c r="C1435" s="147"/>
      <c r="D1435" s="147"/>
      <c r="E1435" s="147"/>
      <c r="F1435" s="147"/>
      <c r="G1435" s="147"/>
      <c r="H1435" s="147"/>
      <c r="I1435" s="147"/>
      <c r="J1435" s="148"/>
      <c r="K1435" s="132"/>
      <c r="L1435" s="133"/>
    </row>
    <row r="1436" spans="1:12" x14ac:dyDescent="0.2">
      <c r="A1436" s="145"/>
      <c r="B1436" s="146"/>
      <c r="C1436" s="147"/>
      <c r="D1436" s="147"/>
      <c r="E1436" s="147"/>
      <c r="F1436" s="147"/>
      <c r="G1436" s="147"/>
      <c r="H1436" s="147"/>
      <c r="I1436" s="147"/>
      <c r="J1436" s="148"/>
      <c r="K1436" s="132"/>
      <c r="L1436" s="133"/>
    </row>
    <row r="1437" spans="1:12" ht="13.5" thickBot="1" x14ac:dyDescent="0.25">
      <c r="A1437" s="149"/>
      <c r="B1437" s="150"/>
      <c r="C1437" s="151"/>
      <c r="D1437" s="151"/>
      <c r="E1437" s="151"/>
      <c r="F1437" s="151"/>
      <c r="G1437" s="151"/>
      <c r="H1437" s="151"/>
      <c r="I1437" s="151"/>
      <c r="J1437" s="152"/>
      <c r="K1437" s="132"/>
      <c r="L1437" s="133"/>
    </row>
    <row r="1438" spans="1:12" ht="13.5" thickBot="1" x14ac:dyDescent="0.25">
      <c r="A1438" s="153"/>
      <c r="B1438" s="153"/>
      <c r="C1438" s="154"/>
      <c r="D1438" s="154"/>
      <c r="E1438" s="154"/>
      <c r="F1438" s="154"/>
      <c r="G1438" s="154"/>
      <c r="H1438" s="154"/>
      <c r="I1438" s="154"/>
      <c r="J1438" s="153"/>
      <c r="K1438" s="132"/>
      <c r="L1438" s="133"/>
    </row>
    <row r="1439" spans="1:12" ht="13.5" thickBot="1" x14ac:dyDescent="0.25">
      <c r="A1439" s="614" t="s">
        <v>62</v>
      </c>
      <c r="B1439" s="648"/>
      <c r="C1439" s="648"/>
      <c r="D1439" s="648"/>
      <c r="E1439" s="648"/>
      <c r="F1439" s="648"/>
      <c r="G1439" s="648"/>
      <c r="H1439" s="648"/>
      <c r="I1439" s="648"/>
      <c r="J1439" s="649"/>
      <c r="K1439" s="132"/>
      <c r="L1439" s="133"/>
    </row>
    <row r="1440" spans="1:12" x14ac:dyDescent="0.2">
      <c r="A1440" s="136"/>
      <c r="B1440" s="155"/>
      <c r="C1440" s="156"/>
      <c r="D1440" s="156"/>
      <c r="E1440" s="156"/>
      <c r="F1440" s="156"/>
      <c r="G1440" s="156"/>
      <c r="H1440" s="156"/>
      <c r="I1440" s="156"/>
      <c r="J1440" s="157"/>
      <c r="K1440" s="132"/>
      <c r="L1440" s="133"/>
    </row>
    <row r="1441" spans="1:12" ht="12.75" customHeight="1" x14ac:dyDescent="0.2">
      <c r="A1441" s="158" t="s">
        <v>63</v>
      </c>
      <c r="B1441" s="55"/>
      <c r="C1441" s="596" t="s">
        <v>944</v>
      </c>
      <c r="D1441" s="596"/>
      <c r="E1441" s="596"/>
      <c r="F1441" s="596"/>
      <c r="G1441" s="596"/>
      <c r="H1441" s="596"/>
      <c r="I1441" s="596"/>
      <c r="J1441" s="597"/>
      <c r="K1441" s="132"/>
      <c r="L1441" s="133"/>
    </row>
    <row r="1442" spans="1:12" x14ac:dyDescent="0.2">
      <c r="A1442" s="158"/>
      <c r="B1442" s="55"/>
      <c r="C1442" s="596"/>
      <c r="D1442" s="596"/>
      <c r="E1442" s="596"/>
      <c r="F1442" s="596"/>
      <c r="G1442" s="596"/>
      <c r="H1442" s="596"/>
      <c r="I1442" s="596"/>
      <c r="J1442" s="597"/>
      <c r="K1442" s="132"/>
      <c r="L1442" s="133"/>
    </row>
    <row r="1443" spans="1:12" x14ac:dyDescent="0.2">
      <c r="A1443" s="158"/>
      <c r="B1443" s="55"/>
      <c r="C1443" s="596"/>
      <c r="D1443" s="596"/>
      <c r="E1443" s="596"/>
      <c r="F1443" s="596"/>
      <c r="G1443" s="596"/>
      <c r="H1443" s="596"/>
      <c r="I1443" s="596"/>
      <c r="J1443" s="597"/>
      <c r="K1443" s="132"/>
      <c r="L1443" s="133"/>
    </row>
    <row r="1444" spans="1:12" x14ac:dyDescent="0.2">
      <c r="J1444" s="315"/>
      <c r="K1444" s="132"/>
      <c r="L1444" s="133"/>
    </row>
    <row r="1445" spans="1:12" x14ac:dyDescent="0.2">
      <c r="J1445" s="315"/>
      <c r="K1445" s="132"/>
      <c r="L1445" s="133"/>
    </row>
    <row r="1446" spans="1:12" ht="12.75" customHeight="1" x14ac:dyDescent="0.2">
      <c r="A1446" s="158" t="s">
        <v>64</v>
      </c>
      <c r="B1446" s="55"/>
      <c r="C1446" s="675" t="s">
        <v>725</v>
      </c>
      <c r="D1446" s="675"/>
      <c r="E1446" s="675"/>
      <c r="F1446" s="675"/>
      <c r="G1446" s="675"/>
      <c r="H1446" s="675"/>
      <c r="I1446" s="675"/>
      <c r="J1446" s="676"/>
      <c r="K1446" s="132"/>
      <c r="L1446" s="133"/>
    </row>
    <row r="1447" spans="1:12" x14ac:dyDescent="0.2">
      <c r="A1447" s="158"/>
      <c r="B1447" s="55"/>
      <c r="C1447" s="55"/>
      <c r="D1447" s="55"/>
      <c r="E1447" s="55"/>
      <c r="F1447" s="55"/>
      <c r="G1447" s="55"/>
      <c r="H1447" s="55"/>
      <c r="I1447" s="55"/>
      <c r="J1447" s="196"/>
      <c r="K1447" s="132"/>
      <c r="L1447" s="133"/>
    </row>
    <row r="1448" spans="1:12" ht="12.75" customHeight="1" x14ac:dyDescent="0.2">
      <c r="A1448" s="158" t="s">
        <v>687</v>
      </c>
      <c r="B1448" s="55"/>
      <c r="C1448" s="675" t="s">
        <v>688</v>
      </c>
      <c r="D1448" s="675"/>
      <c r="E1448" s="675"/>
      <c r="F1448" s="675"/>
      <c r="G1448" s="675"/>
      <c r="H1448" s="675"/>
      <c r="I1448" s="675"/>
      <c r="J1448" s="676"/>
      <c r="K1448" s="132"/>
      <c r="L1448" s="133"/>
    </row>
    <row r="1449" spans="1:12" x14ac:dyDescent="0.2">
      <c r="A1449" s="158"/>
      <c r="B1449" s="55"/>
      <c r="C1449" s="71"/>
      <c r="D1449" s="71"/>
      <c r="E1449" s="71"/>
      <c r="F1449" s="71"/>
      <c r="G1449" s="71"/>
      <c r="H1449" s="71"/>
      <c r="I1449" s="71"/>
      <c r="J1449" s="174"/>
      <c r="K1449" s="132"/>
      <c r="L1449" s="133"/>
    </row>
    <row r="1450" spans="1:12" x14ac:dyDescent="0.2">
      <c r="A1450" s="158"/>
      <c r="B1450" s="55"/>
      <c r="C1450" s="55"/>
      <c r="D1450" s="55"/>
      <c r="E1450" s="55"/>
      <c r="F1450" s="55"/>
      <c r="G1450" s="55"/>
      <c r="H1450" s="55"/>
      <c r="I1450" s="55"/>
      <c r="J1450" s="196"/>
      <c r="K1450" s="132"/>
      <c r="L1450" s="133"/>
    </row>
    <row r="1451" spans="1:12" x14ac:dyDescent="0.2">
      <c r="A1451" s="158"/>
      <c r="B1451" s="55"/>
      <c r="C1451" s="71"/>
      <c r="D1451" s="71"/>
      <c r="E1451" s="71"/>
      <c r="F1451" s="71"/>
      <c r="G1451" s="71"/>
      <c r="H1451" s="71"/>
      <c r="I1451" s="71"/>
      <c r="J1451" s="174"/>
      <c r="K1451" s="132"/>
      <c r="L1451" s="133"/>
    </row>
    <row r="1452" spans="1:12" x14ac:dyDescent="0.2">
      <c r="A1452" s="158"/>
      <c r="B1452" s="55"/>
      <c r="C1452" s="175"/>
      <c r="D1452" s="175"/>
      <c r="E1452" s="175"/>
      <c r="F1452" s="175"/>
      <c r="G1452" s="175"/>
      <c r="H1452" s="175"/>
      <c r="I1452" s="175"/>
      <c r="J1452" s="176"/>
      <c r="K1452" s="132"/>
      <c r="L1452" s="133"/>
    </row>
    <row r="1453" spans="1:12" x14ac:dyDescent="0.2">
      <c r="A1453" s="158"/>
      <c r="B1453" s="55"/>
      <c r="C1453" s="71"/>
      <c r="D1453" s="71"/>
      <c r="E1453" s="71"/>
      <c r="F1453" s="71"/>
      <c r="G1453" s="71"/>
      <c r="H1453" s="71"/>
      <c r="I1453" s="71"/>
      <c r="J1453" s="174"/>
      <c r="K1453" s="132"/>
      <c r="L1453" s="133"/>
    </row>
    <row r="1454" spans="1:12" x14ac:dyDescent="0.2">
      <c r="A1454" s="158"/>
      <c r="B1454" s="55"/>
      <c r="C1454" s="71"/>
      <c r="D1454" s="71"/>
      <c r="E1454" s="71"/>
      <c r="F1454" s="71"/>
      <c r="G1454" s="71"/>
      <c r="H1454" s="71"/>
      <c r="I1454" s="71"/>
      <c r="J1454" s="174"/>
      <c r="K1454" s="132"/>
      <c r="L1454" s="133"/>
    </row>
    <row r="1455" spans="1:12" x14ac:dyDescent="0.2">
      <c r="A1455" s="158"/>
      <c r="B1455" s="55"/>
      <c r="C1455" s="71"/>
      <c r="D1455" s="71"/>
      <c r="E1455" s="71"/>
      <c r="F1455" s="71"/>
      <c r="G1455" s="71"/>
      <c r="H1455" s="71"/>
      <c r="I1455" s="71"/>
      <c r="J1455" s="174"/>
      <c r="K1455" s="132"/>
      <c r="L1455" s="133"/>
    </row>
    <row r="1456" spans="1:12" x14ac:dyDescent="0.2">
      <c r="A1456" s="158"/>
      <c r="B1456" s="55"/>
      <c r="C1456" s="71"/>
      <c r="D1456" s="71"/>
      <c r="E1456" s="71"/>
      <c r="F1456" s="71"/>
      <c r="G1456" s="71"/>
      <c r="H1456" s="71"/>
      <c r="I1456" s="71"/>
      <c r="J1456" s="174"/>
      <c r="K1456" s="132"/>
      <c r="L1456" s="133"/>
    </row>
    <row r="1457" spans="1:14" x14ac:dyDescent="0.2">
      <c r="A1457" s="158"/>
      <c r="B1457" s="55"/>
      <c r="C1457" s="71"/>
      <c r="D1457" s="71"/>
      <c r="E1457" s="71"/>
      <c r="F1457" s="71"/>
      <c r="G1457" s="71"/>
      <c r="H1457" s="71"/>
      <c r="I1457" s="71"/>
      <c r="J1457" s="174"/>
      <c r="K1457" s="132"/>
      <c r="L1457" s="133"/>
    </row>
    <row r="1458" spans="1:14" x14ac:dyDescent="0.2">
      <c r="A1458" s="158"/>
      <c r="B1458" s="55"/>
      <c r="C1458" s="175"/>
      <c r="D1458" s="175"/>
      <c r="E1458" s="172"/>
      <c r="F1458" s="172"/>
      <c r="G1458" s="172"/>
      <c r="H1458" s="172"/>
      <c r="I1458" s="172"/>
      <c r="J1458" s="173"/>
      <c r="K1458" s="132"/>
      <c r="L1458" s="133"/>
    </row>
    <row r="1459" spans="1:14" x14ac:dyDescent="0.2">
      <c r="A1459" s="158"/>
      <c r="B1459" s="55"/>
      <c r="C1459" s="175"/>
      <c r="D1459" s="175"/>
      <c r="E1459" s="172"/>
      <c r="F1459" s="172"/>
      <c r="G1459" s="172"/>
      <c r="H1459" s="172"/>
      <c r="I1459" s="172"/>
      <c r="J1459" s="173"/>
      <c r="K1459" s="132"/>
      <c r="L1459" s="133"/>
    </row>
    <row r="1460" spans="1:14" ht="13.5" thickBot="1" x14ac:dyDescent="0.25">
      <c r="A1460" s="183"/>
      <c r="B1460" s="184"/>
      <c r="C1460" s="185"/>
      <c r="D1460" s="185"/>
      <c r="E1460" s="186"/>
      <c r="F1460" s="186"/>
      <c r="G1460" s="186"/>
      <c r="H1460" s="186"/>
      <c r="I1460" s="186"/>
      <c r="J1460" s="187"/>
      <c r="K1460" s="132"/>
      <c r="L1460" s="133"/>
    </row>
    <row r="1461" spans="1:14" ht="15.75" x14ac:dyDescent="0.2">
      <c r="A1461" s="602" t="s">
        <v>4</v>
      </c>
      <c r="B1461" s="603"/>
      <c r="C1461" s="603" t="str">
        <f>'A IV.A'!$B$43</f>
        <v>FECHAMENTOS, PROTEÇÕES E ALVENARIAS EM GERAL</v>
      </c>
      <c r="D1461" s="603"/>
      <c r="E1461" s="603"/>
      <c r="F1461" s="603"/>
      <c r="G1461" s="603"/>
      <c r="H1461" s="603"/>
      <c r="I1461" s="603"/>
      <c r="J1461" s="604"/>
      <c r="K1461" s="132"/>
      <c r="L1461" s="133"/>
    </row>
    <row r="1462" spans="1:14" x14ac:dyDescent="0.2">
      <c r="A1462" s="609" t="str">
        <f>'A IV.A'!$A$43</f>
        <v>3.0</v>
      </c>
      <c r="B1462" s="610"/>
      <c r="C1462" s="605"/>
      <c r="D1462" s="605"/>
      <c r="E1462" s="605"/>
      <c r="F1462" s="605"/>
      <c r="G1462" s="605"/>
      <c r="H1462" s="605"/>
      <c r="I1462" s="605"/>
      <c r="J1462" s="606"/>
      <c r="K1462" s="132"/>
      <c r="L1462" s="133"/>
    </row>
    <row r="1463" spans="1:14" ht="13.5" thickBot="1" x14ac:dyDescent="0.25">
      <c r="A1463" s="611"/>
      <c r="B1463" s="612"/>
      <c r="C1463" s="607"/>
      <c r="D1463" s="607"/>
      <c r="E1463" s="607"/>
      <c r="F1463" s="607"/>
      <c r="G1463" s="607"/>
      <c r="H1463" s="607"/>
      <c r="I1463" s="607"/>
      <c r="J1463" s="608"/>
      <c r="K1463" s="132"/>
      <c r="L1463" s="133"/>
    </row>
    <row r="1464" spans="1:14" ht="13.5" thickBot="1" x14ac:dyDescent="0.25">
      <c r="A1464" s="169"/>
      <c r="B1464" s="169"/>
      <c r="C1464" s="613"/>
      <c r="D1464" s="613"/>
      <c r="E1464" s="613"/>
      <c r="F1464" s="613"/>
      <c r="G1464" s="613"/>
      <c r="H1464" s="613"/>
      <c r="I1464" s="613"/>
      <c r="J1464" s="169"/>
      <c r="K1464" s="132"/>
      <c r="L1464" s="133"/>
    </row>
    <row r="1465" spans="1:14" ht="13.5" thickBot="1" x14ac:dyDescent="0.25">
      <c r="A1465" s="730" t="s">
        <v>60</v>
      </c>
      <c r="B1465" s="731"/>
      <c r="C1465" s="654" t="s">
        <v>61</v>
      </c>
      <c r="D1465" s="654"/>
      <c r="E1465" s="654"/>
      <c r="F1465" s="654"/>
      <c r="G1465" s="654"/>
      <c r="H1465" s="654"/>
      <c r="I1465" s="654"/>
      <c r="J1465" s="282" t="s">
        <v>0</v>
      </c>
      <c r="K1465" s="132"/>
      <c r="L1465" s="133"/>
    </row>
    <row r="1466" spans="1:14" x14ac:dyDescent="0.2">
      <c r="A1466" s="136"/>
      <c r="B1466" s="137"/>
      <c r="C1466" s="619"/>
      <c r="D1466" s="620"/>
      <c r="E1466" s="621"/>
      <c r="F1466" s="621"/>
      <c r="G1466" s="621"/>
      <c r="H1466" s="621"/>
      <c r="I1466" s="622"/>
      <c r="J1466" s="138"/>
      <c r="K1466" s="132"/>
      <c r="L1466" s="133"/>
    </row>
    <row r="1467" spans="1:14" x14ac:dyDescent="0.2">
      <c r="A1467" s="623" t="str">
        <f>'A IV.A'!$A$55</f>
        <v>3.2.6</v>
      </c>
      <c r="B1467" s="624"/>
      <c r="C1467" s="626" t="str">
        <f>'A IV.A'!$B$55</f>
        <v>JANELA DE AÇO DE CORRER, TIPO VENEZIANA, FIXAÇÃO COM ARGAMASSA</v>
      </c>
      <c r="D1467" s="627"/>
      <c r="E1467" s="627"/>
      <c r="F1467" s="627"/>
      <c r="G1467" s="627"/>
      <c r="H1467" s="627"/>
      <c r="I1467" s="628"/>
      <c r="J1467" s="629" t="str">
        <f>'A IV.A'!$C$55</f>
        <v>M2</v>
      </c>
      <c r="K1467" s="630" t="str">
        <f>VLOOKUP(A1467,'A IV.A'!$A$14:$M$233,2,FALSE)</f>
        <v>JANELA DE AÇO DE CORRER, TIPO VENEZIANA, FIXAÇÃO COM ARGAMASSA</v>
      </c>
      <c r="L1467" s="631" t="str">
        <f>IF(C1467=K1467,"sim","nao")</f>
        <v>sim</v>
      </c>
      <c r="M1467" s="631" t="str">
        <f>VLOOKUP(A1467,'A IV.A'!$A$14:$M$233,3,FALSE)</f>
        <v>M2</v>
      </c>
      <c r="N1467" s="631" t="str">
        <f>IF(J1467=M1467,"sim","nao")</f>
        <v>sim</v>
      </c>
    </row>
    <row r="1468" spans="1:14" x14ac:dyDescent="0.2">
      <c r="A1468" s="625"/>
      <c r="B1468" s="624"/>
      <c r="C1468" s="626"/>
      <c r="D1468" s="627"/>
      <c r="E1468" s="627"/>
      <c r="F1468" s="627"/>
      <c r="G1468" s="627"/>
      <c r="H1468" s="627"/>
      <c r="I1468" s="628"/>
      <c r="J1468" s="629"/>
      <c r="K1468" s="630"/>
      <c r="L1468" s="631"/>
      <c r="M1468" s="631"/>
      <c r="N1468" s="631"/>
    </row>
    <row r="1469" spans="1:14" x14ac:dyDescent="0.2">
      <c r="A1469" s="139"/>
      <c r="B1469" s="140"/>
      <c r="C1469" s="141"/>
      <c r="D1469" s="142"/>
      <c r="E1469" s="142"/>
      <c r="F1469" s="142"/>
      <c r="G1469" s="142"/>
      <c r="H1469" s="142"/>
      <c r="I1469" s="143"/>
      <c r="J1469" s="144"/>
      <c r="K1469" s="132"/>
      <c r="L1469" s="133"/>
    </row>
    <row r="1470" spans="1:14" x14ac:dyDescent="0.2">
      <c r="A1470" s="158"/>
      <c r="B1470" s="188"/>
      <c r="C1470" s="189"/>
      <c r="D1470" s="165"/>
      <c r="E1470" s="165"/>
      <c r="F1470" s="165"/>
      <c r="G1470" s="165"/>
      <c r="H1470" s="165"/>
      <c r="I1470" s="190"/>
      <c r="J1470" s="191"/>
      <c r="K1470" s="192"/>
      <c r="L1470" s="55"/>
      <c r="M1470" s="55"/>
      <c r="N1470" s="55"/>
    </row>
    <row r="1471" spans="1:14" x14ac:dyDescent="0.2">
      <c r="A1471" s="158"/>
      <c r="B1471" s="188"/>
      <c r="C1471" s="189"/>
      <c r="D1471" s="165"/>
      <c r="E1471" s="165"/>
      <c r="F1471" s="165"/>
      <c r="G1471" s="165"/>
      <c r="H1471" s="165"/>
      <c r="I1471" s="190"/>
      <c r="J1471" s="191"/>
      <c r="K1471" s="192"/>
      <c r="L1471" s="55"/>
      <c r="M1471" s="55"/>
      <c r="N1471" s="55"/>
    </row>
    <row r="1472" spans="1:14" x14ac:dyDescent="0.2">
      <c r="A1472" s="145"/>
      <c r="B1472" s="146"/>
      <c r="C1472" s="147"/>
      <c r="D1472" s="147"/>
      <c r="E1472" s="147"/>
      <c r="F1472" s="147"/>
      <c r="G1472" s="147"/>
      <c r="H1472" s="147"/>
      <c r="I1472" s="147"/>
      <c r="J1472" s="148"/>
      <c r="K1472" s="132"/>
      <c r="L1472" s="133"/>
    </row>
    <row r="1473" spans="1:14" x14ac:dyDescent="0.2">
      <c r="A1473" s="158"/>
      <c r="B1473" s="188"/>
      <c r="C1473" s="189"/>
      <c r="D1473" s="165"/>
      <c r="E1473" s="165"/>
      <c r="F1473" s="165"/>
      <c r="G1473" s="165"/>
      <c r="H1473" s="165"/>
      <c r="I1473" s="190"/>
      <c r="J1473" s="191"/>
      <c r="K1473" s="630"/>
      <c r="L1473" s="631"/>
      <c r="M1473" s="631"/>
      <c r="N1473" s="631"/>
    </row>
    <row r="1474" spans="1:14" x14ac:dyDescent="0.2">
      <c r="A1474" s="158"/>
      <c r="B1474" s="188"/>
      <c r="C1474" s="189"/>
      <c r="D1474" s="165"/>
      <c r="E1474" s="165"/>
      <c r="F1474" s="165"/>
      <c r="G1474" s="165"/>
      <c r="H1474" s="165"/>
      <c r="I1474" s="190"/>
      <c r="J1474" s="191"/>
      <c r="K1474" s="630"/>
      <c r="L1474" s="631"/>
      <c r="M1474" s="631"/>
      <c r="N1474" s="631"/>
    </row>
    <row r="1475" spans="1:14" x14ac:dyDescent="0.2">
      <c r="A1475" s="145"/>
      <c r="B1475" s="146"/>
      <c r="C1475" s="147"/>
      <c r="D1475" s="147"/>
      <c r="E1475" s="147"/>
      <c r="F1475" s="147"/>
      <c r="G1475" s="147"/>
      <c r="H1475" s="147"/>
      <c r="I1475" s="147"/>
      <c r="J1475" s="148"/>
      <c r="K1475" s="132"/>
      <c r="L1475" s="133"/>
    </row>
    <row r="1476" spans="1:14" x14ac:dyDescent="0.2">
      <c r="A1476" s="145"/>
      <c r="B1476" s="146"/>
      <c r="C1476" s="147"/>
      <c r="D1476" s="147"/>
      <c r="E1476" s="147"/>
      <c r="F1476" s="147"/>
      <c r="G1476" s="147"/>
      <c r="H1476" s="147"/>
      <c r="I1476" s="147"/>
      <c r="J1476" s="148"/>
      <c r="K1476" s="132"/>
      <c r="L1476" s="133"/>
    </row>
    <row r="1477" spans="1:14" x14ac:dyDescent="0.2">
      <c r="A1477" s="145"/>
      <c r="B1477" s="146"/>
      <c r="C1477" s="147"/>
      <c r="D1477" s="147"/>
      <c r="E1477" s="147"/>
      <c r="F1477" s="147"/>
      <c r="G1477" s="147"/>
      <c r="H1477" s="147"/>
      <c r="I1477" s="147"/>
      <c r="J1477" s="148"/>
      <c r="K1477" s="132"/>
      <c r="L1477" s="133"/>
    </row>
    <row r="1478" spans="1:14" x14ac:dyDescent="0.2">
      <c r="A1478" s="145"/>
      <c r="B1478" s="146"/>
      <c r="C1478" s="147"/>
      <c r="D1478" s="147"/>
      <c r="E1478" s="147"/>
      <c r="F1478" s="147"/>
      <c r="G1478" s="147"/>
      <c r="H1478" s="147"/>
      <c r="I1478" s="147"/>
      <c r="J1478" s="148"/>
      <c r="K1478" s="132"/>
      <c r="L1478" s="133"/>
    </row>
    <row r="1479" spans="1:14" x14ac:dyDescent="0.2">
      <c r="A1479" s="145"/>
      <c r="B1479" s="146"/>
      <c r="C1479" s="147"/>
      <c r="D1479" s="147"/>
      <c r="E1479" s="147"/>
      <c r="F1479" s="147"/>
      <c r="G1479" s="147"/>
      <c r="H1479" s="147"/>
      <c r="I1479" s="147"/>
      <c r="J1479" s="148"/>
      <c r="K1479" s="132"/>
      <c r="L1479" s="133"/>
    </row>
    <row r="1480" spans="1:14" x14ac:dyDescent="0.2">
      <c r="A1480" s="145"/>
      <c r="B1480" s="146"/>
      <c r="C1480" s="147"/>
      <c r="D1480" s="147"/>
      <c r="E1480" s="147"/>
      <c r="F1480" s="147"/>
      <c r="G1480" s="147"/>
      <c r="H1480" s="147"/>
      <c r="I1480" s="147"/>
      <c r="J1480" s="148"/>
      <c r="K1480" s="132"/>
      <c r="L1480" s="133"/>
    </row>
    <row r="1481" spans="1:14" x14ac:dyDescent="0.2">
      <c r="A1481" s="145"/>
      <c r="B1481" s="146"/>
      <c r="C1481" s="147"/>
      <c r="D1481" s="147"/>
      <c r="E1481" s="147"/>
      <c r="F1481" s="147"/>
      <c r="G1481" s="147"/>
      <c r="H1481" s="147"/>
      <c r="I1481" s="147"/>
      <c r="J1481" s="148"/>
      <c r="K1481" s="132"/>
      <c r="L1481" s="133"/>
    </row>
    <row r="1482" spans="1:14" x14ac:dyDescent="0.2">
      <c r="A1482" s="145"/>
      <c r="B1482" s="146"/>
      <c r="C1482" s="147"/>
      <c r="D1482" s="147"/>
      <c r="E1482" s="147"/>
      <c r="F1482" s="147"/>
      <c r="G1482" s="147"/>
      <c r="H1482" s="147"/>
      <c r="I1482" s="147"/>
      <c r="J1482" s="148"/>
      <c r="K1482" s="132"/>
      <c r="L1482" s="133"/>
    </row>
    <row r="1483" spans="1:14" x14ac:dyDescent="0.2">
      <c r="A1483" s="145"/>
      <c r="B1483" s="146"/>
      <c r="C1483" s="147"/>
      <c r="D1483" s="147"/>
      <c r="E1483" s="147"/>
      <c r="F1483" s="147"/>
      <c r="G1483" s="147"/>
      <c r="H1483" s="147"/>
      <c r="I1483" s="147"/>
      <c r="J1483" s="148"/>
      <c r="K1483" s="132"/>
      <c r="L1483" s="133"/>
    </row>
    <row r="1484" spans="1:14" x14ac:dyDescent="0.2">
      <c r="A1484" s="145"/>
      <c r="B1484" s="146"/>
      <c r="C1484" s="147"/>
      <c r="D1484" s="147"/>
      <c r="E1484" s="147"/>
      <c r="F1484" s="147"/>
      <c r="G1484" s="147"/>
      <c r="H1484" s="147"/>
      <c r="I1484" s="147"/>
      <c r="J1484" s="148"/>
      <c r="K1484" s="132"/>
      <c r="L1484" s="133"/>
    </row>
    <row r="1485" spans="1:14" x14ac:dyDescent="0.2">
      <c r="A1485" s="145"/>
      <c r="B1485" s="146"/>
      <c r="C1485" s="147"/>
      <c r="D1485" s="147"/>
      <c r="E1485" s="147"/>
      <c r="F1485" s="147"/>
      <c r="G1485" s="147"/>
      <c r="H1485" s="147"/>
      <c r="I1485" s="147"/>
      <c r="J1485" s="148"/>
      <c r="K1485" s="132"/>
      <c r="L1485" s="133"/>
    </row>
    <row r="1486" spans="1:14" x14ac:dyDescent="0.2">
      <c r="A1486" s="145"/>
      <c r="B1486" s="146"/>
      <c r="C1486" s="147"/>
      <c r="D1486" s="147"/>
      <c r="E1486" s="147"/>
      <c r="F1486" s="147"/>
      <c r="G1486" s="147"/>
      <c r="H1486" s="147"/>
      <c r="I1486" s="147"/>
      <c r="J1486" s="148"/>
      <c r="K1486" s="132"/>
      <c r="L1486" s="133"/>
    </row>
    <row r="1487" spans="1:14" x14ac:dyDescent="0.2">
      <c r="A1487" s="145"/>
      <c r="B1487" s="146"/>
      <c r="C1487" s="147"/>
      <c r="D1487" s="147"/>
      <c r="E1487" s="147"/>
      <c r="F1487" s="147"/>
      <c r="G1487" s="147"/>
      <c r="H1487" s="147"/>
      <c r="I1487" s="147"/>
      <c r="J1487" s="148"/>
      <c r="K1487" s="132"/>
      <c r="L1487" s="133"/>
    </row>
    <row r="1488" spans="1:14" ht="13.5" thickBot="1" x14ac:dyDescent="0.25">
      <c r="A1488" s="149"/>
      <c r="B1488" s="150"/>
      <c r="C1488" s="151"/>
      <c r="D1488" s="151"/>
      <c r="E1488" s="151"/>
      <c r="F1488" s="151"/>
      <c r="G1488" s="151"/>
      <c r="H1488" s="151"/>
      <c r="I1488" s="151"/>
      <c r="J1488" s="152"/>
      <c r="K1488" s="132"/>
      <c r="L1488" s="133"/>
    </row>
    <row r="1489" spans="1:12" ht="13.5" thickBot="1" x14ac:dyDescent="0.25">
      <c r="A1489" s="153"/>
      <c r="B1489" s="153"/>
      <c r="C1489" s="154"/>
      <c r="D1489" s="154"/>
      <c r="E1489" s="154"/>
      <c r="F1489" s="154"/>
      <c r="G1489" s="154"/>
      <c r="H1489" s="154"/>
      <c r="I1489" s="154"/>
      <c r="J1489" s="153"/>
      <c r="K1489" s="132"/>
      <c r="L1489" s="133"/>
    </row>
    <row r="1490" spans="1:12" ht="13.5" thickBot="1" x14ac:dyDescent="0.25">
      <c r="A1490" s="614" t="s">
        <v>62</v>
      </c>
      <c r="B1490" s="648"/>
      <c r="C1490" s="648"/>
      <c r="D1490" s="648"/>
      <c r="E1490" s="648"/>
      <c r="F1490" s="648"/>
      <c r="G1490" s="648"/>
      <c r="H1490" s="648"/>
      <c r="I1490" s="648"/>
      <c r="J1490" s="649"/>
      <c r="K1490" s="132"/>
      <c r="L1490" s="133"/>
    </row>
    <row r="1491" spans="1:12" x14ac:dyDescent="0.2">
      <c r="A1491" s="136"/>
      <c r="B1491" s="155"/>
      <c r="C1491" s="156"/>
      <c r="D1491" s="156"/>
      <c r="E1491" s="156"/>
      <c r="F1491" s="156"/>
      <c r="G1491" s="156"/>
      <c r="H1491" s="156"/>
      <c r="I1491" s="156"/>
      <c r="J1491" s="157"/>
      <c r="K1491" s="132"/>
      <c r="L1491" s="133"/>
    </row>
    <row r="1492" spans="1:12" ht="12.75" customHeight="1" x14ac:dyDescent="0.2">
      <c r="A1492" s="158" t="s">
        <v>63</v>
      </c>
      <c r="B1492" s="55"/>
      <c r="C1492" s="634" t="s">
        <v>723</v>
      </c>
      <c r="D1492" s="634"/>
      <c r="E1492" s="634"/>
      <c r="F1492" s="634"/>
      <c r="G1492" s="634"/>
      <c r="H1492" s="634"/>
      <c r="I1492" s="634"/>
      <c r="J1492" s="635"/>
      <c r="K1492" s="132"/>
      <c r="L1492" s="133"/>
    </row>
    <row r="1493" spans="1:12" x14ac:dyDescent="0.2">
      <c r="A1493" s="158"/>
      <c r="B1493" s="55"/>
      <c r="C1493" s="634"/>
      <c r="D1493" s="634"/>
      <c r="E1493" s="634"/>
      <c r="F1493" s="634"/>
      <c r="G1493" s="634"/>
      <c r="H1493" s="634"/>
      <c r="I1493" s="634"/>
      <c r="J1493" s="635"/>
      <c r="K1493" s="132"/>
      <c r="L1493" s="133"/>
    </row>
    <row r="1494" spans="1:12" x14ac:dyDescent="0.2">
      <c r="A1494" s="158"/>
      <c r="B1494" s="55"/>
      <c r="C1494" s="634"/>
      <c r="D1494" s="634"/>
      <c r="E1494" s="634"/>
      <c r="F1494" s="634"/>
      <c r="G1494" s="634"/>
      <c r="H1494" s="634"/>
      <c r="I1494" s="634"/>
      <c r="J1494" s="635"/>
      <c r="K1494" s="132"/>
      <c r="L1494" s="133"/>
    </row>
    <row r="1495" spans="1:12" x14ac:dyDescent="0.2">
      <c r="A1495" s="158"/>
      <c r="B1495" s="55"/>
      <c r="C1495" s="634"/>
      <c r="D1495" s="634"/>
      <c r="E1495" s="634"/>
      <c r="F1495" s="634"/>
      <c r="G1495" s="634"/>
      <c r="H1495" s="634"/>
      <c r="I1495" s="634"/>
      <c r="J1495" s="635"/>
      <c r="K1495" s="132"/>
      <c r="L1495" s="133"/>
    </row>
    <row r="1496" spans="1:12" x14ac:dyDescent="0.2">
      <c r="A1496" s="158"/>
      <c r="B1496" s="55"/>
      <c r="C1496" s="634"/>
      <c r="D1496" s="634"/>
      <c r="E1496" s="634"/>
      <c r="F1496" s="634"/>
      <c r="G1496" s="634"/>
      <c r="H1496" s="634"/>
      <c r="I1496" s="634"/>
      <c r="J1496" s="635"/>
      <c r="K1496" s="132"/>
      <c r="L1496" s="133"/>
    </row>
    <row r="1497" spans="1:12" x14ac:dyDescent="0.2">
      <c r="A1497" s="158"/>
      <c r="B1497" s="55"/>
      <c r="C1497" s="175"/>
      <c r="D1497" s="175"/>
      <c r="E1497" s="175"/>
      <c r="F1497" s="175"/>
      <c r="G1497" s="175"/>
      <c r="H1497" s="175"/>
      <c r="I1497" s="175"/>
      <c r="J1497" s="176"/>
      <c r="K1497" s="132"/>
      <c r="L1497" s="133"/>
    </row>
    <row r="1498" spans="1:12" x14ac:dyDescent="0.2">
      <c r="A1498" s="598" t="s">
        <v>64</v>
      </c>
      <c r="B1498" s="638"/>
      <c r="C1498" s="600" t="s">
        <v>724</v>
      </c>
      <c r="D1498" s="600"/>
      <c r="E1498" s="600"/>
      <c r="F1498" s="600"/>
      <c r="G1498" s="600"/>
      <c r="H1498" s="600"/>
      <c r="I1498" s="600"/>
      <c r="J1498" s="601"/>
      <c r="K1498" s="132"/>
      <c r="L1498" s="133"/>
    </row>
    <row r="1499" spans="1:12" x14ac:dyDescent="0.2">
      <c r="A1499" s="598"/>
      <c r="B1499" s="638"/>
      <c r="C1499" s="600"/>
      <c r="D1499" s="600"/>
      <c r="E1499" s="600"/>
      <c r="F1499" s="600"/>
      <c r="G1499" s="600"/>
      <c r="H1499" s="600"/>
      <c r="I1499" s="600"/>
      <c r="J1499" s="601"/>
      <c r="K1499" s="132"/>
      <c r="L1499" s="133"/>
    </row>
    <row r="1500" spans="1:12" x14ac:dyDescent="0.2">
      <c r="A1500" s="158"/>
      <c r="B1500" s="55"/>
      <c r="C1500" s="71"/>
      <c r="D1500" s="71"/>
      <c r="E1500" s="71"/>
      <c r="F1500" s="71"/>
      <c r="G1500" s="71"/>
      <c r="H1500" s="71"/>
      <c r="I1500" s="71"/>
      <c r="J1500" s="174"/>
      <c r="K1500" s="132"/>
      <c r="L1500" s="133"/>
    </row>
    <row r="1501" spans="1:12" x14ac:dyDescent="0.2">
      <c r="A1501" s="158" t="s">
        <v>687</v>
      </c>
      <c r="B1501" s="55"/>
      <c r="C1501" s="675" t="s">
        <v>688</v>
      </c>
      <c r="D1501" s="675"/>
      <c r="E1501" s="675"/>
      <c r="F1501" s="675"/>
      <c r="G1501" s="675"/>
      <c r="H1501" s="675"/>
      <c r="I1501" s="675"/>
      <c r="J1501" s="676"/>
      <c r="K1501" s="132"/>
      <c r="L1501" s="133"/>
    </row>
    <row r="1502" spans="1:12" x14ac:dyDescent="0.2">
      <c r="A1502" s="158"/>
      <c r="B1502" s="55"/>
      <c r="C1502" s="71"/>
      <c r="D1502" s="71"/>
      <c r="E1502" s="71"/>
      <c r="F1502" s="71"/>
      <c r="G1502" s="71"/>
      <c r="H1502" s="71"/>
      <c r="I1502" s="71"/>
      <c r="J1502" s="174"/>
      <c r="K1502" s="132"/>
      <c r="L1502" s="133"/>
    </row>
    <row r="1503" spans="1:12" x14ac:dyDescent="0.2">
      <c r="A1503" s="158"/>
      <c r="B1503" s="55"/>
      <c r="C1503" s="71"/>
      <c r="D1503" s="71"/>
      <c r="E1503" s="71"/>
      <c r="F1503" s="71"/>
      <c r="G1503" s="71"/>
      <c r="H1503" s="71"/>
      <c r="I1503" s="71"/>
      <c r="J1503" s="174"/>
      <c r="K1503" s="132"/>
      <c r="L1503" s="133"/>
    </row>
    <row r="1504" spans="1:12" x14ac:dyDescent="0.2">
      <c r="A1504" s="158"/>
      <c r="B1504" s="55"/>
      <c r="C1504" s="71"/>
      <c r="D1504" s="71"/>
      <c r="E1504" s="71"/>
      <c r="F1504" s="71"/>
      <c r="G1504" s="71"/>
      <c r="H1504" s="71"/>
      <c r="I1504" s="71"/>
      <c r="J1504" s="174"/>
      <c r="K1504" s="132"/>
      <c r="L1504" s="133"/>
    </row>
    <row r="1505" spans="1:14" x14ac:dyDescent="0.2">
      <c r="A1505" s="158"/>
      <c r="B1505" s="55"/>
      <c r="C1505" s="71"/>
      <c r="D1505" s="71"/>
      <c r="E1505" s="71"/>
      <c r="F1505" s="71"/>
      <c r="G1505" s="71"/>
      <c r="H1505" s="71"/>
      <c r="I1505" s="71"/>
      <c r="J1505" s="174"/>
      <c r="K1505" s="132"/>
      <c r="L1505" s="133"/>
    </row>
    <row r="1506" spans="1:14" x14ac:dyDescent="0.2">
      <c r="A1506" s="158"/>
      <c r="B1506" s="55"/>
      <c r="C1506" s="71"/>
      <c r="D1506" s="71"/>
      <c r="E1506" s="71"/>
      <c r="F1506" s="71"/>
      <c r="G1506" s="71"/>
      <c r="H1506" s="71"/>
      <c r="I1506" s="71"/>
      <c r="J1506" s="174"/>
      <c r="K1506" s="132"/>
      <c r="L1506" s="133"/>
    </row>
    <row r="1507" spans="1:14" x14ac:dyDescent="0.2">
      <c r="A1507" s="158"/>
      <c r="B1507" s="55"/>
      <c r="C1507" s="71"/>
      <c r="D1507" s="71"/>
      <c r="E1507" s="71"/>
      <c r="F1507" s="71"/>
      <c r="G1507" s="71"/>
      <c r="H1507" s="71"/>
      <c r="I1507" s="71"/>
      <c r="J1507" s="174"/>
      <c r="K1507" s="132"/>
      <c r="L1507" s="133"/>
    </row>
    <row r="1508" spans="1:14" x14ac:dyDescent="0.2">
      <c r="A1508" s="158"/>
      <c r="B1508" s="55"/>
      <c r="C1508" s="71"/>
      <c r="D1508" s="71"/>
      <c r="E1508" s="71"/>
      <c r="F1508" s="71"/>
      <c r="G1508" s="71"/>
      <c r="H1508" s="71"/>
      <c r="I1508" s="71"/>
      <c r="J1508" s="174"/>
      <c r="K1508" s="132"/>
      <c r="L1508" s="133"/>
    </row>
    <row r="1509" spans="1:14" x14ac:dyDescent="0.2">
      <c r="A1509" s="158"/>
      <c r="B1509" s="55"/>
      <c r="C1509" s="71"/>
      <c r="D1509" s="71"/>
      <c r="E1509" s="71"/>
      <c r="F1509" s="71"/>
      <c r="G1509" s="71"/>
      <c r="H1509" s="71"/>
      <c r="I1509" s="71"/>
      <c r="J1509" s="174"/>
      <c r="K1509" s="132"/>
      <c r="L1509" s="133"/>
    </row>
    <row r="1510" spans="1:14" x14ac:dyDescent="0.2">
      <c r="A1510" s="158"/>
      <c r="B1510" s="55"/>
      <c r="C1510" s="175"/>
      <c r="D1510" s="175"/>
      <c r="E1510" s="172"/>
      <c r="F1510" s="172"/>
      <c r="G1510" s="172"/>
      <c r="H1510" s="172"/>
      <c r="I1510" s="172"/>
      <c r="J1510" s="173"/>
      <c r="K1510" s="132"/>
      <c r="L1510" s="133"/>
    </row>
    <row r="1511" spans="1:14" x14ac:dyDescent="0.2">
      <c r="A1511" s="158"/>
      <c r="B1511" s="55"/>
      <c r="C1511" s="175"/>
      <c r="D1511" s="175"/>
      <c r="E1511" s="172"/>
      <c r="F1511" s="172"/>
      <c r="G1511" s="172"/>
      <c r="H1511" s="172"/>
      <c r="I1511" s="172"/>
      <c r="J1511" s="173"/>
      <c r="K1511" s="132"/>
      <c r="L1511" s="133"/>
    </row>
    <row r="1512" spans="1:14" ht="13.5" thickBot="1" x14ac:dyDescent="0.25">
      <c r="A1512" s="183"/>
      <c r="B1512" s="184"/>
      <c r="C1512" s="185"/>
      <c r="D1512" s="185"/>
      <c r="E1512" s="186"/>
      <c r="F1512" s="186"/>
      <c r="G1512" s="186"/>
      <c r="H1512" s="186"/>
      <c r="I1512" s="186"/>
      <c r="J1512" s="187"/>
      <c r="K1512" s="132"/>
      <c r="L1512" s="133"/>
    </row>
    <row r="1513" spans="1:14" ht="15.75" x14ac:dyDescent="0.2">
      <c r="A1513" s="602" t="s">
        <v>4</v>
      </c>
      <c r="B1513" s="603"/>
      <c r="C1513" s="603" t="str">
        <f>'A IV.A'!$B$43</f>
        <v>FECHAMENTOS, PROTEÇÕES E ALVENARIAS EM GERAL</v>
      </c>
      <c r="D1513" s="603"/>
      <c r="E1513" s="603"/>
      <c r="F1513" s="603"/>
      <c r="G1513" s="603"/>
      <c r="H1513" s="603"/>
      <c r="I1513" s="603"/>
      <c r="J1513" s="604"/>
      <c r="K1513" s="132"/>
      <c r="L1513" s="133"/>
    </row>
    <row r="1514" spans="1:14" x14ac:dyDescent="0.2">
      <c r="A1514" s="609" t="str">
        <f>'A IV.A'!$A$43</f>
        <v>3.0</v>
      </c>
      <c r="B1514" s="610"/>
      <c r="C1514" s="605"/>
      <c r="D1514" s="605"/>
      <c r="E1514" s="605"/>
      <c r="F1514" s="605"/>
      <c r="G1514" s="605"/>
      <c r="H1514" s="605"/>
      <c r="I1514" s="605"/>
      <c r="J1514" s="606"/>
      <c r="K1514" s="132"/>
      <c r="L1514" s="133"/>
    </row>
    <row r="1515" spans="1:14" ht="13.5" thickBot="1" x14ac:dyDescent="0.25">
      <c r="A1515" s="611"/>
      <c r="B1515" s="612"/>
      <c r="C1515" s="607"/>
      <c r="D1515" s="607"/>
      <c r="E1515" s="607"/>
      <c r="F1515" s="607"/>
      <c r="G1515" s="607"/>
      <c r="H1515" s="607"/>
      <c r="I1515" s="607"/>
      <c r="J1515" s="608"/>
      <c r="K1515" s="132"/>
      <c r="L1515" s="133"/>
    </row>
    <row r="1516" spans="1:14" ht="13.5" thickBot="1" x14ac:dyDescent="0.25">
      <c r="A1516" s="169"/>
      <c r="B1516" s="169"/>
      <c r="C1516" s="613"/>
      <c r="D1516" s="613"/>
      <c r="E1516" s="613"/>
      <c r="F1516" s="613"/>
      <c r="G1516" s="613"/>
      <c r="H1516" s="613"/>
      <c r="I1516" s="613"/>
      <c r="J1516" s="169"/>
      <c r="K1516" s="132"/>
      <c r="L1516" s="133"/>
    </row>
    <row r="1517" spans="1:14" ht="13.5" thickBot="1" x14ac:dyDescent="0.25">
      <c r="A1517" s="730" t="s">
        <v>60</v>
      </c>
      <c r="B1517" s="731"/>
      <c r="C1517" s="654" t="s">
        <v>61</v>
      </c>
      <c r="D1517" s="654"/>
      <c r="E1517" s="654"/>
      <c r="F1517" s="654"/>
      <c r="G1517" s="654"/>
      <c r="H1517" s="654"/>
      <c r="I1517" s="654"/>
      <c r="J1517" s="282" t="s">
        <v>0</v>
      </c>
      <c r="K1517" s="132"/>
      <c r="L1517" s="133"/>
    </row>
    <row r="1518" spans="1:14" x14ac:dyDescent="0.2">
      <c r="A1518" s="136"/>
      <c r="B1518" s="137"/>
      <c r="C1518" s="619"/>
      <c r="D1518" s="620"/>
      <c r="E1518" s="621"/>
      <c r="F1518" s="621"/>
      <c r="G1518" s="621"/>
      <c r="H1518" s="621"/>
      <c r="I1518" s="622"/>
      <c r="J1518" s="138"/>
      <c r="K1518" s="132"/>
      <c r="L1518" s="133"/>
    </row>
    <row r="1519" spans="1:14" x14ac:dyDescent="0.2">
      <c r="A1519" s="623" t="str">
        <f>'A IV.A'!$A$56</f>
        <v>3.2.7</v>
      </c>
      <c r="B1519" s="624"/>
      <c r="C1519" s="626" t="str">
        <f>'A IV.A'!$B$56</f>
        <v>TAMPA METÁLICA EM CHAPA DE AÇO GALVANIZADA Nº 16 - PADRÃO SEMAE</v>
      </c>
      <c r="D1519" s="627"/>
      <c r="E1519" s="627"/>
      <c r="F1519" s="627"/>
      <c r="G1519" s="627"/>
      <c r="H1519" s="627"/>
      <c r="I1519" s="628"/>
      <c r="J1519" s="629" t="str">
        <f>'A IV.A'!$C$56</f>
        <v>M2</v>
      </c>
      <c r="K1519" s="630" t="str">
        <f>VLOOKUP(A1519,'A IV.A'!$A$14:$M$233,2,FALSE)</f>
        <v>TAMPA METÁLICA EM CHAPA DE AÇO GALVANIZADA Nº 16 - PADRÃO SEMAE</v>
      </c>
      <c r="L1519" s="631" t="str">
        <f>IF(C1519=K1519,"sim","nao")</f>
        <v>sim</v>
      </c>
      <c r="M1519" s="631" t="str">
        <f>VLOOKUP(A1519,'A IV.A'!$A$14:$M$233,3,FALSE)</f>
        <v>M2</v>
      </c>
      <c r="N1519" s="631" t="str">
        <f>IF(J1519=M1519,"sim","nao")</f>
        <v>sim</v>
      </c>
    </row>
    <row r="1520" spans="1:14" x14ac:dyDescent="0.2">
      <c r="A1520" s="625"/>
      <c r="B1520" s="624"/>
      <c r="C1520" s="626"/>
      <c r="D1520" s="627"/>
      <c r="E1520" s="627"/>
      <c r="F1520" s="627"/>
      <c r="G1520" s="627"/>
      <c r="H1520" s="627"/>
      <c r="I1520" s="628"/>
      <c r="J1520" s="629"/>
      <c r="K1520" s="630"/>
      <c r="L1520" s="631"/>
      <c r="M1520" s="631"/>
      <c r="N1520" s="631"/>
    </row>
    <row r="1521" spans="1:14" x14ac:dyDescent="0.2">
      <c r="A1521" s="139"/>
      <c r="B1521" s="140"/>
      <c r="C1521" s="141"/>
      <c r="D1521" s="142"/>
      <c r="E1521" s="142"/>
      <c r="F1521" s="142"/>
      <c r="G1521" s="142"/>
      <c r="H1521" s="142"/>
      <c r="I1521" s="143"/>
      <c r="J1521" s="144"/>
      <c r="K1521" s="132"/>
      <c r="L1521" s="133"/>
    </row>
    <row r="1522" spans="1:14" x14ac:dyDescent="0.2">
      <c r="A1522" s="199"/>
      <c r="B1522" s="188"/>
      <c r="C1522" s="189"/>
      <c r="D1522" s="165"/>
      <c r="E1522" s="165"/>
      <c r="F1522" s="165"/>
      <c r="G1522" s="165"/>
      <c r="H1522" s="165"/>
      <c r="I1522" s="190"/>
      <c r="J1522" s="191"/>
      <c r="K1522" s="630"/>
      <c r="L1522" s="631"/>
      <c r="M1522" s="631"/>
      <c r="N1522" s="631"/>
    </row>
    <row r="1523" spans="1:14" x14ac:dyDescent="0.2">
      <c r="A1523" s="158"/>
      <c r="B1523" s="188"/>
      <c r="C1523" s="189"/>
      <c r="D1523" s="165"/>
      <c r="E1523" s="165"/>
      <c r="F1523" s="165"/>
      <c r="G1523" s="165"/>
      <c r="H1523" s="165"/>
      <c r="I1523" s="190"/>
      <c r="J1523" s="191"/>
      <c r="K1523" s="630"/>
      <c r="L1523" s="631"/>
      <c r="M1523" s="631"/>
      <c r="N1523" s="631"/>
    </row>
    <row r="1524" spans="1:14" x14ac:dyDescent="0.2">
      <c r="A1524" s="139"/>
      <c r="B1524" s="140"/>
      <c r="C1524" s="141"/>
      <c r="D1524" s="142"/>
      <c r="E1524" s="142"/>
      <c r="F1524" s="142"/>
      <c r="G1524" s="142"/>
      <c r="H1524" s="142"/>
      <c r="I1524" s="143"/>
      <c r="J1524" s="144"/>
      <c r="K1524" s="132"/>
      <c r="L1524" s="133"/>
    </row>
    <row r="1525" spans="1:14" x14ac:dyDescent="0.2">
      <c r="A1525" s="158"/>
      <c r="B1525" s="188"/>
      <c r="C1525" s="189"/>
      <c r="D1525" s="165"/>
      <c r="E1525" s="165"/>
      <c r="F1525" s="165"/>
      <c r="G1525" s="165"/>
      <c r="H1525" s="165"/>
      <c r="I1525" s="190"/>
      <c r="J1525" s="191"/>
      <c r="K1525" s="630"/>
      <c r="L1525" s="631"/>
      <c r="M1525" s="631"/>
      <c r="N1525" s="631"/>
    </row>
    <row r="1526" spans="1:14" x14ac:dyDescent="0.2">
      <c r="A1526" s="158"/>
      <c r="B1526" s="188"/>
      <c r="C1526" s="189"/>
      <c r="D1526" s="165"/>
      <c r="E1526" s="165"/>
      <c r="F1526" s="165"/>
      <c r="G1526" s="165"/>
      <c r="H1526" s="165"/>
      <c r="I1526" s="190"/>
      <c r="J1526" s="191"/>
      <c r="K1526" s="630"/>
      <c r="L1526" s="631"/>
      <c r="M1526" s="631"/>
      <c r="N1526" s="631"/>
    </row>
    <row r="1527" spans="1:14" x14ac:dyDescent="0.2">
      <c r="A1527" s="145"/>
      <c r="B1527" s="146"/>
      <c r="C1527" s="147"/>
      <c r="D1527" s="147"/>
      <c r="E1527" s="147"/>
      <c r="F1527" s="147"/>
      <c r="G1527" s="147"/>
      <c r="H1527" s="147"/>
      <c r="I1527" s="147"/>
      <c r="J1527" s="148"/>
      <c r="K1527" s="132"/>
      <c r="L1527" s="133"/>
    </row>
    <row r="1528" spans="1:14" x14ac:dyDescent="0.2">
      <c r="A1528" s="145"/>
      <c r="B1528" s="146"/>
      <c r="C1528" s="147"/>
      <c r="D1528" s="147"/>
      <c r="E1528" s="147"/>
      <c r="F1528" s="147"/>
      <c r="G1528" s="147"/>
      <c r="H1528" s="147"/>
      <c r="I1528" s="147"/>
      <c r="J1528" s="148"/>
      <c r="K1528" s="132"/>
      <c r="L1528" s="133"/>
    </row>
    <row r="1529" spans="1:14" x14ac:dyDescent="0.2">
      <c r="A1529" s="145"/>
      <c r="B1529" s="146"/>
      <c r="C1529" s="147"/>
      <c r="D1529" s="147"/>
      <c r="E1529" s="147"/>
      <c r="F1529" s="147"/>
      <c r="G1529" s="147"/>
      <c r="H1529" s="147"/>
      <c r="I1529" s="147"/>
      <c r="J1529" s="148"/>
      <c r="K1529" s="132"/>
      <c r="L1529" s="133"/>
    </row>
    <row r="1530" spans="1:14" x14ac:dyDescent="0.2">
      <c r="A1530" s="145"/>
      <c r="B1530" s="146"/>
      <c r="C1530" s="147"/>
      <c r="D1530" s="147"/>
      <c r="E1530" s="147"/>
      <c r="F1530" s="147"/>
      <c r="G1530" s="147"/>
      <c r="H1530" s="147"/>
      <c r="I1530" s="147"/>
      <c r="J1530" s="148"/>
      <c r="K1530" s="132"/>
      <c r="L1530" s="133"/>
    </row>
    <row r="1531" spans="1:14" x14ac:dyDescent="0.2">
      <c r="A1531" s="145"/>
      <c r="B1531" s="146"/>
      <c r="C1531" s="147"/>
      <c r="D1531" s="147"/>
      <c r="E1531" s="147"/>
      <c r="F1531" s="147"/>
      <c r="G1531" s="147"/>
      <c r="H1531" s="147"/>
      <c r="I1531" s="147"/>
      <c r="J1531" s="148"/>
      <c r="K1531" s="132"/>
      <c r="L1531" s="133"/>
    </row>
    <row r="1532" spans="1:14" x14ac:dyDescent="0.2">
      <c r="A1532" s="145"/>
      <c r="B1532" s="146"/>
      <c r="C1532" s="147"/>
      <c r="D1532" s="147"/>
      <c r="E1532" s="147"/>
      <c r="F1532" s="147"/>
      <c r="G1532" s="147"/>
      <c r="H1532" s="147"/>
      <c r="I1532" s="147"/>
      <c r="J1532" s="148"/>
      <c r="K1532" s="132"/>
      <c r="L1532" s="133"/>
    </row>
    <row r="1533" spans="1:14" x14ac:dyDescent="0.2">
      <c r="A1533" s="145"/>
      <c r="B1533" s="146"/>
      <c r="C1533" s="147"/>
      <c r="D1533" s="147"/>
      <c r="E1533" s="147"/>
      <c r="F1533" s="147"/>
      <c r="G1533" s="147"/>
      <c r="H1533" s="147"/>
      <c r="I1533" s="147"/>
      <c r="J1533" s="148"/>
      <c r="K1533" s="132"/>
      <c r="L1533" s="133"/>
    </row>
    <row r="1534" spans="1:14" x14ac:dyDescent="0.2">
      <c r="A1534" s="145"/>
      <c r="B1534" s="146"/>
      <c r="C1534" s="147"/>
      <c r="D1534" s="147"/>
      <c r="E1534" s="147"/>
      <c r="F1534" s="147"/>
      <c r="G1534" s="147"/>
      <c r="H1534" s="147"/>
      <c r="I1534" s="147"/>
      <c r="J1534" s="148"/>
      <c r="K1534" s="132"/>
      <c r="L1534" s="133"/>
    </row>
    <row r="1535" spans="1:14" x14ac:dyDescent="0.2">
      <c r="A1535" s="145"/>
      <c r="B1535" s="146"/>
      <c r="C1535" s="147"/>
      <c r="D1535" s="147"/>
      <c r="E1535" s="147"/>
      <c r="F1535" s="147"/>
      <c r="G1535" s="147"/>
      <c r="H1535" s="147"/>
      <c r="I1535" s="147"/>
      <c r="J1535" s="148"/>
      <c r="K1535" s="132"/>
      <c r="L1535" s="133"/>
    </row>
    <row r="1536" spans="1:14" x14ac:dyDescent="0.2">
      <c r="A1536" s="145"/>
      <c r="B1536" s="146"/>
      <c r="C1536" s="147"/>
      <c r="D1536" s="147"/>
      <c r="E1536" s="147"/>
      <c r="F1536" s="147"/>
      <c r="G1536" s="147"/>
      <c r="H1536" s="147"/>
      <c r="I1536" s="147"/>
      <c r="J1536" s="148"/>
      <c r="K1536" s="132"/>
      <c r="L1536" s="133"/>
    </row>
    <row r="1537" spans="1:12" x14ac:dyDescent="0.2">
      <c r="A1537" s="145"/>
      <c r="B1537" s="146"/>
      <c r="C1537" s="147"/>
      <c r="D1537" s="147"/>
      <c r="E1537" s="147"/>
      <c r="F1537" s="147"/>
      <c r="G1537" s="147"/>
      <c r="H1537" s="147"/>
      <c r="I1537" s="147"/>
      <c r="J1537" s="148"/>
      <c r="K1537" s="132"/>
      <c r="L1537" s="133"/>
    </row>
    <row r="1538" spans="1:12" x14ac:dyDescent="0.2">
      <c r="A1538" s="145"/>
      <c r="B1538" s="146"/>
      <c r="C1538" s="147"/>
      <c r="D1538" s="147"/>
      <c r="E1538" s="147"/>
      <c r="F1538" s="147"/>
      <c r="G1538" s="147"/>
      <c r="H1538" s="147"/>
      <c r="I1538" s="147"/>
      <c r="J1538" s="148"/>
      <c r="K1538" s="132"/>
      <c r="L1538" s="133"/>
    </row>
    <row r="1539" spans="1:12" x14ac:dyDescent="0.2">
      <c r="A1539" s="145"/>
      <c r="B1539" s="146"/>
      <c r="C1539" s="147"/>
      <c r="D1539" s="147"/>
      <c r="E1539" s="147"/>
      <c r="F1539" s="147"/>
      <c r="G1539" s="147"/>
      <c r="H1539" s="147"/>
      <c r="I1539" s="147"/>
      <c r="J1539" s="148"/>
      <c r="K1539" s="132"/>
      <c r="L1539" s="133"/>
    </row>
    <row r="1540" spans="1:12" ht="13.5" thickBot="1" x14ac:dyDescent="0.25">
      <c r="A1540" s="149"/>
      <c r="B1540" s="150"/>
      <c r="C1540" s="151"/>
      <c r="D1540" s="151"/>
      <c r="E1540" s="151"/>
      <c r="F1540" s="151"/>
      <c r="G1540" s="151"/>
      <c r="H1540" s="151"/>
      <c r="I1540" s="151"/>
      <c r="J1540" s="152"/>
      <c r="K1540" s="132"/>
      <c r="L1540" s="133"/>
    </row>
    <row r="1541" spans="1:12" ht="13.5" thickBot="1" x14ac:dyDescent="0.25">
      <c r="A1541" s="153"/>
      <c r="B1541" s="153"/>
      <c r="C1541" s="154"/>
      <c r="D1541" s="154"/>
      <c r="E1541" s="154"/>
      <c r="F1541" s="154"/>
      <c r="G1541" s="154"/>
      <c r="H1541" s="154"/>
      <c r="I1541" s="154"/>
      <c r="J1541" s="153"/>
      <c r="K1541" s="132"/>
      <c r="L1541" s="133"/>
    </row>
    <row r="1542" spans="1:12" ht="13.5" thickBot="1" x14ac:dyDescent="0.25">
      <c r="A1542" s="614" t="s">
        <v>62</v>
      </c>
      <c r="B1542" s="648"/>
      <c r="C1542" s="648"/>
      <c r="D1542" s="648"/>
      <c r="E1542" s="648"/>
      <c r="F1542" s="648"/>
      <c r="G1542" s="648"/>
      <c r="H1542" s="648"/>
      <c r="I1542" s="648"/>
      <c r="J1542" s="649"/>
      <c r="K1542" s="132"/>
      <c r="L1542" s="133"/>
    </row>
    <row r="1543" spans="1:12" x14ac:dyDescent="0.2">
      <c r="A1543" s="136"/>
      <c r="B1543" s="155"/>
      <c r="C1543" s="156"/>
      <c r="D1543" s="156"/>
      <c r="E1543" s="156"/>
      <c r="F1543" s="156"/>
      <c r="G1543" s="156"/>
      <c r="H1543" s="156"/>
      <c r="I1543" s="156"/>
      <c r="J1543" s="157"/>
      <c r="K1543" s="132"/>
      <c r="L1543" s="133"/>
    </row>
    <row r="1544" spans="1:12" ht="12.75" customHeight="1" x14ac:dyDescent="0.2">
      <c r="A1544" s="158" t="s">
        <v>63</v>
      </c>
      <c r="B1544" s="55"/>
      <c r="C1544" s="596" t="s">
        <v>1042</v>
      </c>
      <c r="D1544" s="596"/>
      <c r="E1544" s="596"/>
      <c r="F1544" s="596"/>
      <c r="G1544" s="596"/>
      <c r="H1544" s="596"/>
      <c r="I1544" s="596"/>
      <c r="J1544" s="597"/>
      <c r="K1544" s="132"/>
      <c r="L1544" s="133"/>
    </row>
    <row r="1545" spans="1:12" x14ac:dyDescent="0.2">
      <c r="A1545" s="158"/>
      <c r="B1545" s="55"/>
      <c r="C1545" s="596"/>
      <c r="D1545" s="596"/>
      <c r="E1545" s="596"/>
      <c r="F1545" s="596"/>
      <c r="G1545" s="596"/>
      <c r="H1545" s="596"/>
      <c r="I1545" s="596"/>
      <c r="J1545" s="597"/>
      <c r="K1545" s="132"/>
      <c r="L1545" s="133"/>
    </row>
    <row r="1546" spans="1:12" x14ac:dyDescent="0.2">
      <c r="A1546" s="158"/>
      <c r="B1546" s="55"/>
      <c r="C1546" s="596"/>
      <c r="D1546" s="596"/>
      <c r="E1546" s="596"/>
      <c r="F1546" s="596"/>
      <c r="G1546" s="596"/>
      <c r="H1546" s="596"/>
      <c r="I1546" s="596"/>
      <c r="J1546" s="597"/>
      <c r="K1546" s="132"/>
      <c r="L1546" s="133"/>
    </row>
    <row r="1547" spans="1:12" x14ac:dyDescent="0.2">
      <c r="A1547" s="158"/>
      <c r="B1547" s="55"/>
      <c r="C1547" s="596"/>
      <c r="D1547" s="596"/>
      <c r="E1547" s="596"/>
      <c r="F1547" s="596"/>
      <c r="G1547" s="596"/>
      <c r="H1547" s="596"/>
      <c r="I1547" s="596"/>
      <c r="J1547" s="597"/>
      <c r="K1547" s="132"/>
      <c r="L1547" s="133"/>
    </row>
    <row r="1548" spans="1:12" x14ac:dyDescent="0.2">
      <c r="A1548" s="158"/>
      <c r="B1548" s="55"/>
      <c r="C1548" s="55"/>
      <c r="D1548" s="55"/>
      <c r="E1548" s="55"/>
      <c r="F1548" s="55"/>
      <c r="G1548" s="55"/>
      <c r="H1548" s="55"/>
      <c r="I1548" s="55"/>
      <c r="J1548" s="196"/>
      <c r="K1548" s="132"/>
      <c r="L1548" s="133"/>
    </row>
    <row r="1549" spans="1:12" x14ac:dyDescent="0.2">
      <c r="A1549" s="598" t="s">
        <v>64</v>
      </c>
      <c r="B1549" s="638"/>
      <c r="C1549" s="657" t="s">
        <v>726</v>
      </c>
      <c r="D1549" s="657"/>
      <c r="E1549" s="657"/>
      <c r="F1549" s="657"/>
      <c r="G1549" s="657"/>
      <c r="H1549" s="657"/>
      <c r="I1549" s="657"/>
      <c r="J1549" s="717"/>
      <c r="K1549" s="132"/>
      <c r="L1549" s="133"/>
    </row>
    <row r="1550" spans="1:12" x14ac:dyDescent="0.2">
      <c r="A1550" s="158"/>
      <c r="B1550" s="55"/>
      <c r="C1550" s="175"/>
      <c r="D1550" s="175"/>
      <c r="E1550" s="175"/>
      <c r="F1550" s="197"/>
      <c r="G1550" s="175"/>
      <c r="H1550" s="175"/>
      <c r="I1550" s="175"/>
      <c r="J1550" s="176"/>
      <c r="K1550" s="132"/>
      <c r="L1550" s="133"/>
    </row>
    <row r="1551" spans="1:12" x14ac:dyDescent="0.2">
      <c r="A1551" s="158"/>
      <c r="B1551" s="55"/>
      <c r="C1551" s="175"/>
      <c r="D1551" s="175"/>
      <c r="E1551" s="175"/>
      <c r="F1551" s="197"/>
      <c r="G1551" s="175"/>
      <c r="H1551" s="175"/>
      <c r="I1551" s="175"/>
      <c r="J1551" s="176"/>
      <c r="K1551" s="132"/>
      <c r="L1551" s="133"/>
    </row>
    <row r="1552" spans="1:12" x14ac:dyDescent="0.2">
      <c r="A1552" s="158"/>
      <c r="B1552" s="55"/>
      <c r="C1552" s="175"/>
      <c r="D1552" s="175"/>
      <c r="E1552" s="175"/>
      <c r="F1552" s="197"/>
      <c r="G1552" s="175"/>
      <c r="H1552" s="175"/>
      <c r="I1552" s="175"/>
      <c r="J1552" s="176"/>
      <c r="K1552" s="132"/>
      <c r="L1552" s="133"/>
    </row>
    <row r="1553" spans="1:12" x14ac:dyDescent="0.2">
      <c r="A1553" s="158"/>
      <c r="B1553" s="55"/>
      <c r="C1553" s="71"/>
      <c r="D1553" s="71"/>
      <c r="E1553" s="71"/>
      <c r="F1553" s="74"/>
      <c r="G1553" s="71"/>
      <c r="H1553" s="71"/>
      <c r="I1553" s="71"/>
      <c r="J1553" s="174"/>
      <c r="K1553" s="132"/>
      <c r="L1553" s="133"/>
    </row>
    <row r="1554" spans="1:12" x14ac:dyDescent="0.2">
      <c r="A1554" s="158"/>
      <c r="B1554" s="55"/>
      <c r="C1554" s="71"/>
      <c r="D1554" s="71"/>
      <c r="E1554" s="71"/>
      <c r="F1554" s="74"/>
      <c r="G1554" s="71"/>
      <c r="H1554" s="71"/>
      <c r="I1554" s="71"/>
      <c r="J1554" s="174"/>
      <c r="K1554" s="132"/>
      <c r="L1554" s="133"/>
    </row>
    <row r="1555" spans="1:12" x14ac:dyDescent="0.2">
      <c r="A1555" s="158"/>
      <c r="B1555" s="55"/>
      <c r="C1555" s="71"/>
      <c r="D1555" s="71"/>
      <c r="E1555" s="71"/>
      <c r="F1555" s="74"/>
      <c r="G1555" s="71"/>
      <c r="H1555" s="71"/>
      <c r="I1555" s="71"/>
      <c r="J1555" s="174"/>
      <c r="K1555" s="132"/>
      <c r="L1555" s="133"/>
    </row>
    <row r="1556" spans="1:12" x14ac:dyDescent="0.2">
      <c r="A1556" s="158"/>
      <c r="B1556" s="55"/>
      <c r="C1556" s="71"/>
      <c r="D1556" s="71"/>
      <c r="E1556" s="71"/>
      <c r="F1556" s="71"/>
      <c r="G1556" s="71"/>
      <c r="H1556" s="71"/>
      <c r="I1556" s="71"/>
      <c r="J1556" s="174"/>
      <c r="K1556" s="132"/>
      <c r="L1556" s="133"/>
    </row>
    <row r="1557" spans="1:12" x14ac:dyDescent="0.2">
      <c r="A1557" s="158"/>
      <c r="B1557" s="55"/>
      <c r="C1557" s="71"/>
      <c r="D1557" s="71"/>
      <c r="E1557" s="71"/>
      <c r="F1557" s="71"/>
      <c r="G1557" s="71"/>
      <c r="H1557" s="71"/>
      <c r="I1557" s="71"/>
      <c r="J1557" s="174"/>
      <c r="K1557" s="132"/>
      <c r="L1557" s="133"/>
    </row>
    <row r="1558" spans="1:12" x14ac:dyDescent="0.2">
      <c r="A1558" s="158"/>
      <c r="B1558" s="55"/>
      <c r="C1558" s="71"/>
      <c r="D1558" s="71"/>
      <c r="E1558" s="71"/>
      <c r="F1558" s="71"/>
      <c r="G1558" s="71"/>
      <c r="H1558" s="71"/>
      <c r="I1558" s="71"/>
      <c r="J1558" s="174"/>
      <c r="K1558" s="132"/>
      <c r="L1558" s="133"/>
    </row>
    <row r="1559" spans="1:12" x14ac:dyDescent="0.2">
      <c r="A1559" s="158"/>
      <c r="B1559" s="55"/>
      <c r="C1559" s="71"/>
      <c r="D1559" s="71"/>
      <c r="E1559" s="71"/>
      <c r="F1559" s="71"/>
      <c r="G1559" s="71"/>
      <c r="H1559" s="71"/>
      <c r="I1559" s="71"/>
      <c r="J1559" s="174"/>
      <c r="K1559" s="132"/>
      <c r="L1559" s="133"/>
    </row>
    <row r="1560" spans="1:12" x14ac:dyDescent="0.2">
      <c r="A1560" s="158"/>
      <c r="B1560" s="55"/>
      <c r="C1560" s="71"/>
      <c r="D1560" s="71"/>
      <c r="E1560" s="71"/>
      <c r="F1560" s="71"/>
      <c r="G1560" s="71"/>
      <c r="H1560" s="71"/>
      <c r="I1560" s="71"/>
      <c r="J1560" s="174"/>
      <c r="K1560" s="132"/>
      <c r="L1560" s="133"/>
    </row>
    <row r="1561" spans="1:12" x14ac:dyDescent="0.2">
      <c r="A1561" s="158"/>
      <c r="B1561" s="55"/>
      <c r="C1561" s="71"/>
      <c r="D1561" s="71"/>
      <c r="E1561" s="71"/>
      <c r="F1561" s="71"/>
      <c r="G1561" s="71"/>
      <c r="H1561" s="71"/>
      <c r="I1561" s="71"/>
      <c r="J1561" s="174"/>
      <c r="K1561" s="132"/>
      <c r="L1561" s="133"/>
    </row>
    <row r="1562" spans="1:12" x14ac:dyDescent="0.2">
      <c r="A1562" s="158"/>
      <c r="B1562" s="55"/>
      <c r="C1562" s="71"/>
      <c r="D1562" s="71"/>
      <c r="E1562" s="71"/>
      <c r="F1562" s="71"/>
      <c r="G1562" s="71"/>
      <c r="H1562" s="71"/>
      <c r="I1562" s="71"/>
      <c r="J1562" s="174"/>
      <c r="K1562" s="132"/>
      <c r="L1562" s="133"/>
    </row>
    <row r="1563" spans="1:12" x14ac:dyDescent="0.2">
      <c r="A1563" s="158"/>
      <c r="B1563" s="55"/>
      <c r="C1563" s="175"/>
      <c r="D1563" s="175"/>
      <c r="E1563" s="172"/>
      <c r="F1563" s="172"/>
      <c r="G1563" s="172"/>
      <c r="H1563" s="172"/>
      <c r="I1563" s="172"/>
      <c r="J1563" s="173"/>
      <c r="K1563" s="132"/>
      <c r="L1563" s="133"/>
    </row>
    <row r="1564" spans="1:12" x14ac:dyDescent="0.2">
      <c r="A1564" s="158"/>
      <c r="B1564" s="55"/>
      <c r="C1564" s="175"/>
      <c r="D1564" s="175"/>
      <c r="E1564" s="172"/>
      <c r="F1564" s="172"/>
      <c r="G1564" s="172"/>
      <c r="H1564" s="172"/>
      <c r="I1564" s="172"/>
      <c r="J1564" s="173"/>
      <c r="K1564" s="132"/>
      <c r="L1564" s="133"/>
    </row>
    <row r="1565" spans="1:12" x14ac:dyDescent="0.2">
      <c r="A1565" s="161"/>
      <c r="B1565" s="2"/>
      <c r="C1565" s="165"/>
      <c r="D1565" s="165"/>
      <c r="E1565" s="165"/>
      <c r="F1565" s="165"/>
      <c r="G1565" s="165"/>
      <c r="H1565" s="165"/>
      <c r="I1565" s="165"/>
      <c r="J1565" s="166"/>
      <c r="K1565" s="132"/>
      <c r="L1565" s="133"/>
    </row>
    <row r="1566" spans="1:12" ht="13.5" thickBot="1" x14ac:dyDescent="0.25">
      <c r="A1566" s="183"/>
      <c r="B1566" s="184"/>
      <c r="C1566" s="185"/>
      <c r="D1566" s="185"/>
      <c r="E1566" s="185"/>
      <c r="F1566" s="185"/>
      <c r="G1566" s="185"/>
      <c r="H1566" s="185"/>
      <c r="I1566" s="185"/>
      <c r="J1566" s="198"/>
      <c r="K1566" s="132"/>
      <c r="L1566" s="133"/>
    </row>
    <row r="1567" spans="1:12" ht="15.75" x14ac:dyDescent="0.2">
      <c r="A1567" s="602" t="s">
        <v>4</v>
      </c>
      <c r="B1567" s="603"/>
      <c r="C1567" s="603" t="str">
        <f>'A IV.A'!$B$43</f>
        <v>FECHAMENTOS, PROTEÇÕES E ALVENARIAS EM GERAL</v>
      </c>
      <c r="D1567" s="603"/>
      <c r="E1567" s="603"/>
      <c r="F1567" s="603"/>
      <c r="G1567" s="603"/>
      <c r="H1567" s="603"/>
      <c r="I1567" s="603"/>
      <c r="J1567" s="604"/>
      <c r="K1567" s="132"/>
      <c r="L1567" s="133"/>
    </row>
    <row r="1568" spans="1:12" x14ac:dyDescent="0.2">
      <c r="A1568" s="609" t="str">
        <f>'A IV.A'!$A$43</f>
        <v>3.0</v>
      </c>
      <c r="B1568" s="610"/>
      <c r="C1568" s="605"/>
      <c r="D1568" s="605"/>
      <c r="E1568" s="605"/>
      <c r="F1568" s="605"/>
      <c r="G1568" s="605"/>
      <c r="H1568" s="605"/>
      <c r="I1568" s="605"/>
      <c r="J1568" s="606"/>
      <c r="K1568" s="132"/>
      <c r="L1568" s="133"/>
    </row>
    <row r="1569" spans="1:14" ht="13.5" thickBot="1" x14ac:dyDescent="0.25">
      <c r="A1569" s="611"/>
      <c r="B1569" s="612"/>
      <c r="C1569" s="607"/>
      <c r="D1569" s="607"/>
      <c r="E1569" s="607"/>
      <c r="F1569" s="607"/>
      <c r="G1569" s="607"/>
      <c r="H1569" s="607"/>
      <c r="I1569" s="607"/>
      <c r="J1569" s="608"/>
      <c r="K1569" s="132"/>
      <c r="L1569" s="133"/>
    </row>
    <row r="1570" spans="1:14" ht="13.5" thickBot="1" x14ac:dyDescent="0.25">
      <c r="A1570" s="169"/>
      <c r="B1570" s="169"/>
      <c r="C1570" s="613"/>
      <c r="D1570" s="613"/>
      <c r="E1570" s="613"/>
      <c r="F1570" s="613"/>
      <c r="G1570" s="613"/>
      <c r="H1570" s="613"/>
      <c r="I1570" s="613"/>
      <c r="J1570" s="169"/>
      <c r="K1570" s="132"/>
      <c r="L1570" s="133"/>
    </row>
    <row r="1571" spans="1:14" ht="13.5" thickBot="1" x14ac:dyDescent="0.25">
      <c r="A1571" s="732" t="s">
        <v>60</v>
      </c>
      <c r="B1571" s="733"/>
      <c r="C1571" s="734" t="s">
        <v>61</v>
      </c>
      <c r="D1571" s="734"/>
      <c r="E1571" s="734"/>
      <c r="F1571" s="734"/>
      <c r="G1571" s="734"/>
      <c r="H1571" s="734"/>
      <c r="I1571" s="734"/>
      <c r="J1571" s="195" t="s">
        <v>0</v>
      </c>
      <c r="K1571" s="132"/>
      <c r="L1571" s="133"/>
    </row>
    <row r="1572" spans="1:14" x14ac:dyDescent="0.2">
      <c r="A1572" s="136"/>
      <c r="B1572" s="137"/>
      <c r="C1572" s="619"/>
      <c r="D1572" s="620"/>
      <c r="E1572" s="621"/>
      <c r="F1572" s="621"/>
      <c r="G1572" s="621"/>
      <c r="H1572" s="621"/>
      <c r="I1572" s="622"/>
      <c r="J1572" s="138"/>
      <c r="K1572" s="132"/>
      <c r="L1572" s="133"/>
    </row>
    <row r="1573" spans="1:14" x14ac:dyDescent="0.2">
      <c r="A1573" s="623" t="str">
        <f>'A IV.A'!$A$57</f>
        <v>3.2.8</v>
      </c>
      <c r="B1573" s="624"/>
      <c r="C1573" s="626" t="str">
        <f>'A IV.A'!$B$57</f>
        <v>GRADE DE PROTEÇÃO DE FERRO EM BARRA CHATA</v>
      </c>
      <c r="D1573" s="627"/>
      <c r="E1573" s="627"/>
      <c r="F1573" s="627"/>
      <c r="G1573" s="627"/>
      <c r="H1573" s="627"/>
      <c r="I1573" s="628"/>
      <c r="J1573" s="629" t="str">
        <f>'A IV.A'!$C$57</f>
        <v>M2</v>
      </c>
      <c r="K1573" s="630" t="str">
        <f>VLOOKUP(A1573,'A IV.A'!$A$14:$M$233,2,FALSE)</f>
        <v>GRADE DE PROTEÇÃO DE FERRO EM BARRA CHATA</v>
      </c>
      <c r="L1573" s="631" t="str">
        <f>IF(C1573=K1573,"sim","nao")</f>
        <v>sim</v>
      </c>
      <c r="M1573" s="631" t="str">
        <f>VLOOKUP(A1573,'A IV.A'!$A$14:$M$233,3,FALSE)</f>
        <v>M2</v>
      </c>
      <c r="N1573" s="631" t="str">
        <f>IF(J1573=M1573,"sim","nao")</f>
        <v>sim</v>
      </c>
    </row>
    <row r="1574" spans="1:14" x14ac:dyDescent="0.2">
      <c r="A1574" s="625"/>
      <c r="B1574" s="624"/>
      <c r="C1574" s="626"/>
      <c r="D1574" s="627"/>
      <c r="E1574" s="627"/>
      <c r="F1574" s="627"/>
      <c r="G1574" s="627"/>
      <c r="H1574" s="627"/>
      <c r="I1574" s="628"/>
      <c r="J1574" s="629"/>
      <c r="K1574" s="630"/>
      <c r="L1574" s="631"/>
      <c r="M1574" s="631"/>
      <c r="N1574" s="631"/>
    </row>
    <row r="1575" spans="1:14" x14ac:dyDescent="0.2">
      <c r="A1575" s="139"/>
      <c r="B1575" s="140"/>
      <c r="C1575" s="141"/>
      <c r="D1575" s="142"/>
      <c r="E1575" s="142"/>
      <c r="F1575" s="142"/>
      <c r="G1575" s="142"/>
      <c r="H1575" s="142"/>
      <c r="I1575" s="143"/>
      <c r="J1575" s="144"/>
      <c r="K1575" s="132"/>
      <c r="L1575" s="133"/>
    </row>
    <row r="1576" spans="1:14" x14ac:dyDescent="0.2">
      <c r="A1576" s="199"/>
      <c r="B1576" s="188"/>
      <c r="C1576" s="189"/>
      <c r="D1576" s="165"/>
      <c r="E1576" s="165"/>
      <c r="F1576" s="165"/>
      <c r="G1576" s="165"/>
      <c r="H1576" s="165"/>
      <c r="I1576" s="190"/>
      <c r="J1576" s="191"/>
      <c r="K1576" s="630"/>
      <c r="L1576" s="631"/>
      <c r="M1576" s="631"/>
      <c r="N1576" s="631"/>
    </row>
    <row r="1577" spans="1:14" x14ac:dyDescent="0.2">
      <c r="A1577" s="158"/>
      <c r="B1577" s="188"/>
      <c r="C1577" s="189"/>
      <c r="D1577" s="165"/>
      <c r="E1577" s="165"/>
      <c r="F1577" s="165"/>
      <c r="G1577" s="165"/>
      <c r="H1577" s="165"/>
      <c r="I1577" s="190"/>
      <c r="J1577" s="191"/>
      <c r="K1577" s="630"/>
      <c r="L1577" s="631"/>
      <c r="M1577" s="631"/>
      <c r="N1577" s="631"/>
    </row>
    <row r="1578" spans="1:14" x14ac:dyDescent="0.2">
      <c r="A1578" s="139"/>
      <c r="B1578" s="140"/>
      <c r="C1578" s="141"/>
      <c r="D1578" s="142"/>
      <c r="E1578" s="142"/>
      <c r="F1578" s="142"/>
      <c r="G1578" s="142"/>
      <c r="H1578" s="142"/>
      <c r="I1578" s="143"/>
      <c r="J1578" s="144"/>
      <c r="K1578" s="132"/>
      <c r="L1578" s="133"/>
    </row>
    <row r="1579" spans="1:14" x14ac:dyDescent="0.2">
      <c r="A1579" s="158"/>
      <c r="B1579" s="188"/>
      <c r="C1579" s="189"/>
      <c r="D1579" s="165"/>
      <c r="E1579" s="165"/>
      <c r="F1579" s="165"/>
      <c r="G1579" s="165"/>
      <c r="H1579" s="165"/>
      <c r="I1579" s="190"/>
      <c r="J1579" s="191"/>
      <c r="K1579" s="630"/>
      <c r="L1579" s="631"/>
      <c r="M1579" s="631"/>
      <c r="N1579" s="631"/>
    </row>
    <row r="1580" spans="1:14" x14ac:dyDescent="0.2">
      <c r="A1580" s="158"/>
      <c r="B1580" s="188"/>
      <c r="C1580" s="189"/>
      <c r="D1580" s="165"/>
      <c r="E1580" s="165"/>
      <c r="F1580" s="165"/>
      <c r="G1580" s="165"/>
      <c r="H1580" s="165"/>
      <c r="I1580" s="190"/>
      <c r="J1580" s="191"/>
      <c r="K1580" s="630"/>
      <c r="L1580" s="631"/>
      <c r="M1580" s="631"/>
      <c r="N1580" s="631"/>
    </row>
    <row r="1581" spans="1:14" x14ac:dyDescent="0.2">
      <c r="A1581" s="145"/>
      <c r="B1581" s="146"/>
      <c r="C1581" s="147"/>
      <c r="D1581" s="147"/>
      <c r="E1581" s="147"/>
      <c r="F1581" s="147"/>
      <c r="G1581" s="147"/>
      <c r="H1581" s="147"/>
      <c r="I1581" s="147"/>
      <c r="J1581" s="148"/>
      <c r="K1581" s="132"/>
      <c r="L1581" s="133"/>
    </row>
    <row r="1582" spans="1:14" x14ac:dyDescent="0.2">
      <c r="A1582" s="145"/>
      <c r="B1582" s="146"/>
      <c r="C1582" s="147"/>
      <c r="D1582" s="147"/>
      <c r="E1582" s="147"/>
      <c r="F1582" s="147"/>
      <c r="G1582" s="147"/>
      <c r="H1582" s="147"/>
      <c r="I1582" s="147"/>
      <c r="J1582" s="148"/>
      <c r="K1582" s="132"/>
      <c r="L1582" s="133"/>
    </row>
    <row r="1583" spans="1:14" x14ac:dyDescent="0.2">
      <c r="A1583" s="145"/>
      <c r="B1583" s="146"/>
      <c r="C1583" s="147"/>
      <c r="D1583" s="147"/>
      <c r="E1583" s="147"/>
      <c r="F1583" s="147"/>
      <c r="G1583" s="147"/>
      <c r="H1583" s="147"/>
      <c r="I1583" s="147"/>
      <c r="J1583" s="148"/>
      <c r="K1583" s="132"/>
      <c r="L1583" s="133"/>
    </row>
    <row r="1584" spans="1:14" x14ac:dyDescent="0.2">
      <c r="A1584" s="145"/>
      <c r="B1584" s="146"/>
      <c r="C1584" s="147"/>
      <c r="D1584" s="147"/>
      <c r="E1584" s="147"/>
      <c r="F1584" s="147"/>
      <c r="G1584" s="147"/>
      <c r="H1584" s="147"/>
      <c r="I1584" s="147"/>
      <c r="J1584" s="148"/>
      <c r="K1584" s="132"/>
      <c r="L1584" s="133"/>
    </row>
    <row r="1585" spans="1:12" x14ac:dyDescent="0.2">
      <c r="A1585" s="145"/>
      <c r="B1585" s="146"/>
      <c r="C1585" s="147"/>
      <c r="D1585" s="147"/>
      <c r="E1585" s="147"/>
      <c r="F1585" s="147"/>
      <c r="G1585" s="147"/>
      <c r="H1585" s="147"/>
      <c r="I1585" s="147"/>
      <c r="J1585" s="148"/>
      <c r="K1585" s="132"/>
      <c r="L1585" s="133"/>
    </row>
    <row r="1586" spans="1:12" x14ac:dyDescent="0.2">
      <c r="A1586" s="145"/>
      <c r="B1586" s="146"/>
      <c r="C1586" s="147"/>
      <c r="D1586" s="147"/>
      <c r="E1586" s="147"/>
      <c r="F1586" s="147"/>
      <c r="G1586" s="147"/>
      <c r="H1586" s="147"/>
      <c r="I1586" s="147"/>
      <c r="J1586" s="148"/>
      <c r="K1586" s="132"/>
      <c r="L1586" s="133"/>
    </row>
    <row r="1587" spans="1:12" x14ac:dyDescent="0.2">
      <c r="A1587" s="145"/>
      <c r="B1587" s="146"/>
      <c r="C1587" s="147"/>
      <c r="D1587" s="147"/>
      <c r="E1587" s="147"/>
      <c r="F1587" s="147"/>
      <c r="G1587" s="147"/>
      <c r="H1587" s="147"/>
      <c r="I1587" s="147"/>
      <c r="J1587" s="148"/>
      <c r="K1587" s="132"/>
      <c r="L1587" s="133"/>
    </row>
    <row r="1588" spans="1:12" x14ac:dyDescent="0.2">
      <c r="A1588" s="145"/>
      <c r="B1588" s="146"/>
      <c r="C1588" s="147"/>
      <c r="D1588" s="147"/>
      <c r="E1588" s="147"/>
      <c r="F1588" s="147"/>
      <c r="G1588" s="147"/>
      <c r="H1588" s="147"/>
      <c r="I1588" s="147"/>
      <c r="J1588" s="148"/>
      <c r="K1588" s="132"/>
      <c r="L1588" s="133"/>
    </row>
    <row r="1589" spans="1:12" x14ac:dyDescent="0.2">
      <c r="A1589" s="145"/>
      <c r="B1589" s="146"/>
      <c r="C1589" s="147"/>
      <c r="D1589" s="147"/>
      <c r="E1589" s="147"/>
      <c r="F1589" s="147"/>
      <c r="G1589" s="147"/>
      <c r="H1589" s="147"/>
      <c r="I1589" s="147"/>
      <c r="J1589" s="148"/>
      <c r="K1589" s="132"/>
      <c r="L1589" s="133"/>
    </row>
    <row r="1590" spans="1:12" x14ac:dyDescent="0.2">
      <c r="A1590" s="145"/>
      <c r="B1590" s="146"/>
      <c r="C1590" s="147"/>
      <c r="D1590" s="147"/>
      <c r="E1590" s="147"/>
      <c r="F1590" s="147"/>
      <c r="G1590" s="147"/>
      <c r="H1590" s="147"/>
      <c r="I1590" s="147"/>
      <c r="J1590" s="148"/>
      <c r="K1590" s="132"/>
      <c r="L1590" s="133"/>
    </row>
    <row r="1591" spans="1:12" x14ac:dyDescent="0.2">
      <c r="A1591" s="145"/>
      <c r="B1591" s="146"/>
      <c r="C1591" s="147"/>
      <c r="D1591" s="147"/>
      <c r="E1591" s="147"/>
      <c r="F1591" s="147"/>
      <c r="G1591" s="147"/>
      <c r="H1591" s="147"/>
      <c r="I1591" s="147"/>
      <c r="J1591" s="148"/>
      <c r="K1591" s="132"/>
      <c r="L1591" s="133"/>
    </row>
    <row r="1592" spans="1:12" x14ac:dyDescent="0.2">
      <c r="A1592" s="145"/>
      <c r="B1592" s="146"/>
      <c r="C1592" s="147"/>
      <c r="D1592" s="147"/>
      <c r="E1592" s="147"/>
      <c r="F1592" s="147"/>
      <c r="G1592" s="147"/>
      <c r="H1592" s="147"/>
      <c r="I1592" s="147"/>
      <c r="J1592" s="148"/>
      <c r="K1592" s="132"/>
      <c r="L1592" s="133"/>
    </row>
    <row r="1593" spans="1:12" x14ac:dyDescent="0.2">
      <c r="A1593" s="145"/>
      <c r="B1593" s="146"/>
      <c r="C1593" s="147"/>
      <c r="D1593" s="147"/>
      <c r="E1593" s="147"/>
      <c r="F1593" s="147"/>
      <c r="G1593" s="147"/>
      <c r="H1593" s="147"/>
      <c r="I1593" s="147"/>
      <c r="J1593" s="148"/>
      <c r="K1593" s="132"/>
      <c r="L1593" s="133"/>
    </row>
    <row r="1594" spans="1:12" ht="13.5" thickBot="1" x14ac:dyDescent="0.25">
      <c r="A1594" s="149"/>
      <c r="B1594" s="150"/>
      <c r="C1594" s="151"/>
      <c r="D1594" s="151"/>
      <c r="E1594" s="151"/>
      <c r="F1594" s="151"/>
      <c r="G1594" s="151"/>
      <c r="H1594" s="151"/>
      <c r="I1594" s="151"/>
      <c r="J1594" s="152"/>
      <c r="K1594" s="132"/>
      <c r="L1594" s="133"/>
    </row>
    <row r="1595" spans="1:12" ht="13.5" thickBot="1" x14ac:dyDescent="0.25">
      <c r="A1595" s="153"/>
      <c r="B1595" s="153"/>
      <c r="C1595" s="154"/>
      <c r="D1595" s="154"/>
      <c r="E1595" s="154"/>
      <c r="F1595" s="154"/>
      <c r="G1595" s="154"/>
      <c r="H1595" s="154"/>
      <c r="I1595" s="154"/>
      <c r="J1595" s="153"/>
      <c r="K1595" s="132"/>
      <c r="L1595" s="133"/>
    </row>
    <row r="1596" spans="1:12" ht="13.5" thickBot="1" x14ac:dyDescent="0.25">
      <c r="A1596" s="614" t="s">
        <v>62</v>
      </c>
      <c r="B1596" s="648"/>
      <c r="C1596" s="648"/>
      <c r="D1596" s="648"/>
      <c r="E1596" s="648"/>
      <c r="F1596" s="648"/>
      <c r="G1596" s="648"/>
      <c r="H1596" s="648"/>
      <c r="I1596" s="648"/>
      <c r="J1596" s="649"/>
      <c r="K1596" s="132"/>
      <c r="L1596" s="133"/>
    </row>
    <row r="1597" spans="1:12" x14ac:dyDescent="0.2">
      <c r="A1597" s="136"/>
      <c r="B1597" s="155"/>
      <c r="C1597" s="156"/>
      <c r="D1597" s="156"/>
      <c r="E1597" s="156"/>
      <c r="F1597" s="156"/>
      <c r="G1597" s="156"/>
      <c r="H1597" s="156"/>
      <c r="I1597" s="156"/>
      <c r="J1597" s="157"/>
      <c r="K1597" s="132"/>
      <c r="L1597" s="133"/>
    </row>
    <row r="1598" spans="1:12" ht="12.75" customHeight="1" x14ac:dyDescent="0.2">
      <c r="A1598" s="158" t="s">
        <v>63</v>
      </c>
      <c r="B1598" s="55"/>
      <c r="C1598" s="638" t="s">
        <v>1041</v>
      </c>
      <c r="D1598" s="638"/>
      <c r="E1598" s="638"/>
      <c r="F1598" s="638"/>
      <c r="G1598" s="638"/>
      <c r="H1598" s="638"/>
      <c r="I1598" s="638"/>
      <c r="J1598" s="718"/>
      <c r="K1598" s="132"/>
      <c r="L1598" s="133"/>
    </row>
    <row r="1599" spans="1:12" x14ac:dyDescent="0.2">
      <c r="A1599" s="158"/>
      <c r="B1599" s="55"/>
      <c r="C1599" s="638"/>
      <c r="D1599" s="638"/>
      <c r="E1599" s="638"/>
      <c r="F1599" s="638"/>
      <c r="G1599" s="638"/>
      <c r="H1599" s="638"/>
      <c r="I1599" s="638"/>
      <c r="J1599" s="718"/>
      <c r="K1599" s="132"/>
      <c r="L1599" s="133"/>
    </row>
    <row r="1600" spans="1:12" x14ac:dyDescent="0.2">
      <c r="A1600" s="177"/>
      <c r="B1600" s="74"/>
      <c r="C1600" s="159"/>
      <c r="D1600" s="159"/>
      <c r="E1600" s="159"/>
      <c r="F1600" s="159"/>
      <c r="G1600" s="159"/>
      <c r="H1600" s="159"/>
      <c r="I1600" s="159"/>
      <c r="J1600" s="160"/>
      <c r="K1600" s="132"/>
      <c r="L1600" s="133"/>
    </row>
    <row r="1601" spans="1:12" x14ac:dyDescent="0.2">
      <c r="A1601" s="598" t="s">
        <v>64</v>
      </c>
      <c r="B1601" s="638"/>
      <c r="C1601" s="657" t="s">
        <v>728</v>
      </c>
      <c r="D1601" s="657"/>
      <c r="E1601" s="657"/>
      <c r="F1601" s="657"/>
      <c r="G1601" s="657"/>
      <c r="H1601" s="657"/>
      <c r="I1601" s="657"/>
      <c r="J1601" s="717"/>
      <c r="K1601" s="132"/>
      <c r="L1601" s="133"/>
    </row>
    <row r="1602" spans="1:12" x14ac:dyDescent="0.2">
      <c r="A1602" s="158"/>
      <c r="B1602" s="55"/>
      <c r="C1602" s="159"/>
      <c r="D1602" s="159"/>
      <c r="E1602" s="159"/>
      <c r="F1602" s="159"/>
      <c r="G1602" s="159"/>
      <c r="H1602" s="159"/>
      <c r="I1602" s="159"/>
      <c r="J1602" s="160"/>
      <c r="K1602" s="132"/>
      <c r="L1602" s="133"/>
    </row>
    <row r="1603" spans="1:12" x14ac:dyDescent="0.2">
      <c r="A1603" s="158"/>
      <c r="B1603" s="55"/>
      <c r="C1603" s="159"/>
      <c r="D1603" s="159"/>
      <c r="E1603" s="159"/>
      <c r="F1603" s="159"/>
      <c r="G1603" s="159"/>
      <c r="H1603" s="159"/>
      <c r="I1603" s="159"/>
      <c r="J1603" s="160"/>
      <c r="K1603" s="132"/>
      <c r="L1603" s="133"/>
    </row>
    <row r="1604" spans="1:12" x14ac:dyDescent="0.2">
      <c r="A1604" s="158"/>
      <c r="B1604" s="55"/>
      <c r="C1604" s="175"/>
      <c r="D1604" s="175"/>
      <c r="E1604" s="175"/>
      <c r="F1604" s="175"/>
      <c r="G1604" s="175"/>
      <c r="H1604" s="175"/>
      <c r="I1604" s="175"/>
      <c r="J1604" s="176"/>
      <c r="K1604" s="132"/>
      <c r="L1604" s="133"/>
    </row>
    <row r="1605" spans="1:12" x14ac:dyDescent="0.2">
      <c r="A1605" s="158"/>
      <c r="B1605" s="55"/>
      <c r="C1605" s="175"/>
      <c r="D1605" s="175"/>
      <c r="E1605" s="175"/>
      <c r="F1605" s="175"/>
      <c r="G1605" s="175"/>
      <c r="H1605" s="175"/>
      <c r="I1605" s="175"/>
      <c r="J1605" s="176"/>
      <c r="K1605" s="132"/>
      <c r="L1605" s="133"/>
    </row>
    <row r="1606" spans="1:12" x14ac:dyDescent="0.2">
      <c r="A1606" s="158"/>
      <c r="B1606" s="55"/>
      <c r="C1606" s="175"/>
      <c r="D1606" s="175"/>
      <c r="E1606" s="175"/>
      <c r="F1606" s="175"/>
      <c r="G1606" s="175"/>
      <c r="H1606" s="175"/>
      <c r="I1606" s="175"/>
      <c r="J1606" s="176"/>
      <c r="K1606" s="132"/>
      <c r="L1606" s="133"/>
    </row>
    <row r="1607" spans="1:12" x14ac:dyDescent="0.2">
      <c r="A1607" s="158"/>
      <c r="B1607" s="55"/>
      <c r="C1607" s="175"/>
      <c r="D1607" s="175"/>
      <c r="E1607" s="175"/>
      <c r="F1607" s="175"/>
      <c r="G1607" s="175"/>
      <c r="H1607" s="175"/>
      <c r="I1607" s="175"/>
      <c r="J1607" s="176"/>
      <c r="K1607" s="132"/>
      <c r="L1607" s="133"/>
    </row>
    <row r="1608" spans="1:12" x14ac:dyDescent="0.2">
      <c r="A1608" s="158"/>
      <c r="B1608" s="55"/>
      <c r="C1608" s="71"/>
      <c r="D1608" s="71"/>
      <c r="E1608" s="71"/>
      <c r="F1608" s="71"/>
      <c r="G1608" s="71"/>
      <c r="H1608" s="71"/>
      <c r="I1608" s="71"/>
      <c r="J1608" s="174"/>
      <c r="K1608" s="132"/>
      <c r="L1608" s="133"/>
    </row>
    <row r="1609" spans="1:12" x14ac:dyDescent="0.2">
      <c r="A1609" s="158"/>
      <c r="B1609" s="55"/>
      <c r="C1609" s="71"/>
      <c r="D1609" s="71"/>
      <c r="E1609" s="71"/>
      <c r="F1609" s="71"/>
      <c r="G1609" s="71"/>
      <c r="H1609" s="71"/>
      <c r="I1609" s="71"/>
      <c r="J1609" s="174"/>
      <c r="K1609" s="132"/>
      <c r="L1609" s="133"/>
    </row>
    <row r="1610" spans="1:12" x14ac:dyDescent="0.2">
      <c r="A1610" s="158"/>
      <c r="B1610" s="55"/>
      <c r="C1610" s="71"/>
      <c r="D1610" s="71"/>
      <c r="E1610" s="71"/>
      <c r="F1610" s="71"/>
      <c r="G1610" s="71"/>
      <c r="H1610" s="71"/>
      <c r="I1610" s="71"/>
      <c r="J1610" s="174"/>
      <c r="K1610" s="132"/>
      <c r="L1610" s="133"/>
    </row>
    <row r="1611" spans="1:12" x14ac:dyDescent="0.2">
      <c r="A1611" s="158"/>
      <c r="B1611" s="55"/>
      <c r="C1611" s="71"/>
      <c r="D1611" s="71"/>
      <c r="E1611" s="71"/>
      <c r="F1611" s="71"/>
      <c r="G1611" s="71"/>
      <c r="H1611" s="71"/>
      <c r="I1611" s="71"/>
      <c r="J1611" s="174"/>
      <c r="K1611" s="132"/>
      <c r="L1611" s="133"/>
    </row>
    <row r="1612" spans="1:12" x14ac:dyDescent="0.2">
      <c r="A1612" s="158"/>
      <c r="B1612" s="55"/>
      <c r="C1612" s="71"/>
      <c r="D1612" s="71"/>
      <c r="E1612" s="71"/>
      <c r="F1612" s="71"/>
      <c r="G1612" s="71"/>
      <c r="H1612" s="71"/>
      <c r="I1612" s="71"/>
      <c r="J1612" s="174"/>
      <c r="K1612" s="132"/>
      <c r="L1612" s="133"/>
    </row>
    <row r="1613" spans="1:12" x14ac:dyDescent="0.2">
      <c r="A1613" s="158"/>
      <c r="B1613" s="55"/>
      <c r="C1613" s="71"/>
      <c r="D1613" s="71"/>
      <c r="E1613" s="71"/>
      <c r="F1613" s="71"/>
      <c r="G1613" s="71"/>
      <c r="H1613" s="71"/>
      <c r="I1613" s="71"/>
      <c r="J1613" s="174"/>
      <c r="K1613" s="132"/>
      <c r="L1613" s="133"/>
    </row>
    <row r="1614" spans="1:12" x14ac:dyDescent="0.2">
      <c r="A1614" s="158"/>
      <c r="B1614" s="55"/>
      <c r="C1614" s="71"/>
      <c r="D1614" s="71"/>
      <c r="E1614" s="71"/>
      <c r="F1614" s="71"/>
      <c r="G1614" s="71"/>
      <c r="H1614" s="71"/>
      <c r="I1614" s="71"/>
      <c r="J1614" s="174"/>
      <c r="K1614" s="132"/>
      <c r="L1614" s="133"/>
    </row>
    <row r="1615" spans="1:12" x14ac:dyDescent="0.2">
      <c r="A1615" s="158"/>
      <c r="B1615" s="55"/>
      <c r="C1615" s="71"/>
      <c r="D1615" s="71"/>
      <c r="E1615" s="71"/>
      <c r="F1615" s="71"/>
      <c r="G1615" s="71"/>
      <c r="H1615" s="71"/>
      <c r="I1615" s="71"/>
      <c r="J1615" s="174"/>
      <c r="K1615" s="132"/>
      <c r="L1615" s="133"/>
    </row>
    <row r="1616" spans="1:12" x14ac:dyDescent="0.2">
      <c r="A1616" s="158"/>
      <c r="B1616" s="55"/>
      <c r="C1616" s="71"/>
      <c r="D1616" s="71"/>
      <c r="E1616" s="71"/>
      <c r="F1616" s="71"/>
      <c r="G1616" s="71"/>
      <c r="H1616" s="71"/>
      <c r="I1616" s="71"/>
      <c r="J1616" s="174"/>
      <c r="K1616" s="132"/>
      <c r="L1616" s="133"/>
    </row>
    <row r="1617" spans="1:14" x14ac:dyDescent="0.2">
      <c r="A1617" s="158"/>
      <c r="B1617" s="55"/>
      <c r="C1617" s="71"/>
      <c r="D1617" s="71"/>
      <c r="E1617" s="71"/>
      <c r="F1617" s="71"/>
      <c r="G1617" s="71"/>
      <c r="H1617" s="71"/>
      <c r="I1617" s="71"/>
      <c r="J1617" s="174"/>
      <c r="K1617" s="132"/>
      <c r="L1617" s="133"/>
    </row>
    <row r="1618" spans="1:14" x14ac:dyDescent="0.2">
      <c r="A1618" s="158"/>
      <c r="B1618" s="55"/>
      <c r="C1618" s="175"/>
      <c r="D1618" s="175"/>
      <c r="E1618" s="172"/>
      <c r="F1618" s="172"/>
      <c r="G1618" s="172"/>
      <c r="H1618" s="172"/>
      <c r="I1618" s="172"/>
      <c r="J1618" s="173"/>
      <c r="K1618" s="132"/>
      <c r="L1618" s="133"/>
    </row>
    <row r="1619" spans="1:14" x14ac:dyDescent="0.2">
      <c r="A1619" s="158"/>
      <c r="B1619" s="55"/>
      <c r="C1619" s="175"/>
      <c r="D1619" s="175"/>
      <c r="E1619" s="172"/>
      <c r="F1619" s="172"/>
      <c r="G1619" s="172"/>
      <c r="H1619" s="172"/>
      <c r="I1619" s="172"/>
      <c r="J1619" s="173"/>
      <c r="K1619" s="132"/>
      <c r="L1619" s="133"/>
    </row>
    <row r="1620" spans="1:14" ht="13.5" thickBot="1" x14ac:dyDescent="0.25">
      <c r="A1620" s="149"/>
      <c r="B1620" s="167"/>
      <c r="C1620" s="151"/>
      <c r="D1620" s="151"/>
      <c r="E1620" s="151"/>
      <c r="F1620" s="151"/>
      <c r="G1620" s="151"/>
      <c r="H1620" s="151"/>
      <c r="I1620" s="151"/>
      <c r="J1620" s="168"/>
      <c r="K1620" s="132"/>
      <c r="L1620" s="133"/>
    </row>
    <row r="1621" spans="1:14" ht="15.75" x14ac:dyDescent="0.2">
      <c r="A1621" s="602" t="s">
        <v>4</v>
      </c>
      <c r="B1621" s="603"/>
      <c r="C1621" s="603" t="str">
        <f>'A IV.A'!$B$43</f>
        <v>FECHAMENTOS, PROTEÇÕES E ALVENARIAS EM GERAL</v>
      </c>
      <c r="D1621" s="603"/>
      <c r="E1621" s="603"/>
      <c r="F1621" s="603"/>
      <c r="G1621" s="603"/>
      <c r="H1621" s="603"/>
      <c r="I1621" s="603"/>
      <c r="J1621" s="604"/>
      <c r="K1621" s="132"/>
      <c r="L1621" s="133"/>
    </row>
    <row r="1622" spans="1:14" x14ac:dyDescent="0.2">
      <c r="A1622" s="609" t="str">
        <f>'A IV.A'!$A$43</f>
        <v>3.0</v>
      </c>
      <c r="B1622" s="610"/>
      <c r="C1622" s="605"/>
      <c r="D1622" s="605"/>
      <c r="E1622" s="605"/>
      <c r="F1622" s="605"/>
      <c r="G1622" s="605"/>
      <c r="H1622" s="605"/>
      <c r="I1622" s="605"/>
      <c r="J1622" s="606"/>
      <c r="K1622" s="132"/>
      <c r="L1622" s="133"/>
    </row>
    <row r="1623" spans="1:14" ht="13.5" thickBot="1" x14ac:dyDescent="0.25">
      <c r="A1623" s="611"/>
      <c r="B1623" s="612"/>
      <c r="C1623" s="607"/>
      <c r="D1623" s="607"/>
      <c r="E1623" s="607"/>
      <c r="F1623" s="607"/>
      <c r="G1623" s="607"/>
      <c r="H1623" s="607"/>
      <c r="I1623" s="607"/>
      <c r="J1623" s="608"/>
      <c r="K1623" s="132"/>
      <c r="L1623" s="133"/>
    </row>
    <row r="1624" spans="1:14" ht="13.5" thickBot="1" x14ac:dyDescent="0.25">
      <c r="A1624" s="169"/>
      <c r="B1624" s="169"/>
      <c r="C1624" s="613"/>
      <c r="D1624" s="613"/>
      <c r="E1624" s="613"/>
      <c r="F1624" s="613"/>
      <c r="G1624" s="613"/>
      <c r="H1624" s="613"/>
      <c r="I1624" s="613"/>
      <c r="J1624" s="169"/>
      <c r="K1624" s="132"/>
      <c r="L1624" s="133"/>
    </row>
    <row r="1625" spans="1:14" ht="13.5" thickBot="1" x14ac:dyDescent="0.25">
      <c r="A1625" s="730" t="s">
        <v>60</v>
      </c>
      <c r="B1625" s="731"/>
      <c r="C1625" s="654" t="s">
        <v>61</v>
      </c>
      <c r="D1625" s="654"/>
      <c r="E1625" s="654"/>
      <c r="F1625" s="654"/>
      <c r="G1625" s="654"/>
      <c r="H1625" s="654"/>
      <c r="I1625" s="654"/>
      <c r="J1625" s="282" t="s">
        <v>0</v>
      </c>
      <c r="K1625" s="132"/>
      <c r="L1625" s="133"/>
    </row>
    <row r="1626" spans="1:14" x14ac:dyDescent="0.2">
      <c r="A1626" s="136"/>
      <c r="B1626" s="137"/>
      <c r="C1626" s="619"/>
      <c r="D1626" s="620"/>
      <c r="E1626" s="621"/>
      <c r="F1626" s="621"/>
      <c r="G1626" s="621"/>
      <c r="H1626" s="621"/>
      <c r="I1626" s="622"/>
      <c r="J1626" s="138"/>
      <c r="K1626" s="132"/>
      <c r="L1626" s="133"/>
    </row>
    <row r="1627" spans="1:14" x14ac:dyDescent="0.2">
      <c r="A1627" s="623" t="str">
        <f>'A IV.A'!A58</f>
        <v>3.2.9</v>
      </c>
      <c r="B1627" s="624"/>
      <c r="C1627" s="626" t="str">
        <f>'A IV.A'!B58</f>
        <v>GRELHA EM FERRO FUNDIDO PARA CAIXAS E CANALETAS</v>
      </c>
      <c r="D1627" s="627"/>
      <c r="E1627" s="627"/>
      <c r="F1627" s="627"/>
      <c r="G1627" s="627"/>
      <c r="H1627" s="627"/>
      <c r="I1627" s="628"/>
      <c r="J1627" s="629" t="str">
        <f>'A IV.A'!C58</f>
        <v>M2</v>
      </c>
      <c r="K1627" s="630" t="str">
        <f>VLOOKUP(A1627,'A IV.A'!$A$14:$M$233,2,FALSE)</f>
        <v>GRELHA EM FERRO FUNDIDO PARA CAIXAS E CANALETAS</v>
      </c>
      <c r="L1627" s="631" t="str">
        <f>IF(C1627=K1627,"sim","nao")</f>
        <v>sim</v>
      </c>
      <c r="M1627" s="631" t="str">
        <f>VLOOKUP(A1627,'A IV.A'!$A$14:$M$233,3,FALSE)</f>
        <v>M2</v>
      </c>
      <c r="N1627" s="631" t="str">
        <f>IF(J1627=M1627,"sim","nao")</f>
        <v>sim</v>
      </c>
    </row>
    <row r="1628" spans="1:14" x14ac:dyDescent="0.2">
      <c r="A1628" s="625"/>
      <c r="B1628" s="624"/>
      <c r="C1628" s="626"/>
      <c r="D1628" s="627"/>
      <c r="E1628" s="627"/>
      <c r="F1628" s="627"/>
      <c r="G1628" s="627"/>
      <c r="H1628" s="627"/>
      <c r="I1628" s="628"/>
      <c r="J1628" s="629"/>
      <c r="K1628" s="630"/>
      <c r="L1628" s="631"/>
      <c r="M1628" s="631"/>
      <c r="N1628" s="631"/>
    </row>
    <row r="1629" spans="1:14" x14ac:dyDescent="0.2">
      <c r="A1629" s="139"/>
      <c r="B1629" s="140"/>
      <c r="C1629" s="141"/>
      <c r="D1629" s="142"/>
      <c r="E1629" s="142"/>
      <c r="F1629" s="142"/>
      <c r="G1629" s="142"/>
      <c r="H1629" s="142"/>
      <c r="I1629" s="143"/>
      <c r="J1629" s="144"/>
      <c r="K1629" s="132"/>
      <c r="L1629" s="133"/>
    </row>
    <row r="1630" spans="1:14" x14ac:dyDescent="0.2">
      <c r="A1630" s="199"/>
      <c r="B1630" s="188"/>
      <c r="C1630" s="189"/>
      <c r="D1630" s="165"/>
      <c r="E1630" s="165"/>
      <c r="F1630" s="165"/>
      <c r="G1630" s="165"/>
      <c r="H1630" s="165"/>
      <c r="I1630" s="190"/>
      <c r="J1630" s="191"/>
      <c r="K1630" s="630"/>
      <c r="L1630" s="631"/>
      <c r="M1630" s="631"/>
      <c r="N1630" s="631"/>
    </row>
    <row r="1631" spans="1:14" x14ac:dyDescent="0.2">
      <c r="A1631" s="158"/>
      <c r="B1631" s="188"/>
      <c r="C1631" s="189"/>
      <c r="D1631" s="165"/>
      <c r="E1631" s="165"/>
      <c r="F1631" s="165"/>
      <c r="G1631" s="165"/>
      <c r="H1631" s="165"/>
      <c r="I1631" s="190"/>
      <c r="J1631" s="191"/>
      <c r="K1631" s="630"/>
      <c r="L1631" s="631"/>
      <c r="M1631" s="631"/>
      <c r="N1631" s="631"/>
    </row>
    <row r="1632" spans="1:14" x14ac:dyDescent="0.2">
      <c r="A1632" s="139"/>
      <c r="B1632" s="140"/>
      <c r="C1632" s="141"/>
      <c r="D1632" s="142"/>
      <c r="E1632" s="142"/>
      <c r="F1632" s="142"/>
      <c r="G1632" s="142"/>
      <c r="H1632" s="142"/>
      <c r="I1632" s="143"/>
      <c r="J1632" s="144"/>
      <c r="K1632" s="132"/>
      <c r="L1632" s="133"/>
    </row>
    <row r="1633" spans="1:14" x14ac:dyDescent="0.2">
      <c r="A1633" s="158"/>
      <c r="B1633" s="188"/>
      <c r="C1633" s="189"/>
      <c r="D1633" s="165"/>
      <c r="E1633" s="165"/>
      <c r="F1633" s="165"/>
      <c r="G1633" s="165"/>
      <c r="H1633" s="165"/>
      <c r="I1633" s="190"/>
      <c r="J1633" s="191"/>
      <c r="K1633" s="630"/>
      <c r="L1633" s="631"/>
      <c r="M1633" s="631"/>
      <c r="N1633" s="631"/>
    </row>
    <row r="1634" spans="1:14" x14ac:dyDescent="0.2">
      <c r="A1634" s="158"/>
      <c r="B1634" s="188"/>
      <c r="C1634" s="189"/>
      <c r="D1634" s="165"/>
      <c r="E1634" s="165"/>
      <c r="F1634" s="165"/>
      <c r="G1634" s="165"/>
      <c r="H1634" s="165"/>
      <c r="I1634" s="190"/>
      <c r="J1634" s="191"/>
      <c r="K1634" s="630"/>
      <c r="L1634" s="631"/>
      <c r="M1634" s="631"/>
      <c r="N1634" s="631"/>
    </row>
    <row r="1635" spans="1:14" x14ac:dyDescent="0.2">
      <c r="A1635" s="145"/>
      <c r="B1635" s="146"/>
      <c r="C1635" s="147"/>
      <c r="D1635" s="147"/>
      <c r="E1635" s="147"/>
      <c r="F1635" s="147"/>
      <c r="G1635" s="147"/>
      <c r="H1635" s="147"/>
      <c r="I1635" s="147"/>
      <c r="J1635" s="148"/>
      <c r="K1635" s="132"/>
      <c r="L1635" s="133"/>
    </row>
    <row r="1636" spans="1:14" x14ac:dyDescent="0.2">
      <c r="A1636" s="145"/>
      <c r="B1636" s="146"/>
      <c r="C1636" s="147"/>
      <c r="D1636" s="147"/>
      <c r="E1636" s="147"/>
      <c r="F1636" s="147"/>
      <c r="G1636" s="147"/>
      <c r="H1636" s="147"/>
      <c r="I1636" s="147"/>
      <c r="J1636" s="148"/>
      <c r="K1636" s="132"/>
      <c r="L1636" s="133"/>
    </row>
    <row r="1637" spans="1:14" x14ac:dyDescent="0.2">
      <c r="A1637" s="145"/>
      <c r="B1637" s="146"/>
      <c r="C1637" s="147"/>
      <c r="D1637" s="147"/>
      <c r="E1637" s="147"/>
      <c r="F1637" s="147"/>
      <c r="G1637" s="147"/>
      <c r="H1637" s="147"/>
      <c r="I1637" s="147"/>
      <c r="J1637" s="148"/>
      <c r="K1637" s="132"/>
      <c r="L1637" s="133"/>
    </row>
    <row r="1638" spans="1:14" x14ac:dyDescent="0.2">
      <c r="A1638" s="145"/>
      <c r="B1638" s="146"/>
      <c r="C1638" s="147"/>
      <c r="D1638" s="147"/>
      <c r="E1638" s="147"/>
      <c r="F1638" s="147"/>
      <c r="G1638" s="147"/>
      <c r="H1638" s="147"/>
      <c r="I1638" s="147"/>
      <c r="J1638" s="148"/>
      <c r="K1638" s="132"/>
      <c r="L1638" s="133"/>
    </row>
    <row r="1639" spans="1:14" x14ac:dyDescent="0.2">
      <c r="A1639" s="145"/>
      <c r="B1639" s="146"/>
      <c r="C1639" s="147"/>
      <c r="D1639" s="147"/>
      <c r="E1639" s="147"/>
      <c r="F1639" s="147"/>
      <c r="G1639" s="147"/>
      <c r="H1639" s="147"/>
      <c r="I1639" s="147"/>
      <c r="J1639" s="148"/>
      <c r="K1639" s="132"/>
      <c r="L1639" s="133"/>
    </row>
    <row r="1640" spans="1:14" x14ac:dyDescent="0.2">
      <c r="A1640" s="145"/>
      <c r="B1640" s="146"/>
      <c r="C1640" s="147"/>
      <c r="D1640" s="147"/>
      <c r="E1640" s="147"/>
      <c r="F1640" s="147"/>
      <c r="G1640" s="147"/>
      <c r="H1640" s="147"/>
      <c r="I1640" s="147"/>
      <c r="J1640" s="148"/>
      <c r="K1640" s="132"/>
      <c r="L1640" s="133"/>
    </row>
    <row r="1641" spans="1:14" x14ac:dyDescent="0.2">
      <c r="A1641" s="145"/>
      <c r="B1641" s="146"/>
      <c r="C1641" s="147"/>
      <c r="D1641" s="147"/>
      <c r="E1641" s="147"/>
      <c r="F1641" s="147"/>
      <c r="G1641" s="147"/>
      <c r="H1641" s="147"/>
      <c r="I1641" s="147"/>
      <c r="J1641" s="148"/>
      <c r="K1641" s="132"/>
      <c r="L1641" s="133"/>
    </row>
    <row r="1642" spans="1:14" x14ac:dyDescent="0.2">
      <c r="A1642" s="145"/>
      <c r="B1642" s="146"/>
      <c r="C1642" s="147"/>
      <c r="D1642" s="147"/>
      <c r="E1642" s="147"/>
      <c r="F1642" s="147"/>
      <c r="G1642" s="147"/>
      <c r="H1642" s="147"/>
      <c r="I1642" s="147"/>
      <c r="J1642" s="148"/>
      <c r="K1642" s="132"/>
      <c r="L1642" s="133"/>
    </row>
    <row r="1643" spans="1:14" x14ac:dyDescent="0.2">
      <c r="A1643" s="145"/>
      <c r="B1643" s="146"/>
      <c r="C1643" s="147"/>
      <c r="D1643" s="147"/>
      <c r="E1643" s="147"/>
      <c r="F1643" s="147"/>
      <c r="G1643" s="147"/>
      <c r="H1643" s="147"/>
      <c r="I1643" s="147"/>
      <c r="J1643" s="148"/>
      <c r="K1643" s="132"/>
      <c r="L1643" s="133"/>
    </row>
    <row r="1644" spans="1:14" x14ac:dyDescent="0.2">
      <c r="A1644" s="145"/>
      <c r="B1644" s="146"/>
      <c r="C1644" s="147"/>
      <c r="D1644" s="147"/>
      <c r="E1644" s="147"/>
      <c r="F1644" s="147"/>
      <c r="G1644" s="147"/>
      <c r="H1644" s="147"/>
      <c r="I1644" s="147"/>
      <c r="J1644" s="148"/>
      <c r="K1644" s="132"/>
      <c r="L1644" s="133"/>
    </row>
    <row r="1645" spans="1:14" x14ac:dyDescent="0.2">
      <c r="A1645" s="145"/>
      <c r="B1645" s="146"/>
      <c r="C1645" s="147"/>
      <c r="D1645" s="147"/>
      <c r="E1645" s="147"/>
      <c r="F1645" s="147"/>
      <c r="G1645" s="147"/>
      <c r="H1645" s="147"/>
      <c r="I1645" s="147"/>
      <c r="J1645" s="148"/>
      <c r="K1645" s="132"/>
      <c r="L1645" s="133"/>
    </row>
    <row r="1646" spans="1:14" x14ac:dyDescent="0.2">
      <c r="A1646" s="145"/>
      <c r="B1646" s="146"/>
      <c r="C1646" s="147"/>
      <c r="D1646" s="147"/>
      <c r="E1646" s="147"/>
      <c r="F1646" s="147"/>
      <c r="G1646" s="147"/>
      <c r="H1646" s="147"/>
      <c r="I1646" s="147"/>
      <c r="J1646" s="148"/>
      <c r="K1646" s="132"/>
      <c r="L1646" s="133"/>
    </row>
    <row r="1647" spans="1:14" x14ac:dyDescent="0.2">
      <c r="A1647" s="145"/>
      <c r="B1647" s="146"/>
      <c r="C1647" s="147"/>
      <c r="D1647" s="147"/>
      <c r="E1647" s="147"/>
      <c r="F1647" s="147"/>
      <c r="G1647" s="147"/>
      <c r="H1647" s="147"/>
      <c r="I1647" s="147"/>
      <c r="J1647" s="148"/>
      <c r="K1647" s="132"/>
      <c r="L1647" s="133"/>
    </row>
    <row r="1648" spans="1:14" ht="13.5" thickBot="1" x14ac:dyDescent="0.25">
      <c r="A1648" s="149"/>
      <c r="B1648" s="150"/>
      <c r="C1648" s="151"/>
      <c r="D1648" s="151"/>
      <c r="E1648" s="151"/>
      <c r="F1648" s="151"/>
      <c r="G1648" s="151"/>
      <c r="H1648" s="151"/>
      <c r="I1648" s="151"/>
      <c r="J1648" s="152"/>
      <c r="K1648" s="132"/>
      <c r="L1648" s="133"/>
    </row>
    <row r="1649" spans="1:12" ht="13.5" thickBot="1" x14ac:dyDescent="0.25">
      <c r="A1649" s="153"/>
      <c r="B1649" s="153"/>
      <c r="C1649" s="154"/>
      <c r="D1649" s="154"/>
      <c r="E1649" s="154"/>
      <c r="F1649" s="154"/>
      <c r="G1649" s="154"/>
      <c r="H1649" s="154"/>
      <c r="I1649" s="154"/>
      <c r="J1649" s="153"/>
      <c r="K1649" s="132"/>
      <c r="L1649" s="133"/>
    </row>
    <row r="1650" spans="1:12" ht="13.5" thickBot="1" x14ac:dyDescent="0.25">
      <c r="A1650" s="614" t="s">
        <v>62</v>
      </c>
      <c r="B1650" s="648"/>
      <c r="C1650" s="648"/>
      <c r="D1650" s="648"/>
      <c r="E1650" s="648"/>
      <c r="F1650" s="648"/>
      <c r="G1650" s="648"/>
      <c r="H1650" s="648"/>
      <c r="I1650" s="648"/>
      <c r="J1650" s="649"/>
      <c r="K1650" s="132"/>
      <c r="L1650" s="133"/>
    </row>
    <row r="1651" spans="1:12" x14ac:dyDescent="0.2">
      <c r="A1651" s="136"/>
      <c r="B1651" s="155"/>
      <c r="C1651" s="156"/>
      <c r="D1651" s="156"/>
      <c r="E1651" s="156"/>
      <c r="F1651" s="156"/>
      <c r="G1651" s="156"/>
      <c r="H1651" s="156"/>
      <c r="I1651" s="156"/>
      <c r="J1651" s="157"/>
      <c r="K1651" s="132"/>
      <c r="L1651" s="133"/>
    </row>
    <row r="1652" spans="1:12" ht="12.75" customHeight="1" x14ac:dyDescent="0.2">
      <c r="A1652" s="158" t="s">
        <v>63</v>
      </c>
      <c r="B1652" s="55"/>
      <c r="C1652" s="596" t="s">
        <v>592</v>
      </c>
      <c r="D1652" s="596"/>
      <c r="E1652" s="596"/>
      <c r="F1652" s="596"/>
      <c r="G1652" s="596"/>
      <c r="H1652" s="596"/>
      <c r="I1652" s="596"/>
      <c r="J1652" s="597"/>
      <c r="K1652" s="132"/>
      <c r="L1652" s="133"/>
    </row>
    <row r="1653" spans="1:12" x14ac:dyDescent="0.2">
      <c r="A1653" s="158"/>
      <c r="B1653" s="55"/>
      <c r="C1653" s="596"/>
      <c r="D1653" s="596"/>
      <c r="E1653" s="596"/>
      <c r="F1653" s="596"/>
      <c r="G1653" s="596"/>
      <c r="H1653" s="596"/>
      <c r="I1653" s="596"/>
      <c r="J1653" s="597"/>
      <c r="K1653" s="132"/>
      <c r="L1653" s="133"/>
    </row>
    <row r="1654" spans="1:12" x14ac:dyDescent="0.2">
      <c r="A1654" s="158"/>
      <c r="B1654" s="55"/>
      <c r="C1654" s="596"/>
      <c r="D1654" s="596"/>
      <c r="E1654" s="596"/>
      <c r="F1654" s="596"/>
      <c r="G1654" s="596"/>
      <c r="H1654" s="596"/>
      <c r="I1654" s="596"/>
      <c r="J1654" s="597"/>
      <c r="K1654" s="132"/>
      <c r="L1654" s="133"/>
    </row>
    <row r="1655" spans="1:12" x14ac:dyDescent="0.2">
      <c r="A1655" s="158"/>
      <c r="B1655" s="55"/>
      <c r="C1655" s="55"/>
      <c r="D1655" s="55"/>
      <c r="E1655" s="55"/>
      <c r="F1655" s="55"/>
      <c r="G1655" s="55"/>
      <c r="H1655" s="55"/>
      <c r="I1655" s="55"/>
      <c r="J1655" s="196"/>
      <c r="K1655" s="132"/>
      <c r="L1655" s="133"/>
    </row>
    <row r="1656" spans="1:12" x14ac:dyDescent="0.2">
      <c r="A1656" s="598" t="s">
        <v>64</v>
      </c>
      <c r="B1656" s="638"/>
      <c r="C1656" s="657" t="s">
        <v>727</v>
      </c>
      <c r="D1656" s="657"/>
      <c r="E1656" s="657"/>
      <c r="F1656" s="657"/>
      <c r="G1656" s="657"/>
      <c r="H1656" s="657"/>
      <c r="I1656" s="657"/>
      <c r="J1656" s="717"/>
      <c r="K1656" s="132"/>
      <c r="L1656" s="133"/>
    </row>
    <row r="1657" spans="1:12" x14ac:dyDescent="0.2">
      <c r="A1657" s="158"/>
      <c r="B1657" s="55"/>
      <c r="C1657" s="175"/>
      <c r="D1657" s="175"/>
      <c r="E1657" s="175"/>
      <c r="F1657" s="197"/>
      <c r="G1657" s="175"/>
      <c r="H1657" s="175"/>
      <c r="I1657" s="175"/>
      <c r="J1657" s="176"/>
      <c r="K1657" s="132"/>
      <c r="L1657" s="133"/>
    </row>
    <row r="1658" spans="1:12" x14ac:dyDescent="0.2">
      <c r="A1658" s="158"/>
      <c r="B1658" s="55"/>
      <c r="C1658" s="175"/>
      <c r="D1658" s="175"/>
      <c r="E1658" s="175"/>
      <c r="F1658" s="197"/>
      <c r="G1658" s="175"/>
      <c r="H1658" s="175"/>
      <c r="I1658" s="175"/>
      <c r="J1658" s="176"/>
      <c r="K1658" s="132"/>
      <c r="L1658" s="133"/>
    </row>
    <row r="1659" spans="1:12" x14ac:dyDescent="0.2">
      <c r="A1659" s="158"/>
      <c r="B1659" s="55"/>
      <c r="C1659" s="175"/>
      <c r="D1659" s="175"/>
      <c r="E1659" s="175"/>
      <c r="F1659" s="197"/>
      <c r="G1659" s="175"/>
      <c r="H1659" s="175"/>
      <c r="I1659" s="175"/>
      <c r="J1659" s="176"/>
      <c r="K1659" s="132"/>
      <c r="L1659" s="133"/>
    </row>
    <row r="1660" spans="1:12" x14ac:dyDescent="0.2">
      <c r="A1660" s="158"/>
      <c r="B1660" s="55"/>
      <c r="C1660" s="71"/>
      <c r="D1660" s="71"/>
      <c r="E1660" s="71"/>
      <c r="F1660" s="74"/>
      <c r="G1660" s="71"/>
      <c r="H1660" s="71"/>
      <c r="I1660" s="71"/>
      <c r="J1660" s="174"/>
      <c r="K1660" s="132"/>
      <c r="L1660" s="133"/>
    </row>
    <row r="1661" spans="1:12" x14ac:dyDescent="0.2">
      <c r="A1661" s="158"/>
      <c r="B1661" s="55"/>
      <c r="C1661" s="175"/>
      <c r="D1661" s="175"/>
      <c r="E1661" s="175"/>
      <c r="F1661" s="175"/>
      <c r="G1661" s="175"/>
      <c r="H1661" s="175"/>
      <c r="I1661" s="175"/>
      <c r="J1661" s="176"/>
      <c r="K1661" s="132"/>
      <c r="L1661" s="133"/>
    </row>
    <row r="1662" spans="1:12" x14ac:dyDescent="0.2">
      <c r="A1662" s="158"/>
      <c r="B1662" s="55"/>
      <c r="C1662" s="71"/>
      <c r="D1662" s="71"/>
      <c r="E1662" s="71"/>
      <c r="F1662" s="74"/>
      <c r="G1662" s="71"/>
      <c r="H1662" s="71"/>
      <c r="I1662" s="71"/>
      <c r="J1662" s="174"/>
      <c r="K1662" s="132"/>
      <c r="L1662" s="133"/>
    </row>
    <row r="1663" spans="1:12" x14ac:dyDescent="0.2">
      <c r="A1663" s="158"/>
      <c r="B1663" s="55"/>
      <c r="C1663" s="71"/>
      <c r="D1663" s="71"/>
      <c r="E1663" s="71"/>
      <c r="F1663" s="74"/>
      <c r="G1663" s="71"/>
      <c r="H1663" s="71"/>
      <c r="I1663" s="71"/>
      <c r="J1663" s="174"/>
      <c r="K1663" s="132"/>
      <c r="L1663" s="133"/>
    </row>
    <row r="1664" spans="1:12" x14ac:dyDescent="0.2">
      <c r="A1664" s="158"/>
      <c r="B1664" s="55"/>
      <c r="C1664" s="71"/>
      <c r="D1664" s="71"/>
      <c r="E1664" s="71"/>
      <c r="F1664" s="71"/>
      <c r="G1664" s="71"/>
      <c r="H1664" s="71"/>
      <c r="I1664" s="71"/>
      <c r="J1664" s="174"/>
      <c r="K1664" s="132"/>
      <c r="L1664" s="133"/>
    </row>
    <row r="1665" spans="1:12" x14ac:dyDescent="0.2">
      <c r="A1665" s="158"/>
      <c r="B1665" s="55"/>
      <c r="C1665" s="71"/>
      <c r="D1665" s="71"/>
      <c r="E1665" s="71"/>
      <c r="F1665" s="71"/>
      <c r="G1665" s="71"/>
      <c r="H1665" s="71"/>
      <c r="I1665" s="71"/>
      <c r="J1665" s="174"/>
      <c r="K1665" s="132"/>
      <c r="L1665" s="133"/>
    </row>
    <row r="1666" spans="1:12" x14ac:dyDescent="0.2">
      <c r="A1666" s="158"/>
      <c r="B1666" s="55"/>
      <c r="C1666" s="71"/>
      <c r="D1666" s="71"/>
      <c r="E1666" s="71"/>
      <c r="F1666" s="71"/>
      <c r="G1666" s="71"/>
      <c r="H1666" s="71"/>
      <c r="I1666" s="71"/>
      <c r="J1666" s="174"/>
      <c r="K1666" s="132"/>
      <c r="L1666" s="133"/>
    </row>
    <row r="1667" spans="1:12" x14ac:dyDescent="0.2">
      <c r="A1667" s="158"/>
      <c r="B1667" s="55"/>
      <c r="C1667" s="71"/>
      <c r="D1667" s="71"/>
      <c r="E1667" s="71"/>
      <c r="F1667" s="71"/>
      <c r="G1667" s="71"/>
      <c r="H1667" s="71"/>
      <c r="I1667" s="71"/>
      <c r="J1667" s="174"/>
      <c r="K1667" s="132"/>
      <c r="L1667" s="133"/>
    </row>
    <row r="1668" spans="1:12" x14ac:dyDescent="0.2">
      <c r="A1668" s="158"/>
      <c r="B1668" s="55"/>
      <c r="C1668" s="71"/>
      <c r="D1668" s="71"/>
      <c r="E1668" s="71"/>
      <c r="F1668" s="71"/>
      <c r="G1668" s="71"/>
      <c r="H1668" s="71"/>
      <c r="I1668" s="71"/>
      <c r="J1668" s="174"/>
      <c r="K1668" s="132"/>
      <c r="L1668" s="133"/>
    </row>
    <row r="1669" spans="1:12" x14ac:dyDescent="0.2">
      <c r="A1669" s="158"/>
      <c r="B1669" s="55"/>
      <c r="C1669" s="71"/>
      <c r="D1669" s="71"/>
      <c r="E1669" s="71"/>
      <c r="F1669" s="71"/>
      <c r="G1669" s="71"/>
      <c r="H1669" s="71"/>
      <c r="I1669" s="71"/>
      <c r="J1669" s="174"/>
      <c r="K1669" s="132"/>
      <c r="L1669" s="133"/>
    </row>
    <row r="1670" spans="1:12" x14ac:dyDescent="0.2">
      <c r="A1670" s="158"/>
      <c r="B1670" s="55"/>
      <c r="C1670" s="71"/>
      <c r="D1670" s="71"/>
      <c r="E1670" s="71"/>
      <c r="F1670" s="71"/>
      <c r="G1670" s="71"/>
      <c r="H1670" s="71"/>
      <c r="I1670" s="71"/>
      <c r="J1670" s="174"/>
      <c r="K1670" s="132"/>
      <c r="L1670" s="133"/>
    </row>
    <row r="1671" spans="1:12" x14ac:dyDescent="0.2">
      <c r="A1671" s="158"/>
      <c r="B1671" s="55"/>
      <c r="C1671" s="175"/>
      <c r="D1671" s="175"/>
      <c r="E1671" s="172"/>
      <c r="F1671" s="172"/>
      <c r="G1671" s="172"/>
      <c r="H1671" s="172"/>
      <c r="I1671" s="172"/>
      <c r="J1671" s="173"/>
      <c r="K1671" s="132"/>
      <c r="L1671" s="133"/>
    </row>
    <row r="1672" spans="1:12" x14ac:dyDescent="0.2">
      <c r="A1672" s="158"/>
      <c r="B1672" s="55"/>
      <c r="C1672" s="175"/>
      <c r="D1672" s="175"/>
      <c r="E1672" s="172"/>
      <c r="F1672" s="172"/>
      <c r="G1672" s="172"/>
      <c r="H1672" s="172"/>
      <c r="I1672" s="172"/>
      <c r="J1672" s="173"/>
      <c r="K1672" s="132"/>
      <c r="L1672" s="133"/>
    </row>
    <row r="1673" spans="1:12" x14ac:dyDescent="0.2">
      <c r="A1673" s="161"/>
      <c r="B1673" s="2"/>
      <c r="C1673" s="165"/>
      <c r="D1673" s="165"/>
      <c r="E1673" s="165"/>
      <c r="F1673" s="165"/>
      <c r="G1673" s="165"/>
      <c r="H1673" s="165"/>
      <c r="I1673" s="165"/>
      <c r="J1673" s="166"/>
      <c r="K1673" s="132"/>
      <c r="L1673" s="133"/>
    </row>
    <row r="1674" spans="1:12" ht="13.5" thickBot="1" x14ac:dyDescent="0.25">
      <c r="A1674" s="183"/>
      <c r="B1674" s="184"/>
      <c r="C1674" s="185"/>
      <c r="D1674" s="185"/>
      <c r="E1674" s="185"/>
      <c r="F1674" s="185"/>
      <c r="G1674" s="185"/>
      <c r="H1674" s="185"/>
      <c r="I1674" s="185"/>
      <c r="J1674" s="198"/>
      <c r="K1674" s="132"/>
      <c r="L1674" s="133"/>
    </row>
    <row r="1675" spans="1:12" ht="15.75" x14ac:dyDescent="0.2">
      <c r="A1675" s="602" t="s">
        <v>4</v>
      </c>
      <c r="B1675" s="603"/>
      <c r="C1675" s="603" t="str">
        <f>'A IV.A'!$B$43</f>
        <v>FECHAMENTOS, PROTEÇÕES E ALVENARIAS EM GERAL</v>
      </c>
      <c r="D1675" s="603"/>
      <c r="E1675" s="603"/>
      <c r="F1675" s="603"/>
      <c r="G1675" s="603"/>
      <c r="H1675" s="603"/>
      <c r="I1675" s="603"/>
      <c r="J1675" s="604"/>
      <c r="K1675" s="132"/>
      <c r="L1675" s="133"/>
    </row>
    <row r="1676" spans="1:12" x14ac:dyDescent="0.2">
      <c r="A1676" s="609" t="str">
        <f>'A IV.A'!$A$43</f>
        <v>3.0</v>
      </c>
      <c r="B1676" s="610"/>
      <c r="C1676" s="605"/>
      <c r="D1676" s="605"/>
      <c r="E1676" s="605"/>
      <c r="F1676" s="605"/>
      <c r="G1676" s="605"/>
      <c r="H1676" s="605"/>
      <c r="I1676" s="605"/>
      <c r="J1676" s="606"/>
      <c r="K1676" s="132"/>
      <c r="L1676" s="133"/>
    </row>
    <row r="1677" spans="1:12" ht="13.5" thickBot="1" x14ac:dyDescent="0.25">
      <c r="A1677" s="611"/>
      <c r="B1677" s="612"/>
      <c r="C1677" s="607"/>
      <c r="D1677" s="607"/>
      <c r="E1677" s="607"/>
      <c r="F1677" s="607"/>
      <c r="G1677" s="607"/>
      <c r="H1677" s="607"/>
      <c r="I1677" s="607"/>
      <c r="J1677" s="608"/>
      <c r="K1677" s="132"/>
      <c r="L1677" s="133"/>
    </row>
    <row r="1678" spans="1:12" ht="13.5" thickBot="1" x14ac:dyDescent="0.25">
      <c r="A1678" s="169"/>
      <c r="B1678" s="169"/>
      <c r="C1678" s="613"/>
      <c r="D1678" s="613"/>
      <c r="E1678" s="613"/>
      <c r="F1678" s="613"/>
      <c r="G1678" s="613"/>
      <c r="H1678" s="613"/>
      <c r="I1678" s="613"/>
      <c r="J1678" s="169"/>
      <c r="K1678" s="132"/>
      <c r="L1678" s="133"/>
    </row>
    <row r="1679" spans="1:12" ht="13.5" thickBot="1" x14ac:dyDescent="0.25">
      <c r="A1679" s="730" t="s">
        <v>60</v>
      </c>
      <c r="B1679" s="731"/>
      <c r="C1679" s="654" t="s">
        <v>61</v>
      </c>
      <c r="D1679" s="654"/>
      <c r="E1679" s="654"/>
      <c r="F1679" s="654"/>
      <c r="G1679" s="654"/>
      <c r="H1679" s="654"/>
      <c r="I1679" s="654"/>
      <c r="J1679" s="282" t="s">
        <v>0</v>
      </c>
      <c r="K1679" s="132"/>
      <c r="L1679" s="133"/>
    </row>
    <row r="1680" spans="1:12" x14ac:dyDescent="0.2">
      <c r="A1680" s="136"/>
      <c r="B1680" s="137"/>
      <c r="C1680" s="619"/>
      <c r="D1680" s="620"/>
      <c r="E1680" s="621"/>
      <c r="F1680" s="621"/>
      <c r="G1680" s="621"/>
      <c r="H1680" s="621"/>
      <c r="I1680" s="622"/>
      <c r="J1680" s="138"/>
      <c r="K1680" s="132"/>
      <c r="L1680" s="133"/>
    </row>
    <row r="1681" spans="1:14" ht="12.75" customHeight="1" x14ac:dyDescent="0.2">
      <c r="A1681" s="623" t="str">
        <f>'A IV.A'!A59</f>
        <v>3.2.10</v>
      </c>
      <c r="B1681" s="636"/>
      <c r="C1681" s="626" t="str">
        <f>'A IV.A'!B59</f>
        <v>PORTA EM ALUMÍNIO TIPO VENEZIANA, 1 FOLHA, ACABAMENTO EM PINTURA ELETROSTÁTICA BRANCA, 60 MICRAS, CONFORME MEMORIAL, INCLUSIVE FERRAGENS (TRÊS DOBRADIÇAS E DOIS FERROLHOS COM PORTA-CADEADO)</v>
      </c>
      <c r="D1681" s="627"/>
      <c r="E1681" s="627"/>
      <c r="F1681" s="627"/>
      <c r="G1681" s="627"/>
      <c r="H1681" s="627"/>
      <c r="I1681" s="628"/>
      <c r="J1681" s="629" t="str">
        <f>'A IV.A'!C59</f>
        <v>M2</v>
      </c>
      <c r="K1681" s="630" t="str">
        <f>VLOOKUP(A1681,'A IV.A'!$A$14:$M$233,2,FALSE)</f>
        <v>PORTA EM ALUMÍNIO TIPO VENEZIANA, 1 FOLHA, ACABAMENTO EM PINTURA ELETROSTÁTICA BRANCA, 60 MICRAS, CONFORME MEMORIAL, INCLUSIVE FERRAGENS (TRÊS DOBRADIÇAS E DOIS FERROLHOS COM PORTA-CADEADO)</v>
      </c>
      <c r="L1681" s="631" t="str">
        <f>IF(C1681=K1681,"sim","nao")</f>
        <v>sim</v>
      </c>
      <c r="M1681" s="631" t="str">
        <f>VLOOKUP(A1681,'A IV.A'!$A$14:$M$233,3,FALSE)</f>
        <v>M2</v>
      </c>
      <c r="N1681" s="631" t="str">
        <f>IF(J1681=M1681,"sim","nao")</f>
        <v>sim</v>
      </c>
    </row>
    <row r="1682" spans="1:14" x14ac:dyDescent="0.2">
      <c r="A1682" s="623"/>
      <c r="B1682" s="636"/>
      <c r="C1682" s="626"/>
      <c r="D1682" s="627"/>
      <c r="E1682" s="627"/>
      <c r="F1682" s="627"/>
      <c r="G1682" s="627"/>
      <c r="H1682" s="627"/>
      <c r="I1682" s="628"/>
      <c r="J1682" s="629"/>
      <c r="K1682" s="630"/>
      <c r="L1682" s="631"/>
      <c r="M1682" s="631"/>
      <c r="N1682" s="631"/>
    </row>
    <row r="1683" spans="1:14" x14ac:dyDescent="0.2">
      <c r="A1683" s="623"/>
      <c r="B1683" s="636"/>
      <c r="C1683" s="626"/>
      <c r="D1683" s="627"/>
      <c r="E1683" s="627"/>
      <c r="F1683" s="627"/>
      <c r="G1683" s="627"/>
      <c r="H1683" s="627"/>
      <c r="I1683" s="628"/>
      <c r="J1683" s="629"/>
      <c r="K1683" s="132"/>
      <c r="L1683" s="133"/>
    </row>
    <row r="1684" spans="1:14" x14ac:dyDescent="0.2">
      <c r="A1684" s="623"/>
      <c r="B1684" s="636"/>
      <c r="C1684" s="626"/>
      <c r="D1684" s="627"/>
      <c r="E1684" s="627"/>
      <c r="F1684" s="627"/>
      <c r="G1684" s="627"/>
      <c r="H1684" s="627"/>
      <c r="I1684" s="628"/>
      <c r="J1684" s="629"/>
      <c r="K1684" s="630"/>
      <c r="L1684" s="631"/>
      <c r="M1684" s="631"/>
      <c r="N1684" s="631"/>
    </row>
    <row r="1685" spans="1:14" x14ac:dyDescent="0.2">
      <c r="A1685" s="158"/>
      <c r="B1685" s="188"/>
      <c r="C1685" s="189"/>
      <c r="D1685" s="165"/>
      <c r="E1685" s="165"/>
      <c r="F1685" s="165"/>
      <c r="G1685" s="165"/>
      <c r="H1685" s="165"/>
      <c r="I1685" s="190"/>
      <c r="J1685" s="191"/>
      <c r="K1685" s="630"/>
      <c r="L1685" s="631"/>
      <c r="M1685" s="631"/>
      <c r="N1685" s="631"/>
    </row>
    <row r="1686" spans="1:14" x14ac:dyDescent="0.2">
      <c r="A1686" s="139"/>
      <c r="B1686" s="140"/>
      <c r="C1686" s="141"/>
      <c r="D1686" s="142"/>
      <c r="E1686" s="142"/>
      <c r="F1686" s="142"/>
      <c r="G1686" s="142"/>
      <c r="H1686" s="142"/>
      <c r="I1686" s="143"/>
      <c r="J1686" s="144"/>
      <c r="K1686" s="132"/>
      <c r="L1686" s="133"/>
    </row>
    <row r="1687" spans="1:14" x14ac:dyDescent="0.2">
      <c r="A1687" s="158"/>
      <c r="B1687" s="188"/>
      <c r="C1687" s="189"/>
      <c r="D1687" s="165"/>
      <c r="E1687" s="165"/>
      <c r="F1687" s="165"/>
      <c r="G1687" s="165"/>
      <c r="H1687" s="165"/>
      <c r="I1687" s="190"/>
      <c r="J1687" s="191"/>
      <c r="K1687" s="630"/>
      <c r="L1687" s="631"/>
      <c r="M1687" s="631"/>
      <c r="N1687" s="631"/>
    </row>
    <row r="1688" spans="1:14" x14ac:dyDescent="0.2">
      <c r="A1688" s="158"/>
      <c r="B1688" s="188"/>
      <c r="C1688" s="189"/>
      <c r="D1688" s="165"/>
      <c r="E1688" s="165"/>
      <c r="F1688" s="165"/>
      <c r="G1688" s="165"/>
      <c r="H1688" s="165"/>
      <c r="I1688" s="190"/>
      <c r="J1688" s="191"/>
      <c r="K1688" s="630"/>
      <c r="L1688" s="631"/>
      <c r="M1688" s="631"/>
      <c r="N1688" s="631"/>
    </row>
    <row r="1689" spans="1:14" x14ac:dyDescent="0.2">
      <c r="A1689" s="145"/>
      <c r="B1689" s="146"/>
      <c r="C1689" s="147"/>
      <c r="D1689" s="147"/>
      <c r="E1689" s="147"/>
      <c r="F1689" s="147"/>
      <c r="G1689" s="147"/>
      <c r="H1689" s="147"/>
      <c r="I1689" s="147"/>
      <c r="J1689" s="148"/>
      <c r="K1689" s="132"/>
      <c r="L1689" s="133"/>
    </row>
    <row r="1690" spans="1:14" x14ac:dyDescent="0.2">
      <c r="A1690" s="145"/>
      <c r="B1690" s="146"/>
      <c r="C1690" s="147"/>
      <c r="D1690" s="147"/>
      <c r="E1690" s="147"/>
      <c r="F1690" s="147"/>
      <c r="G1690" s="147"/>
      <c r="H1690" s="147"/>
      <c r="I1690" s="147"/>
      <c r="J1690" s="148"/>
      <c r="K1690" s="132"/>
      <c r="L1690" s="133"/>
    </row>
    <row r="1691" spans="1:14" x14ac:dyDescent="0.2">
      <c r="A1691" s="145"/>
      <c r="B1691" s="146"/>
      <c r="C1691" s="147"/>
      <c r="D1691" s="147"/>
      <c r="E1691" s="147"/>
      <c r="F1691" s="147"/>
      <c r="G1691" s="147"/>
      <c r="H1691" s="147"/>
      <c r="I1691" s="147"/>
      <c r="J1691" s="148"/>
      <c r="K1691" s="132"/>
      <c r="L1691" s="133"/>
    </row>
    <row r="1692" spans="1:14" x14ac:dyDescent="0.2">
      <c r="A1692" s="145"/>
      <c r="B1692" s="146"/>
      <c r="C1692" s="147"/>
      <c r="D1692" s="147"/>
      <c r="E1692" s="147"/>
      <c r="F1692" s="147"/>
      <c r="G1692" s="147"/>
      <c r="H1692" s="147"/>
      <c r="I1692" s="147"/>
      <c r="J1692" s="148"/>
      <c r="K1692" s="132"/>
      <c r="L1692" s="133"/>
    </row>
    <row r="1693" spans="1:14" x14ac:dyDescent="0.2">
      <c r="A1693" s="145"/>
      <c r="B1693" s="146"/>
      <c r="C1693" s="147"/>
      <c r="D1693" s="147"/>
      <c r="E1693" s="147"/>
      <c r="F1693" s="147"/>
      <c r="G1693" s="147"/>
      <c r="H1693" s="147"/>
      <c r="I1693" s="147"/>
      <c r="J1693" s="148"/>
      <c r="K1693" s="132"/>
      <c r="L1693" s="133"/>
    </row>
    <row r="1694" spans="1:14" x14ac:dyDescent="0.2">
      <c r="A1694" s="145"/>
      <c r="B1694" s="146"/>
      <c r="C1694" s="147"/>
      <c r="D1694" s="147"/>
      <c r="E1694" s="147"/>
      <c r="F1694" s="147"/>
      <c r="G1694" s="147"/>
      <c r="H1694" s="147"/>
      <c r="I1694" s="147"/>
      <c r="J1694" s="148"/>
      <c r="K1694" s="132"/>
      <c r="L1694" s="133"/>
    </row>
    <row r="1695" spans="1:14" x14ac:dyDescent="0.2">
      <c r="A1695" s="145"/>
      <c r="B1695" s="146"/>
      <c r="C1695" s="147"/>
      <c r="D1695" s="147"/>
      <c r="E1695" s="147"/>
      <c r="F1695" s="147"/>
      <c r="G1695" s="147"/>
      <c r="H1695" s="147"/>
      <c r="I1695" s="147"/>
      <c r="J1695" s="148"/>
      <c r="K1695" s="132"/>
      <c r="L1695" s="133"/>
    </row>
    <row r="1696" spans="1:14" x14ac:dyDescent="0.2">
      <c r="A1696" s="145"/>
      <c r="B1696" s="146"/>
      <c r="C1696" s="147"/>
      <c r="D1696" s="147"/>
      <c r="E1696" s="147"/>
      <c r="F1696" s="147"/>
      <c r="G1696" s="147"/>
      <c r="H1696" s="147"/>
      <c r="I1696" s="147"/>
      <c r="J1696" s="148"/>
      <c r="K1696" s="132"/>
      <c r="L1696" s="133"/>
    </row>
    <row r="1697" spans="1:12" x14ac:dyDescent="0.2">
      <c r="A1697" s="145"/>
      <c r="B1697" s="146"/>
      <c r="C1697" s="147"/>
      <c r="D1697" s="147"/>
      <c r="E1697" s="147"/>
      <c r="F1697" s="147"/>
      <c r="G1697" s="147"/>
      <c r="H1697" s="147"/>
      <c r="I1697" s="147"/>
      <c r="J1697" s="148"/>
      <c r="K1697" s="132"/>
      <c r="L1697" s="133"/>
    </row>
    <row r="1698" spans="1:12" x14ac:dyDescent="0.2">
      <c r="A1698" s="145"/>
      <c r="B1698" s="146"/>
      <c r="C1698" s="147"/>
      <c r="D1698" s="147"/>
      <c r="E1698" s="147"/>
      <c r="F1698" s="147"/>
      <c r="G1698" s="147"/>
      <c r="H1698" s="147"/>
      <c r="I1698" s="147"/>
      <c r="J1698" s="148"/>
      <c r="K1698" s="132"/>
      <c r="L1698" s="133"/>
    </row>
    <row r="1699" spans="1:12" x14ac:dyDescent="0.2">
      <c r="A1699" s="145"/>
      <c r="B1699" s="146"/>
      <c r="C1699" s="147"/>
      <c r="D1699" s="147"/>
      <c r="E1699" s="147"/>
      <c r="F1699" s="147"/>
      <c r="G1699" s="147"/>
      <c r="H1699" s="147"/>
      <c r="I1699" s="147"/>
      <c r="J1699" s="148"/>
      <c r="K1699" s="132"/>
      <c r="L1699" s="133"/>
    </row>
    <row r="1700" spans="1:12" x14ac:dyDescent="0.2">
      <c r="A1700" s="145"/>
      <c r="B1700" s="146"/>
      <c r="C1700" s="147"/>
      <c r="D1700" s="147"/>
      <c r="E1700" s="147"/>
      <c r="F1700" s="147"/>
      <c r="G1700" s="147"/>
      <c r="H1700" s="147"/>
      <c r="I1700" s="147"/>
      <c r="J1700" s="148"/>
      <c r="K1700" s="132"/>
      <c r="L1700" s="133"/>
    </row>
    <row r="1701" spans="1:12" x14ac:dyDescent="0.2">
      <c r="A1701" s="145"/>
      <c r="B1701" s="146"/>
      <c r="C1701" s="147"/>
      <c r="D1701" s="147"/>
      <c r="E1701" s="147"/>
      <c r="F1701" s="147"/>
      <c r="G1701" s="147"/>
      <c r="H1701" s="147"/>
      <c r="I1701" s="147"/>
      <c r="J1701" s="148"/>
      <c r="K1701" s="132"/>
      <c r="L1701" s="133"/>
    </row>
    <row r="1702" spans="1:12" ht="13.5" thickBot="1" x14ac:dyDescent="0.25">
      <c r="A1702" s="149"/>
      <c r="B1702" s="150"/>
      <c r="C1702" s="151"/>
      <c r="D1702" s="151"/>
      <c r="E1702" s="151"/>
      <c r="F1702" s="151"/>
      <c r="G1702" s="151"/>
      <c r="H1702" s="151"/>
      <c r="I1702" s="151"/>
      <c r="J1702" s="152"/>
      <c r="K1702" s="132"/>
      <c r="L1702" s="133"/>
    </row>
    <row r="1703" spans="1:12" ht="13.5" thickBot="1" x14ac:dyDescent="0.25">
      <c r="A1703" s="153"/>
      <c r="B1703" s="153"/>
      <c r="C1703" s="154"/>
      <c r="D1703" s="154"/>
      <c r="E1703" s="154"/>
      <c r="F1703" s="154"/>
      <c r="G1703" s="154"/>
      <c r="H1703" s="154"/>
      <c r="I1703" s="154"/>
      <c r="J1703" s="153"/>
      <c r="K1703" s="132"/>
      <c r="L1703" s="133"/>
    </row>
    <row r="1704" spans="1:12" ht="13.5" thickBot="1" x14ac:dyDescent="0.25">
      <c r="A1704" s="614" t="s">
        <v>62</v>
      </c>
      <c r="B1704" s="648"/>
      <c r="C1704" s="648"/>
      <c r="D1704" s="648"/>
      <c r="E1704" s="648"/>
      <c r="F1704" s="648"/>
      <c r="G1704" s="648"/>
      <c r="H1704" s="648"/>
      <c r="I1704" s="648"/>
      <c r="J1704" s="649"/>
      <c r="K1704" s="132"/>
      <c r="L1704" s="133"/>
    </row>
    <row r="1705" spans="1:12" x14ac:dyDescent="0.2">
      <c r="A1705" s="136"/>
      <c r="B1705" s="155"/>
      <c r="C1705" s="156"/>
      <c r="D1705" s="156"/>
      <c r="E1705" s="156"/>
      <c r="F1705" s="156"/>
      <c r="G1705" s="156"/>
      <c r="H1705" s="156"/>
      <c r="I1705" s="156"/>
      <c r="J1705" s="157"/>
      <c r="K1705" s="132"/>
      <c r="L1705" s="133"/>
    </row>
    <row r="1706" spans="1:12" ht="12.75" customHeight="1" x14ac:dyDescent="0.2">
      <c r="A1706" s="158" t="s">
        <v>63</v>
      </c>
      <c r="B1706" s="55"/>
      <c r="C1706" s="652" t="s">
        <v>886</v>
      </c>
      <c r="D1706" s="652"/>
      <c r="E1706" s="652"/>
      <c r="F1706" s="652"/>
      <c r="G1706" s="652"/>
      <c r="H1706" s="652"/>
      <c r="I1706" s="652"/>
      <c r="J1706" s="653"/>
      <c r="K1706" s="132"/>
      <c r="L1706" s="133"/>
    </row>
    <row r="1707" spans="1:12" x14ac:dyDescent="0.2">
      <c r="A1707" s="158"/>
      <c r="B1707" s="55"/>
      <c r="C1707" s="652"/>
      <c r="D1707" s="652"/>
      <c r="E1707" s="652"/>
      <c r="F1707" s="652"/>
      <c r="G1707" s="652"/>
      <c r="H1707" s="652"/>
      <c r="I1707" s="652"/>
      <c r="J1707" s="653"/>
      <c r="K1707" s="132"/>
      <c r="L1707" s="133"/>
    </row>
    <row r="1708" spans="1:12" x14ac:dyDescent="0.2">
      <c r="A1708" s="177"/>
      <c r="B1708" s="74"/>
      <c r="C1708" s="652"/>
      <c r="D1708" s="652"/>
      <c r="E1708" s="652"/>
      <c r="F1708" s="652"/>
      <c r="G1708" s="652"/>
      <c r="H1708" s="652"/>
      <c r="I1708" s="652"/>
      <c r="J1708" s="653"/>
      <c r="K1708" s="132"/>
      <c r="L1708" s="133"/>
    </row>
    <row r="1709" spans="1:12" x14ac:dyDescent="0.2">
      <c r="A1709" s="158"/>
      <c r="B1709" s="55"/>
      <c r="C1709" s="159"/>
      <c r="D1709" s="159"/>
      <c r="E1709" s="159"/>
      <c r="F1709" s="159"/>
      <c r="G1709" s="159"/>
      <c r="H1709" s="159"/>
      <c r="I1709" s="159"/>
      <c r="J1709" s="160"/>
      <c r="K1709" s="132"/>
      <c r="L1709" s="133"/>
    </row>
    <row r="1710" spans="1:12" x14ac:dyDescent="0.2">
      <c r="A1710" s="598" t="s">
        <v>64</v>
      </c>
      <c r="B1710" s="638"/>
      <c r="C1710" s="657" t="s">
        <v>728</v>
      </c>
      <c r="D1710" s="657"/>
      <c r="E1710" s="657"/>
      <c r="F1710" s="657"/>
      <c r="G1710" s="657"/>
      <c r="H1710" s="657"/>
      <c r="I1710" s="657"/>
      <c r="J1710" s="717"/>
      <c r="K1710" s="132"/>
      <c r="L1710" s="133"/>
    </row>
    <row r="1711" spans="1:12" x14ac:dyDescent="0.2">
      <c r="A1711" s="158"/>
      <c r="B1711" s="55"/>
      <c r="C1711" s="175"/>
      <c r="D1711" s="175"/>
      <c r="E1711" s="175"/>
      <c r="F1711" s="175"/>
      <c r="G1711" s="175"/>
      <c r="H1711" s="175"/>
      <c r="I1711" s="175"/>
      <c r="J1711" s="176"/>
      <c r="K1711" s="132"/>
      <c r="L1711" s="133"/>
    </row>
    <row r="1712" spans="1:12" x14ac:dyDescent="0.2">
      <c r="A1712" s="158"/>
      <c r="B1712" s="55"/>
      <c r="C1712" s="175"/>
      <c r="D1712" s="175"/>
      <c r="E1712" s="175"/>
      <c r="F1712" s="175"/>
      <c r="G1712" s="175"/>
      <c r="H1712" s="175"/>
      <c r="I1712" s="175"/>
      <c r="J1712" s="176"/>
      <c r="K1712" s="132"/>
      <c r="L1712" s="133"/>
    </row>
    <row r="1713" spans="1:12" x14ac:dyDescent="0.2">
      <c r="A1713" s="158"/>
      <c r="B1713" s="55"/>
      <c r="C1713" s="175"/>
      <c r="D1713" s="175"/>
      <c r="E1713" s="175"/>
      <c r="F1713" s="175"/>
      <c r="G1713" s="175"/>
      <c r="H1713" s="175"/>
      <c r="I1713" s="175"/>
      <c r="J1713" s="176"/>
      <c r="K1713" s="132"/>
      <c r="L1713" s="133"/>
    </row>
    <row r="1714" spans="1:12" x14ac:dyDescent="0.2">
      <c r="A1714" s="158"/>
      <c r="B1714" s="55"/>
      <c r="C1714" s="175"/>
      <c r="D1714" s="175"/>
      <c r="E1714" s="175"/>
      <c r="F1714" s="175"/>
      <c r="G1714" s="175"/>
      <c r="H1714" s="175"/>
      <c r="I1714" s="175"/>
      <c r="J1714" s="176"/>
      <c r="K1714" s="132"/>
      <c r="L1714" s="133"/>
    </row>
    <row r="1715" spans="1:12" x14ac:dyDescent="0.2">
      <c r="J1715" s="315"/>
      <c r="K1715" s="132"/>
      <c r="L1715" s="133"/>
    </row>
    <row r="1716" spans="1:12" x14ac:dyDescent="0.2">
      <c r="A1716" s="158"/>
      <c r="B1716" s="55"/>
      <c r="C1716" s="71"/>
      <c r="D1716" s="71"/>
      <c r="E1716" s="71"/>
      <c r="F1716" s="71"/>
      <c r="G1716" s="71"/>
      <c r="H1716" s="71"/>
      <c r="I1716" s="71"/>
      <c r="J1716" s="174"/>
      <c r="K1716" s="132"/>
      <c r="L1716" s="133"/>
    </row>
    <row r="1717" spans="1:12" x14ac:dyDescent="0.2">
      <c r="A1717" s="158"/>
      <c r="B1717" s="55"/>
      <c r="C1717" s="71"/>
      <c r="D1717" s="71"/>
      <c r="E1717" s="71"/>
      <c r="F1717" s="71"/>
      <c r="G1717" s="71"/>
      <c r="H1717" s="71"/>
      <c r="I1717" s="71"/>
      <c r="J1717" s="174"/>
      <c r="K1717" s="132"/>
      <c r="L1717" s="133"/>
    </row>
    <row r="1718" spans="1:12" x14ac:dyDescent="0.2">
      <c r="A1718" s="158"/>
      <c r="B1718" s="55"/>
      <c r="C1718" s="71"/>
      <c r="D1718" s="71"/>
      <c r="E1718" s="71"/>
      <c r="F1718" s="71"/>
      <c r="G1718" s="71"/>
      <c r="H1718" s="71"/>
      <c r="I1718" s="71"/>
      <c r="J1718" s="174"/>
      <c r="K1718" s="132"/>
      <c r="L1718" s="133"/>
    </row>
    <row r="1719" spans="1:12" x14ac:dyDescent="0.2">
      <c r="A1719" s="158"/>
      <c r="B1719" s="55"/>
      <c r="C1719" s="71"/>
      <c r="D1719" s="71"/>
      <c r="E1719" s="71"/>
      <c r="F1719" s="71"/>
      <c r="G1719" s="71"/>
      <c r="H1719" s="71"/>
      <c r="I1719" s="71"/>
      <c r="J1719" s="174"/>
      <c r="K1719" s="132"/>
      <c r="L1719" s="133"/>
    </row>
    <row r="1720" spans="1:12" x14ac:dyDescent="0.2">
      <c r="A1720" s="158"/>
      <c r="B1720" s="55"/>
      <c r="C1720" s="71"/>
      <c r="D1720" s="71"/>
      <c r="E1720" s="71"/>
      <c r="F1720" s="71"/>
      <c r="G1720" s="71"/>
      <c r="H1720" s="71"/>
      <c r="I1720" s="71"/>
      <c r="J1720" s="174"/>
      <c r="K1720" s="132"/>
      <c r="L1720" s="133"/>
    </row>
    <row r="1721" spans="1:12" x14ac:dyDescent="0.2">
      <c r="A1721" s="158"/>
      <c r="B1721" s="55"/>
      <c r="C1721" s="71"/>
      <c r="D1721" s="71"/>
      <c r="E1721" s="71"/>
      <c r="F1721" s="71"/>
      <c r="G1721" s="71"/>
      <c r="H1721" s="71"/>
      <c r="I1721" s="71"/>
      <c r="J1721" s="174"/>
      <c r="K1721" s="132"/>
      <c r="L1721" s="133"/>
    </row>
    <row r="1722" spans="1:12" x14ac:dyDescent="0.2">
      <c r="A1722" s="158"/>
      <c r="B1722" s="55"/>
      <c r="C1722" s="71"/>
      <c r="D1722" s="71"/>
      <c r="E1722" s="71"/>
      <c r="F1722" s="71"/>
      <c r="G1722" s="71"/>
      <c r="H1722" s="71"/>
      <c r="I1722" s="71"/>
      <c r="J1722" s="174"/>
      <c r="K1722" s="132"/>
      <c r="L1722" s="133"/>
    </row>
    <row r="1723" spans="1:12" x14ac:dyDescent="0.2">
      <c r="A1723" s="158"/>
      <c r="B1723" s="55"/>
      <c r="C1723" s="71"/>
      <c r="D1723" s="71"/>
      <c r="E1723" s="71"/>
      <c r="F1723" s="71"/>
      <c r="G1723" s="71"/>
      <c r="H1723" s="71"/>
      <c r="I1723" s="71"/>
      <c r="J1723" s="174"/>
      <c r="K1723" s="132"/>
      <c r="L1723" s="133"/>
    </row>
    <row r="1724" spans="1:12" x14ac:dyDescent="0.2">
      <c r="A1724" s="158"/>
      <c r="B1724" s="55"/>
      <c r="C1724" s="71"/>
      <c r="D1724" s="71"/>
      <c r="E1724" s="71"/>
      <c r="F1724" s="71"/>
      <c r="G1724" s="71"/>
      <c r="H1724" s="71"/>
      <c r="I1724" s="71"/>
      <c r="J1724" s="174"/>
      <c r="K1724" s="132"/>
      <c r="L1724" s="133"/>
    </row>
    <row r="1725" spans="1:12" x14ac:dyDescent="0.2">
      <c r="A1725" s="158"/>
      <c r="B1725" s="55"/>
      <c r="C1725" s="71"/>
      <c r="D1725" s="71"/>
      <c r="E1725" s="71"/>
      <c r="F1725" s="71"/>
      <c r="G1725" s="71"/>
      <c r="H1725" s="71"/>
      <c r="I1725" s="71"/>
      <c r="J1725" s="174"/>
      <c r="K1725" s="132"/>
      <c r="L1725" s="133"/>
    </row>
    <row r="1726" spans="1:12" x14ac:dyDescent="0.2">
      <c r="A1726" s="158"/>
      <c r="B1726" s="55"/>
      <c r="C1726" s="175"/>
      <c r="D1726" s="175"/>
      <c r="E1726" s="172"/>
      <c r="F1726" s="172"/>
      <c r="G1726" s="172"/>
      <c r="H1726" s="172"/>
      <c r="I1726" s="172"/>
      <c r="J1726" s="173"/>
      <c r="K1726" s="132"/>
      <c r="L1726" s="133"/>
    </row>
    <row r="1727" spans="1:12" x14ac:dyDescent="0.2">
      <c r="A1727" s="158"/>
      <c r="B1727" s="55"/>
      <c r="C1727" s="175"/>
      <c r="D1727" s="175"/>
      <c r="E1727" s="172"/>
      <c r="F1727" s="172"/>
      <c r="G1727" s="172"/>
      <c r="H1727" s="172"/>
      <c r="I1727" s="172"/>
      <c r="J1727" s="173"/>
      <c r="K1727" s="132"/>
      <c r="L1727" s="133"/>
    </row>
    <row r="1728" spans="1:12" ht="13.5" thickBot="1" x14ac:dyDescent="0.25">
      <c r="A1728" s="149"/>
      <c r="B1728" s="167"/>
      <c r="C1728" s="151"/>
      <c r="D1728" s="151"/>
      <c r="E1728" s="151"/>
      <c r="F1728" s="151"/>
      <c r="G1728" s="151"/>
      <c r="H1728" s="151"/>
      <c r="I1728" s="151"/>
      <c r="J1728" s="168"/>
      <c r="K1728" s="132"/>
      <c r="L1728" s="133"/>
    </row>
    <row r="1729" spans="1:14" ht="15.75" x14ac:dyDescent="0.2">
      <c r="A1729" s="602" t="s">
        <v>4</v>
      </c>
      <c r="B1729" s="603"/>
      <c r="C1729" s="603" t="str">
        <f>'A IV.A'!$B$43</f>
        <v>FECHAMENTOS, PROTEÇÕES E ALVENARIAS EM GERAL</v>
      </c>
      <c r="D1729" s="603"/>
      <c r="E1729" s="603"/>
      <c r="F1729" s="603"/>
      <c r="G1729" s="603"/>
      <c r="H1729" s="603"/>
      <c r="I1729" s="603"/>
      <c r="J1729" s="604"/>
      <c r="K1729" s="132"/>
      <c r="L1729" s="133"/>
    </row>
    <row r="1730" spans="1:14" x14ac:dyDescent="0.2">
      <c r="A1730" s="609" t="str">
        <f>'A IV.A'!$A$43</f>
        <v>3.0</v>
      </c>
      <c r="B1730" s="610"/>
      <c r="C1730" s="605"/>
      <c r="D1730" s="605"/>
      <c r="E1730" s="605"/>
      <c r="F1730" s="605"/>
      <c r="G1730" s="605"/>
      <c r="H1730" s="605"/>
      <c r="I1730" s="605"/>
      <c r="J1730" s="606"/>
      <c r="K1730" s="132"/>
      <c r="L1730" s="133"/>
    </row>
    <row r="1731" spans="1:14" ht="13.5" thickBot="1" x14ac:dyDescent="0.25">
      <c r="A1731" s="611"/>
      <c r="B1731" s="612"/>
      <c r="C1731" s="607"/>
      <c r="D1731" s="607"/>
      <c r="E1731" s="607"/>
      <c r="F1731" s="607"/>
      <c r="G1731" s="607"/>
      <c r="H1731" s="607"/>
      <c r="I1731" s="607"/>
      <c r="J1731" s="608"/>
      <c r="K1731" s="132"/>
      <c r="L1731" s="133"/>
    </row>
    <row r="1732" spans="1:14" ht="13.5" thickBot="1" x14ac:dyDescent="0.25">
      <c r="A1732" s="169"/>
      <c r="B1732" s="169"/>
      <c r="C1732" s="613"/>
      <c r="D1732" s="613"/>
      <c r="E1732" s="613"/>
      <c r="F1732" s="613"/>
      <c r="G1732" s="613"/>
      <c r="H1732" s="613"/>
      <c r="I1732" s="613"/>
      <c r="J1732" s="169"/>
      <c r="K1732" s="132"/>
      <c r="L1732" s="133"/>
    </row>
    <row r="1733" spans="1:14" ht="13.5" thickBot="1" x14ac:dyDescent="0.25">
      <c r="A1733" s="730" t="s">
        <v>60</v>
      </c>
      <c r="B1733" s="731"/>
      <c r="C1733" s="654" t="s">
        <v>61</v>
      </c>
      <c r="D1733" s="654"/>
      <c r="E1733" s="654"/>
      <c r="F1733" s="654"/>
      <c r="G1733" s="654"/>
      <c r="H1733" s="654"/>
      <c r="I1733" s="654"/>
      <c r="J1733" s="282" t="s">
        <v>0</v>
      </c>
      <c r="K1733" s="132"/>
      <c r="L1733" s="133"/>
    </row>
    <row r="1734" spans="1:14" x14ac:dyDescent="0.2">
      <c r="A1734" s="136"/>
      <c r="B1734" s="137"/>
      <c r="C1734" s="619"/>
      <c r="D1734" s="620"/>
      <c r="E1734" s="621"/>
      <c r="F1734" s="621"/>
      <c r="G1734" s="621"/>
      <c r="H1734" s="621"/>
      <c r="I1734" s="622"/>
      <c r="J1734" s="138"/>
      <c r="K1734" s="132"/>
      <c r="L1734" s="133"/>
    </row>
    <row r="1735" spans="1:14" x14ac:dyDescent="0.2">
      <c r="A1735" s="623" t="str">
        <f>'A IV.A'!A60</f>
        <v>3.2.11</v>
      </c>
      <c r="B1735" s="624"/>
      <c r="C1735" s="626" t="str">
        <f>'A IV.A'!B60</f>
        <v>FORNECIMENTO E INSTALAÇÃO DE ESCADA TIPO MARINHEIRO COM GUARDA CORPO DE PROTEÇÃO</v>
      </c>
      <c r="D1735" s="627"/>
      <c r="E1735" s="627"/>
      <c r="F1735" s="627"/>
      <c r="G1735" s="627"/>
      <c r="H1735" s="627"/>
      <c r="I1735" s="628"/>
      <c r="J1735" s="629" t="str">
        <f>'A IV.A'!C60</f>
        <v>M</v>
      </c>
      <c r="K1735" s="630" t="str">
        <f>VLOOKUP(A1735,'A IV.A'!$A$14:$M$233,2,FALSE)</f>
        <v>FORNECIMENTO E INSTALAÇÃO DE ESCADA TIPO MARINHEIRO COM GUARDA CORPO DE PROTEÇÃO</v>
      </c>
      <c r="L1735" s="631" t="str">
        <f>IF(C1735=K1735,"sim","nao")</f>
        <v>sim</v>
      </c>
      <c r="M1735" s="631" t="str">
        <f>VLOOKUP(A1735,'A IV.A'!$A$14:$M$233,3,FALSE)</f>
        <v>M</v>
      </c>
      <c r="N1735" s="631" t="str">
        <f>IF(J1735=M1735,"sim","nao")</f>
        <v>sim</v>
      </c>
    </row>
    <row r="1736" spans="1:14" x14ac:dyDescent="0.2">
      <c r="A1736" s="625"/>
      <c r="B1736" s="624"/>
      <c r="C1736" s="626"/>
      <c r="D1736" s="627"/>
      <c r="E1736" s="627"/>
      <c r="F1736" s="627"/>
      <c r="G1736" s="627"/>
      <c r="H1736" s="627"/>
      <c r="I1736" s="628"/>
      <c r="J1736" s="629"/>
      <c r="K1736" s="630"/>
      <c r="L1736" s="631"/>
      <c r="M1736" s="631"/>
      <c r="N1736" s="631"/>
    </row>
    <row r="1737" spans="1:14" x14ac:dyDescent="0.2">
      <c r="A1737" s="139"/>
      <c r="B1737" s="140"/>
      <c r="C1737" s="141"/>
      <c r="D1737" s="142"/>
      <c r="E1737" s="142"/>
      <c r="F1737" s="142"/>
      <c r="G1737" s="142"/>
      <c r="H1737" s="142"/>
      <c r="I1737" s="143"/>
      <c r="J1737" s="144"/>
      <c r="K1737" s="132"/>
      <c r="L1737" s="133"/>
    </row>
    <row r="1738" spans="1:14" x14ac:dyDescent="0.2">
      <c r="A1738" s="199"/>
      <c r="B1738" s="188"/>
      <c r="C1738" s="189"/>
      <c r="D1738" s="165"/>
      <c r="E1738" s="165"/>
      <c r="F1738" s="165"/>
      <c r="G1738" s="165"/>
      <c r="H1738" s="165"/>
      <c r="I1738" s="190"/>
      <c r="J1738" s="191"/>
      <c r="K1738" s="630"/>
      <c r="L1738" s="631"/>
      <c r="M1738" s="631"/>
      <c r="N1738" s="631"/>
    </row>
    <row r="1739" spans="1:14" x14ac:dyDescent="0.2">
      <c r="A1739" s="158"/>
      <c r="B1739" s="188"/>
      <c r="C1739" s="189"/>
      <c r="D1739" s="165"/>
      <c r="E1739" s="165"/>
      <c r="F1739" s="165"/>
      <c r="G1739" s="165"/>
      <c r="H1739" s="165"/>
      <c r="I1739" s="190"/>
      <c r="J1739" s="191"/>
      <c r="K1739" s="630"/>
      <c r="L1739" s="631"/>
      <c r="M1739" s="631"/>
      <c r="N1739" s="631"/>
    </row>
    <row r="1740" spans="1:14" x14ac:dyDescent="0.2">
      <c r="A1740" s="139"/>
      <c r="B1740" s="140"/>
      <c r="C1740" s="141"/>
      <c r="D1740" s="142"/>
      <c r="E1740" s="142"/>
      <c r="F1740" s="142"/>
      <c r="G1740" s="142"/>
      <c r="H1740" s="142"/>
      <c r="I1740" s="143"/>
      <c r="J1740" s="144"/>
      <c r="K1740" s="132"/>
      <c r="L1740" s="133"/>
    </row>
    <row r="1741" spans="1:14" x14ac:dyDescent="0.2">
      <c r="A1741" s="158"/>
      <c r="B1741" s="188"/>
      <c r="C1741" s="189"/>
      <c r="D1741" s="165"/>
      <c r="E1741" s="165"/>
      <c r="F1741" s="165"/>
      <c r="G1741" s="165"/>
      <c r="H1741" s="165"/>
      <c r="I1741" s="190"/>
      <c r="J1741" s="191"/>
      <c r="K1741" s="630"/>
      <c r="L1741" s="631"/>
      <c r="M1741" s="631"/>
      <c r="N1741" s="631"/>
    </row>
    <row r="1742" spans="1:14" x14ac:dyDescent="0.2">
      <c r="A1742" s="158"/>
      <c r="B1742" s="188"/>
      <c r="C1742" s="189"/>
      <c r="D1742" s="165"/>
      <c r="E1742" s="165"/>
      <c r="F1742" s="165"/>
      <c r="G1742" s="165"/>
      <c r="H1742" s="165"/>
      <c r="I1742" s="190"/>
      <c r="J1742" s="191"/>
      <c r="K1742" s="630"/>
      <c r="L1742" s="631"/>
      <c r="M1742" s="631"/>
      <c r="N1742" s="631"/>
    </row>
    <row r="1743" spans="1:14" x14ac:dyDescent="0.2">
      <c r="A1743" s="145"/>
      <c r="B1743" s="146"/>
      <c r="C1743" s="147"/>
      <c r="D1743" s="147"/>
      <c r="E1743" s="147"/>
      <c r="F1743" s="147"/>
      <c r="G1743" s="147"/>
      <c r="H1743" s="147"/>
      <c r="I1743" s="147"/>
      <c r="J1743" s="148"/>
      <c r="K1743" s="132"/>
      <c r="L1743" s="133"/>
    </row>
    <row r="1744" spans="1:14" x14ac:dyDescent="0.2">
      <c r="A1744" s="145"/>
      <c r="B1744" s="146"/>
      <c r="C1744" s="147"/>
      <c r="D1744" s="147"/>
      <c r="E1744" s="147"/>
      <c r="F1744" s="147"/>
      <c r="G1744" s="147"/>
      <c r="H1744" s="147"/>
      <c r="I1744" s="147"/>
      <c r="J1744" s="148"/>
      <c r="K1744" s="132"/>
      <c r="L1744" s="133"/>
    </row>
    <row r="1745" spans="1:12" x14ac:dyDescent="0.2">
      <c r="A1745" s="145"/>
      <c r="B1745" s="146"/>
      <c r="C1745" s="147"/>
      <c r="D1745" s="147"/>
      <c r="E1745" s="147"/>
      <c r="F1745" s="147"/>
      <c r="G1745" s="147"/>
      <c r="H1745" s="147"/>
      <c r="I1745" s="147"/>
      <c r="J1745" s="148"/>
      <c r="K1745" s="132"/>
      <c r="L1745" s="133"/>
    </row>
    <row r="1746" spans="1:12" x14ac:dyDescent="0.2">
      <c r="A1746" s="145"/>
      <c r="B1746" s="146"/>
      <c r="C1746" s="147"/>
      <c r="D1746" s="147"/>
      <c r="E1746" s="147"/>
      <c r="F1746" s="147"/>
      <c r="G1746" s="147"/>
      <c r="H1746" s="147"/>
      <c r="I1746" s="147"/>
      <c r="J1746" s="148"/>
      <c r="K1746" s="132"/>
      <c r="L1746" s="133"/>
    </row>
    <row r="1747" spans="1:12" x14ac:dyDescent="0.2">
      <c r="A1747" s="145"/>
      <c r="B1747" s="146"/>
      <c r="C1747" s="147"/>
      <c r="D1747" s="147"/>
      <c r="E1747" s="147"/>
      <c r="F1747" s="147"/>
      <c r="G1747" s="147"/>
      <c r="H1747" s="147"/>
      <c r="I1747" s="147"/>
      <c r="J1747" s="148"/>
      <c r="K1747" s="132"/>
      <c r="L1747" s="133"/>
    </row>
    <row r="1748" spans="1:12" x14ac:dyDescent="0.2">
      <c r="A1748" s="145"/>
      <c r="B1748" s="146"/>
      <c r="C1748" s="147"/>
      <c r="D1748" s="147"/>
      <c r="E1748" s="147"/>
      <c r="F1748" s="147"/>
      <c r="G1748" s="147"/>
      <c r="H1748" s="147"/>
      <c r="I1748" s="147"/>
      <c r="J1748" s="148"/>
      <c r="K1748" s="132"/>
      <c r="L1748" s="133"/>
    </row>
    <row r="1749" spans="1:12" x14ac:dyDescent="0.2">
      <c r="A1749" s="145"/>
      <c r="B1749" s="146"/>
      <c r="C1749" s="147"/>
      <c r="D1749" s="147"/>
      <c r="E1749" s="147"/>
      <c r="F1749" s="147"/>
      <c r="G1749" s="147"/>
      <c r="H1749" s="147"/>
      <c r="I1749" s="147"/>
      <c r="J1749" s="148"/>
      <c r="K1749" s="132"/>
      <c r="L1749" s="133"/>
    </row>
    <row r="1750" spans="1:12" x14ac:dyDescent="0.2">
      <c r="A1750" s="145"/>
      <c r="B1750" s="146"/>
      <c r="C1750" s="147"/>
      <c r="D1750" s="147"/>
      <c r="E1750" s="147"/>
      <c r="F1750" s="147"/>
      <c r="G1750" s="147"/>
      <c r="H1750" s="147"/>
      <c r="I1750" s="147"/>
      <c r="J1750" s="148"/>
      <c r="K1750" s="132"/>
      <c r="L1750" s="133"/>
    </row>
    <row r="1751" spans="1:12" x14ac:dyDescent="0.2">
      <c r="A1751" s="145"/>
      <c r="B1751" s="146"/>
      <c r="C1751" s="147"/>
      <c r="D1751" s="147"/>
      <c r="E1751" s="147"/>
      <c r="F1751" s="147"/>
      <c r="G1751" s="147"/>
      <c r="H1751" s="147"/>
      <c r="I1751" s="147"/>
      <c r="J1751" s="148"/>
      <c r="K1751" s="132"/>
      <c r="L1751" s="133"/>
    </row>
    <row r="1752" spans="1:12" x14ac:dyDescent="0.2">
      <c r="A1752" s="145"/>
      <c r="B1752" s="146"/>
      <c r="C1752" s="147"/>
      <c r="D1752" s="147"/>
      <c r="E1752" s="147"/>
      <c r="F1752" s="147"/>
      <c r="G1752" s="147"/>
      <c r="H1752" s="147"/>
      <c r="I1752" s="147"/>
      <c r="J1752" s="148"/>
      <c r="K1752" s="132"/>
      <c r="L1752" s="133"/>
    </row>
    <row r="1753" spans="1:12" x14ac:dyDescent="0.2">
      <c r="A1753" s="145"/>
      <c r="B1753" s="146"/>
      <c r="C1753" s="147"/>
      <c r="D1753" s="147"/>
      <c r="E1753" s="147"/>
      <c r="F1753" s="147"/>
      <c r="G1753" s="147"/>
      <c r="H1753" s="147"/>
      <c r="I1753" s="147"/>
      <c r="J1753" s="148"/>
      <c r="K1753" s="132"/>
      <c r="L1753" s="133"/>
    </row>
    <row r="1754" spans="1:12" x14ac:dyDescent="0.2">
      <c r="A1754" s="145"/>
      <c r="B1754" s="146"/>
      <c r="C1754" s="147"/>
      <c r="D1754" s="147"/>
      <c r="E1754" s="147"/>
      <c r="F1754" s="147"/>
      <c r="G1754" s="147"/>
      <c r="H1754" s="147"/>
      <c r="I1754" s="147"/>
      <c r="J1754" s="148"/>
      <c r="K1754" s="132"/>
      <c r="L1754" s="133"/>
    </row>
    <row r="1755" spans="1:12" x14ac:dyDescent="0.2">
      <c r="A1755" s="145"/>
      <c r="B1755" s="146"/>
      <c r="C1755" s="147"/>
      <c r="D1755" s="147"/>
      <c r="E1755" s="147"/>
      <c r="F1755" s="147"/>
      <c r="G1755" s="147"/>
      <c r="H1755" s="147"/>
      <c r="I1755" s="147"/>
      <c r="J1755" s="148"/>
      <c r="K1755" s="132"/>
      <c r="L1755" s="133"/>
    </row>
    <row r="1756" spans="1:12" ht="13.5" thickBot="1" x14ac:dyDescent="0.25">
      <c r="A1756" s="149"/>
      <c r="B1756" s="150"/>
      <c r="C1756" s="151"/>
      <c r="D1756" s="151"/>
      <c r="E1756" s="151"/>
      <c r="F1756" s="151"/>
      <c r="G1756" s="151"/>
      <c r="H1756" s="151"/>
      <c r="I1756" s="151"/>
      <c r="J1756" s="152"/>
      <c r="K1756" s="132"/>
      <c r="L1756" s="133"/>
    </row>
    <row r="1757" spans="1:12" ht="13.5" thickBot="1" x14ac:dyDescent="0.25">
      <c r="A1757" s="153"/>
      <c r="B1757" s="153"/>
      <c r="C1757" s="154"/>
      <c r="D1757" s="154"/>
      <c r="E1757" s="154"/>
      <c r="F1757" s="154"/>
      <c r="G1757" s="154"/>
      <c r="H1757" s="154"/>
      <c r="I1757" s="154"/>
      <c r="J1757" s="153"/>
      <c r="K1757" s="132"/>
      <c r="L1757" s="133"/>
    </row>
    <row r="1758" spans="1:12" ht="13.5" thickBot="1" x14ac:dyDescent="0.25">
      <c r="A1758" s="614" t="s">
        <v>62</v>
      </c>
      <c r="B1758" s="648"/>
      <c r="C1758" s="648"/>
      <c r="D1758" s="648"/>
      <c r="E1758" s="648"/>
      <c r="F1758" s="648"/>
      <c r="G1758" s="648"/>
      <c r="H1758" s="648"/>
      <c r="I1758" s="648"/>
      <c r="J1758" s="649"/>
      <c r="K1758" s="132"/>
      <c r="L1758" s="133"/>
    </row>
    <row r="1759" spans="1:12" x14ac:dyDescent="0.2">
      <c r="A1759" s="136"/>
      <c r="B1759" s="155"/>
      <c r="C1759" s="156"/>
      <c r="D1759" s="156"/>
      <c r="E1759" s="156"/>
      <c r="F1759" s="156"/>
      <c r="G1759" s="156"/>
      <c r="H1759" s="156"/>
      <c r="I1759" s="156"/>
      <c r="J1759" s="157"/>
      <c r="K1759" s="132"/>
      <c r="L1759" s="133"/>
    </row>
    <row r="1760" spans="1:12" ht="12.75" customHeight="1" x14ac:dyDescent="0.2">
      <c r="A1760" s="158" t="s">
        <v>63</v>
      </c>
      <c r="B1760" s="55"/>
      <c r="C1760" s="652" t="s">
        <v>825</v>
      </c>
      <c r="D1760" s="652"/>
      <c r="E1760" s="652"/>
      <c r="F1760" s="652"/>
      <c r="G1760" s="652"/>
      <c r="H1760" s="652"/>
      <c r="I1760" s="652"/>
      <c r="J1760" s="653"/>
      <c r="K1760" s="132"/>
      <c r="L1760" s="133"/>
    </row>
    <row r="1761" spans="1:12" x14ac:dyDescent="0.2">
      <c r="A1761" s="158"/>
      <c r="B1761" s="55"/>
      <c r="C1761" s="652"/>
      <c r="D1761" s="652"/>
      <c r="E1761" s="652"/>
      <c r="F1761" s="652"/>
      <c r="G1761" s="652"/>
      <c r="H1761" s="652"/>
      <c r="I1761" s="652"/>
      <c r="J1761" s="653"/>
      <c r="K1761" s="132"/>
      <c r="L1761" s="133"/>
    </row>
    <row r="1762" spans="1:12" x14ac:dyDescent="0.2">
      <c r="A1762" s="177"/>
      <c r="B1762" s="74"/>
      <c r="C1762" s="652"/>
      <c r="D1762" s="652"/>
      <c r="E1762" s="652"/>
      <c r="F1762" s="652"/>
      <c r="G1762" s="652"/>
      <c r="H1762" s="652"/>
      <c r="I1762" s="652"/>
      <c r="J1762" s="653"/>
      <c r="K1762" s="132"/>
      <c r="L1762" s="133"/>
    </row>
    <row r="1763" spans="1:12" x14ac:dyDescent="0.2">
      <c r="A1763" s="158"/>
      <c r="B1763" s="55"/>
      <c r="C1763" s="159"/>
      <c r="D1763" s="159"/>
      <c r="E1763" s="159"/>
      <c r="F1763" s="159"/>
      <c r="G1763" s="159"/>
      <c r="H1763" s="159"/>
      <c r="I1763" s="159"/>
      <c r="J1763" s="160"/>
      <c r="K1763" s="132"/>
      <c r="L1763" s="133"/>
    </row>
    <row r="1764" spans="1:12" x14ac:dyDescent="0.2">
      <c r="A1764" s="598" t="s">
        <v>64</v>
      </c>
      <c r="B1764" s="638"/>
      <c r="C1764" s="652" t="s">
        <v>826</v>
      </c>
      <c r="D1764" s="652"/>
      <c r="E1764" s="652"/>
      <c r="F1764" s="652"/>
      <c r="G1764" s="652"/>
      <c r="H1764" s="652"/>
      <c r="I1764" s="652"/>
      <c r="J1764" s="653"/>
      <c r="K1764" s="132"/>
      <c r="L1764" s="133"/>
    </row>
    <row r="1765" spans="1:12" x14ac:dyDescent="0.2">
      <c r="A1765" s="158"/>
      <c r="B1765" s="55"/>
      <c r="C1765" s="652"/>
      <c r="D1765" s="652"/>
      <c r="E1765" s="652"/>
      <c r="F1765" s="652"/>
      <c r="G1765" s="652"/>
      <c r="H1765" s="652"/>
      <c r="I1765" s="652"/>
      <c r="J1765" s="653"/>
      <c r="K1765" s="132"/>
      <c r="L1765" s="133"/>
    </row>
    <row r="1766" spans="1:12" x14ac:dyDescent="0.2">
      <c r="A1766" s="158"/>
      <c r="B1766" s="55"/>
      <c r="C1766" s="175"/>
      <c r="D1766" s="175"/>
      <c r="E1766" s="175"/>
      <c r="F1766" s="175"/>
      <c r="G1766" s="175"/>
      <c r="H1766" s="175"/>
      <c r="I1766" s="175"/>
      <c r="J1766" s="176"/>
      <c r="K1766" s="132"/>
      <c r="L1766" s="133"/>
    </row>
    <row r="1767" spans="1:12" ht="12.75" customHeight="1" x14ac:dyDescent="0.2">
      <c r="A1767" s="158" t="s">
        <v>65</v>
      </c>
      <c r="B1767" s="55"/>
      <c r="C1767" s="596" t="s">
        <v>887</v>
      </c>
      <c r="D1767" s="596"/>
      <c r="E1767" s="596"/>
      <c r="F1767" s="596"/>
      <c r="G1767" s="596"/>
      <c r="H1767" s="596"/>
      <c r="I1767" s="596"/>
      <c r="J1767" s="597"/>
      <c r="K1767" s="132"/>
      <c r="L1767" s="133"/>
    </row>
    <row r="1768" spans="1:12" x14ac:dyDescent="0.2">
      <c r="A1768" s="158"/>
      <c r="B1768" s="55"/>
      <c r="C1768" s="596"/>
      <c r="D1768" s="596"/>
      <c r="E1768" s="596"/>
      <c r="F1768" s="596"/>
      <c r="G1768" s="596"/>
      <c r="H1768" s="596"/>
      <c r="I1768" s="596"/>
      <c r="J1768" s="597"/>
      <c r="K1768" s="132"/>
      <c r="L1768" s="133"/>
    </row>
    <row r="1769" spans="1:12" x14ac:dyDescent="0.2">
      <c r="A1769" s="158"/>
      <c r="B1769" s="55"/>
      <c r="C1769" s="596"/>
      <c r="D1769" s="596"/>
      <c r="E1769" s="596"/>
      <c r="F1769" s="596"/>
      <c r="G1769" s="596"/>
      <c r="H1769" s="596"/>
      <c r="I1769" s="596"/>
      <c r="J1769" s="597"/>
      <c r="K1769" s="132"/>
      <c r="L1769" s="133"/>
    </row>
    <row r="1770" spans="1:12" x14ac:dyDescent="0.2">
      <c r="A1770" s="158"/>
      <c r="B1770" s="55"/>
      <c r="C1770" s="596"/>
      <c r="D1770" s="596"/>
      <c r="E1770" s="596"/>
      <c r="F1770" s="596"/>
      <c r="G1770" s="596"/>
      <c r="H1770" s="596"/>
      <c r="I1770" s="596"/>
      <c r="J1770" s="597"/>
      <c r="K1770" s="132"/>
      <c r="L1770" s="133"/>
    </row>
    <row r="1771" spans="1:12" x14ac:dyDescent="0.2">
      <c r="J1771" s="315"/>
      <c r="K1771" s="132"/>
      <c r="L1771" s="133"/>
    </row>
    <row r="1772" spans="1:12" x14ac:dyDescent="0.2">
      <c r="A1772" s="158"/>
      <c r="B1772" s="55"/>
      <c r="C1772" s="175"/>
      <c r="D1772" s="175"/>
      <c r="E1772" s="175"/>
      <c r="F1772" s="175"/>
      <c r="G1772" s="175"/>
      <c r="H1772" s="175"/>
      <c r="I1772" s="175"/>
      <c r="J1772" s="176"/>
      <c r="K1772" s="132"/>
      <c r="L1772" s="133"/>
    </row>
    <row r="1773" spans="1:12" x14ac:dyDescent="0.2">
      <c r="A1773" s="158"/>
      <c r="B1773" s="55"/>
      <c r="C1773" s="71"/>
      <c r="D1773" s="71"/>
      <c r="E1773" s="71"/>
      <c r="F1773" s="71"/>
      <c r="G1773" s="71"/>
      <c r="H1773" s="71"/>
      <c r="I1773" s="71"/>
      <c r="J1773" s="174"/>
      <c r="K1773" s="132"/>
      <c r="L1773" s="133"/>
    </row>
    <row r="1774" spans="1:12" x14ac:dyDescent="0.2">
      <c r="A1774" s="158"/>
      <c r="B1774" s="55"/>
      <c r="C1774" s="71"/>
      <c r="D1774" s="71"/>
      <c r="E1774" s="71"/>
      <c r="F1774" s="71"/>
      <c r="G1774" s="71"/>
      <c r="H1774" s="71"/>
      <c r="I1774" s="71"/>
      <c r="J1774" s="174"/>
      <c r="K1774" s="132"/>
      <c r="L1774" s="133"/>
    </row>
    <row r="1775" spans="1:12" x14ac:dyDescent="0.2">
      <c r="A1775" s="158"/>
      <c r="B1775" s="55"/>
      <c r="C1775" s="71"/>
      <c r="D1775" s="71"/>
      <c r="E1775" s="71"/>
      <c r="F1775" s="71"/>
      <c r="G1775" s="71"/>
      <c r="H1775" s="71"/>
      <c r="I1775" s="71"/>
      <c r="J1775" s="174"/>
      <c r="K1775" s="132"/>
      <c r="L1775" s="133"/>
    </row>
    <row r="1776" spans="1:12" x14ac:dyDescent="0.2">
      <c r="A1776" s="158"/>
      <c r="B1776" s="55"/>
      <c r="C1776" s="71"/>
      <c r="D1776" s="71"/>
      <c r="E1776" s="71"/>
      <c r="F1776" s="71"/>
      <c r="G1776" s="71"/>
      <c r="H1776" s="71"/>
      <c r="I1776" s="71"/>
      <c r="J1776" s="174"/>
      <c r="K1776" s="132"/>
      <c r="L1776" s="133"/>
    </row>
    <row r="1777" spans="1:14" x14ac:dyDescent="0.2">
      <c r="A1777" s="158"/>
      <c r="B1777" s="55"/>
      <c r="C1777" s="71"/>
      <c r="D1777" s="71"/>
      <c r="E1777" s="71"/>
      <c r="F1777" s="71"/>
      <c r="G1777" s="71"/>
      <c r="H1777" s="71"/>
      <c r="I1777" s="71"/>
      <c r="J1777" s="174"/>
      <c r="K1777" s="132"/>
      <c r="L1777" s="133"/>
    </row>
    <row r="1778" spans="1:14" x14ac:dyDescent="0.2">
      <c r="A1778" s="158"/>
      <c r="B1778" s="55"/>
      <c r="C1778" s="71"/>
      <c r="D1778" s="71"/>
      <c r="E1778" s="71"/>
      <c r="F1778" s="71"/>
      <c r="G1778" s="71"/>
      <c r="H1778" s="71"/>
      <c r="I1778" s="71"/>
      <c r="J1778" s="174"/>
      <c r="K1778" s="132"/>
      <c r="L1778" s="133"/>
    </row>
    <row r="1779" spans="1:14" x14ac:dyDescent="0.2">
      <c r="A1779" s="158"/>
      <c r="B1779" s="55"/>
      <c r="C1779" s="71"/>
      <c r="D1779" s="71"/>
      <c r="E1779" s="71"/>
      <c r="F1779" s="71"/>
      <c r="G1779" s="71"/>
      <c r="H1779" s="71"/>
      <c r="I1779" s="71"/>
      <c r="J1779" s="174"/>
      <c r="K1779" s="132"/>
      <c r="L1779" s="133"/>
    </row>
    <row r="1780" spans="1:14" x14ac:dyDescent="0.2">
      <c r="A1780" s="158"/>
      <c r="B1780" s="55"/>
      <c r="C1780" s="175"/>
      <c r="D1780" s="175"/>
      <c r="E1780" s="172"/>
      <c r="F1780" s="172"/>
      <c r="G1780" s="172"/>
      <c r="H1780" s="172"/>
      <c r="I1780" s="172"/>
      <c r="J1780" s="173"/>
      <c r="K1780" s="132"/>
      <c r="L1780" s="133"/>
    </row>
    <row r="1781" spans="1:14" x14ac:dyDescent="0.2">
      <c r="A1781" s="158"/>
      <c r="B1781" s="55"/>
      <c r="C1781" s="175"/>
      <c r="D1781" s="175"/>
      <c r="E1781" s="172"/>
      <c r="F1781" s="172"/>
      <c r="G1781" s="172"/>
      <c r="H1781" s="172"/>
      <c r="I1781" s="172"/>
      <c r="J1781" s="173"/>
      <c r="K1781" s="132"/>
      <c r="L1781" s="133"/>
    </row>
    <row r="1782" spans="1:14" ht="13.5" thickBot="1" x14ac:dyDescent="0.25">
      <c r="A1782" s="149"/>
      <c r="B1782" s="167"/>
      <c r="C1782" s="151"/>
      <c r="D1782" s="151"/>
      <c r="E1782" s="151"/>
      <c r="F1782" s="151"/>
      <c r="G1782" s="151"/>
      <c r="H1782" s="151"/>
      <c r="I1782" s="151"/>
      <c r="J1782" s="168"/>
      <c r="K1782" s="132"/>
      <c r="L1782" s="133"/>
    </row>
    <row r="1783" spans="1:14" ht="15.75" x14ac:dyDescent="0.2">
      <c r="A1783" s="602" t="s">
        <v>4</v>
      </c>
      <c r="B1783" s="603"/>
      <c r="C1783" s="603" t="str">
        <f>'A IV.A'!$B$43</f>
        <v>FECHAMENTOS, PROTEÇÕES E ALVENARIAS EM GERAL</v>
      </c>
      <c r="D1783" s="603"/>
      <c r="E1783" s="603"/>
      <c r="F1783" s="603"/>
      <c r="G1783" s="603"/>
      <c r="H1783" s="603"/>
      <c r="I1783" s="603"/>
      <c r="J1783" s="604"/>
      <c r="K1783" s="132"/>
      <c r="L1783" s="133"/>
    </row>
    <row r="1784" spans="1:14" x14ac:dyDescent="0.2">
      <c r="A1784" s="609" t="str">
        <f>'A IV.A'!$A$43</f>
        <v>3.0</v>
      </c>
      <c r="B1784" s="610"/>
      <c r="C1784" s="605"/>
      <c r="D1784" s="605"/>
      <c r="E1784" s="605"/>
      <c r="F1784" s="605"/>
      <c r="G1784" s="605"/>
      <c r="H1784" s="605"/>
      <c r="I1784" s="605"/>
      <c r="J1784" s="606"/>
      <c r="K1784" s="132"/>
      <c r="L1784" s="133"/>
    </row>
    <row r="1785" spans="1:14" ht="13.5" thickBot="1" x14ac:dyDescent="0.25">
      <c r="A1785" s="611"/>
      <c r="B1785" s="612"/>
      <c r="C1785" s="607"/>
      <c r="D1785" s="607"/>
      <c r="E1785" s="607"/>
      <c r="F1785" s="607"/>
      <c r="G1785" s="607"/>
      <c r="H1785" s="607"/>
      <c r="I1785" s="607"/>
      <c r="J1785" s="608"/>
      <c r="K1785" s="132"/>
      <c r="L1785" s="133"/>
    </row>
    <row r="1786" spans="1:14" ht="13.5" thickBot="1" x14ac:dyDescent="0.25">
      <c r="A1786" s="169"/>
      <c r="B1786" s="169"/>
      <c r="C1786" s="613"/>
      <c r="D1786" s="613"/>
      <c r="E1786" s="613"/>
      <c r="F1786" s="613"/>
      <c r="G1786" s="613"/>
      <c r="H1786" s="613"/>
      <c r="I1786" s="613"/>
      <c r="J1786" s="169"/>
      <c r="K1786" s="132"/>
      <c r="L1786" s="133"/>
    </row>
    <row r="1787" spans="1:14" ht="13.5" thickBot="1" x14ac:dyDescent="0.25">
      <c r="A1787" s="730" t="s">
        <v>60</v>
      </c>
      <c r="B1787" s="731"/>
      <c r="C1787" s="654" t="s">
        <v>61</v>
      </c>
      <c r="D1787" s="654"/>
      <c r="E1787" s="654"/>
      <c r="F1787" s="654"/>
      <c r="G1787" s="654"/>
      <c r="H1787" s="654"/>
      <c r="I1787" s="654"/>
      <c r="J1787" s="282" t="s">
        <v>0</v>
      </c>
      <c r="K1787" s="132"/>
      <c r="L1787" s="133"/>
    </row>
    <row r="1788" spans="1:14" x14ac:dyDescent="0.2">
      <c r="A1788" s="136"/>
      <c r="B1788" s="137"/>
      <c r="C1788" s="619"/>
      <c r="D1788" s="620"/>
      <c r="E1788" s="621"/>
      <c r="F1788" s="621"/>
      <c r="G1788" s="621"/>
      <c r="H1788" s="621"/>
      <c r="I1788" s="622"/>
      <c r="J1788" s="138"/>
      <c r="K1788" s="132"/>
      <c r="L1788" s="133"/>
    </row>
    <row r="1789" spans="1:14" x14ac:dyDescent="0.2">
      <c r="A1789" s="623" t="str">
        <f>'A IV.A'!$A$62</f>
        <v>3.3.1</v>
      </c>
      <c r="B1789" s="624"/>
      <c r="C1789" s="626" t="str">
        <f>'A IV.A'!$B$62</f>
        <v>RECUPERAÇÃO E EXECUÇÃO DE MURETA</v>
      </c>
      <c r="D1789" s="627"/>
      <c r="E1789" s="627"/>
      <c r="F1789" s="627"/>
      <c r="G1789" s="627"/>
      <c r="H1789" s="627"/>
      <c r="I1789" s="628"/>
      <c r="J1789" s="629" t="str">
        <f>'A IV.A'!$C$62</f>
        <v>M</v>
      </c>
      <c r="K1789" s="630" t="str">
        <f>VLOOKUP(A1789,'A IV.A'!$A$14:$M$233,2,FALSE)</f>
        <v>RECUPERAÇÃO E EXECUÇÃO DE MURETA</v>
      </c>
      <c r="L1789" s="631" t="str">
        <f>IF(C1789=K1789,"sim","nao")</f>
        <v>sim</v>
      </c>
      <c r="M1789" s="631" t="str">
        <f>VLOOKUP(A1789,'A IV.A'!$A$14:$M$233,3,FALSE)</f>
        <v>M</v>
      </c>
      <c r="N1789" s="631" t="str">
        <f>IF(J1789=M1789,"sim","nao")</f>
        <v>sim</v>
      </c>
    </row>
    <row r="1790" spans="1:14" x14ac:dyDescent="0.2">
      <c r="A1790" s="625"/>
      <c r="B1790" s="624"/>
      <c r="C1790" s="626"/>
      <c r="D1790" s="627"/>
      <c r="E1790" s="627"/>
      <c r="F1790" s="627"/>
      <c r="G1790" s="627"/>
      <c r="H1790" s="627"/>
      <c r="I1790" s="628"/>
      <c r="J1790" s="629"/>
      <c r="K1790" s="630"/>
      <c r="L1790" s="631"/>
      <c r="M1790" s="631"/>
      <c r="N1790" s="631"/>
    </row>
    <row r="1791" spans="1:14" x14ac:dyDescent="0.2">
      <c r="A1791" s="139"/>
      <c r="B1791" s="140"/>
      <c r="C1791" s="141"/>
      <c r="D1791" s="142"/>
      <c r="E1791" s="142"/>
      <c r="F1791" s="142"/>
      <c r="G1791" s="142"/>
      <c r="H1791" s="142"/>
      <c r="I1791" s="143"/>
      <c r="J1791" s="144"/>
      <c r="K1791" s="132"/>
      <c r="L1791" s="133"/>
    </row>
    <row r="1792" spans="1:14" x14ac:dyDescent="0.2">
      <c r="A1792" s="158"/>
      <c r="B1792" s="188"/>
      <c r="C1792" s="189"/>
      <c r="D1792" s="165"/>
      <c r="E1792" s="165"/>
      <c r="F1792" s="165"/>
      <c r="G1792" s="165"/>
      <c r="H1792" s="165"/>
      <c r="I1792" s="190"/>
      <c r="J1792" s="191"/>
      <c r="K1792" s="192"/>
      <c r="L1792" s="55"/>
      <c r="M1792" s="55"/>
      <c r="N1792" s="55"/>
    </row>
    <row r="1793" spans="1:14" x14ac:dyDescent="0.2">
      <c r="A1793" s="158"/>
      <c r="B1793" s="188"/>
      <c r="C1793" s="189"/>
      <c r="D1793" s="165"/>
      <c r="E1793" s="165"/>
      <c r="F1793" s="165"/>
      <c r="G1793" s="165"/>
      <c r="H1793" s="165"/>
      <c r="I1793" s="190"/>
      <c r="J1793" s="191"/>
      <c r="K1793" s="192"/>
      <c r="L1793" s="55"/>
      <c r="M1793" s="55"/>
      <c r="N1793" s="55"/>
    </row>
    <row r="1794" spans="1:14" x14ac:dyDescent="0.2">
      <c r="A1794" s="145"/>
      <c r="B1794" s="146"/>
      <c r="C1794" s="147"/>
      <c r="D1794" s="147"/>
      <c r="E1794" s="147"/>
      <c r="F1794" s="147"/>
      <c r="G1794" s="147"/>
      <c r="H1794" s="147"/>
      <c r="I1794" s="147"/>
      <c r="J1794" s="148"/>
      <c r="K1794" s="132"/>
      <c r="L1794" s="133"/>
    </row>
    <row r="1795" spans="1:14" x14ac:dyDescent="0.2">
      <c r="A1795" s="158"/>
      <c r="B1795" s="188"/>
      <c r="C1795" s="189"/>
      <c r="D1795" s="165"/>
      <c r="E1795" s="165"/>
      <c r="F1795" s="165"/>
      <c r="G1795" s="165"/>
      <c r="H1795" s="165"/>
      <c r="I1795" s="190"/>
      <c r="J1795" s="191"/>
      <c r="K1795" s="630"/>
      <c r="L1795" s="631"/>
      <c r="M1795" s="631"/>
      <c r="N1795" s="631"/>
    </row>
    <row r="1796" spans="1:14" x14ac:dyDescent="0.2">
      <c r="A1796" s="158"/>
      <c r="B1796" s="188"/>
      <c r="C1796" s="189"/>
      <c r="D1796" s="165"/>
      <c r="E1796" s="165"/>
      <c r="F1796" s="165"/>
      <c r="G1796" s="165"/>
      <c r="H1796" s="165"/>
      <c r="I1796" s="190"/>
      <c r="J1796" s="191"/>
      <c r="K1796" s="630"/>
      <c r="L1796" s="631"/>
      <c r="M1796" s="631"/>
      <c r="N1796" s="631"/>
    </row>
    <row r="1797" spans="1:14" x14ac:dyDescent="0.2">
      <c r="A1797" s="145"/>
      <c r="B1797" s="146"/>
      <c r="C1797" s="147"/>
      <c r="D1797" s="147"/>
      <c r="E1797" s="147"/>
      <c r="F1797" s="147"/>
      <c r="G1797" s="147"/>
      <c r="H1797" s="147"/>
      <c r="I1797" s="147"/>
      <c r="J1797" s="148"/>
      <c r="K1797" s="132"/>
      <c r="L1797" s="133"/>
    </row>
    <row r="1798" spans="1:14" x14ac:dyDescent="0.2">
      <c r="A1798" s="145"/>
      <c r="B1798" s="146"/>
      <c r="C1798" s="147"/>
      <c r="D1798" s="147"/>
      <c r="E1798" s="147"/>
      <c r="F1798" s="147"/>
      <c r="G1798" s="147"/>
      <c r="H1798" s="147"/>
      <c r="I1798" s="147"/>
      <c r="J1798" s="148"/>
      <c r="K1798" s="132"/>
      <c r="L1798" s="133"/>
    </row>
    <row r="1799" spans="1:14" x14ac:dyDescent="0.2">
      <c r="A1799" s="145"/>
      <c r="B1799" s="146"/>
      <c r="C1799" s="147"/>
      <c r="D1799" s="147"/>
      <c r="E1799" s="147"/>
      <c r="F1799" s="147"/>
      <c r="G1799" s="147"/>
      <c r="H1799" s="147"/>
      <c r="I1799" s="147"/>
      <c r="J1799" s="148"/>
      <c r="K1799" s="132"/>
      <c r="L1799" s="133"/>
    </row>
    <row r="1800" spans="1:14" x14ac:dyDescent="0.2">
      <c r="A1800" s="145"/>
      <c r="B1800" s="146"/>
      <c r="C1800" s="147"/>
      <c r="D1800" s="147"/>
      <c r="E1800" s="147"/>
      <c r="F1800" s="147"/>
      <c r="G1800" s="147"/>
      <c r="H1800" s="147"/>
      <c r="I1800" s="147"/>
      <c r="J1800" s="148"/>
      <c r="K1800" s="132"/>
      <c r="L1800" s="133"/>
    </row>
    <row r="1801" spans="1:14" x14ac:dyDescent="0.2">
      <c r="A1801" s="145"/>
      <c r="B1801" s="146"/>
      <c r="C1801" s="147"/>
      <c r="D1801" s="147"/>
      <c r="E1801" s="147"/>
      <c r="F1801" s="147"/>
      <c r="G1801" s="147"/>
      <c r="H1801" s="147"/>
      <c r="I1801" s="147"/>
      <c r="J1801" s="148"/>
      <c r="K1801" s="132"/>
      <c r="L1801" s="133"/>
    </row>
    <row r="1802" spans="1:14" x14ac:dyDescent="0.2">
      <c r="A1802" s="145"/>
      <c r="B1802" s="146"/>
      <c r="C1802" s="147"/>
      <c r="D1802" s="147"/>
      <c r="E1802" s="147"/>
      <c r="F1802" s="147"/>
      <c r="G1802" s="147"/>
      <c r="H1802" s="147"/>
      <c r="I1802" s="147"/>
      <c r="J1802" s="148"/>
      <c r="K1802" s="132"/>
      <c r="L1802" s="133"/>
    </row>
    <row r="1803" spans="1:14" x14ac:dyDescent="0.2">
      <c r="A1803" s="145"/>
      <c r="B1803" s="146"/>
      <c r="C1803" s="147"/>
      <c r="D1803" s="147"/>
      <c r="E1803" s="147"/>
      <c r="F1803" s="147"/>
      <c r="G1803" s="147"/>
      <c r="H1803" s="147"/>
      <c r="I1803" s="147"/>
      <c r="J1803" s="148"/>
      <c r="K1803" s="132"/>
      <c r="L1803" s="133"/>
    </row>
    <row r="1804" spans="1:14" x14ac:dyDescent="0.2">
      <c r="A1804" s="145"/>
      <c r="B1804" s="146"/>
      <c r="C1804" s="147"/>
      <c r="D1804" s="147"/>
      <c r="E1804" s="147"/>
      <c r="F1804" s="147"/>
      <c r="G1804" s="147"/>
      <c r="H1804" s="147"/>
      <c r="I1804" s="147"/>
      <c r="J1804" s="148"/>
      <c r="K1804" s="132"/>
      <c r="L1804" s="133"/>
    </row>
    <row r="1805" spans="1:14" x14ac:dyDescent="0.2">
      <c r="A1805" s="145"/>
      <c r="B1805" s="146"/>
      <c r="C1805" s="147"/>
      <c r="D1805" s="147"/>
      <c r="E1805" s="147"/>
      <c r="F1805" s="147"/>
      <c r="G1805" s="147"/>
      <c r="H1805" s="147"/>
      <c r="I1805" s="147"/>
      <c r="J1805" s="148"/>
      <c r="K1805" s="132"/>
      <c r="L1805" s="133"/>
    </row>
    <row r="1806" spans="1:14" x14ac:dyDescent="0.2">
      <c r="A1806" s="145"/>
      <c r="B1806" s="146"/>
      <c r="C1806" s="147"/>
      <c r="D1806" s="147"/>
      <c r="E1806" s="147"/>
      <c r="F1806" s="147"/>
      <c r="G1806" s="147"/>
      <c r="H1806" s="147"/>
      <c r="I1806" s="147"/>
      <c r="J1806" s="148"/>
      <c r="K1806" s="132"/>
      <c r="L1806" s="133"/>
    </row>
    <row r="1807" spans="1:14" x14ac:dyDescent="0.2">
      <c r="A1807" s="145"/>
      <c r="B1807" s="146"/>
      <c r="C1807" s="147"/>
      <c r="D1807" s="147"/>
      <c r="E1807" s="147"/>
      <c r="F1807" s="147"/>
      <c r="G1807" s="147"/>
      <c r="H1807" s="147"/>
      <c r="I1807" s="147"/>
      <c r="J1807" s="148"/>
      <c r="K1807" s="132"/>
      <c r="L1807" s="133"/>
    </row>
    <row r="1808" spans="1:14" x14ac:dyDescent="0.2">
      <c r="A1808" s="145"/>
      <c r="B1808" s="146"/>
      <c r="C1808" s="147"/>
      <c r="D1808" s="147"/>
      <c r="E1808" s="147"/>
      <c r="F1808" s="147"/>
      <c r="G1808" s="147"/>
      <c r="H1808" s="147"/>
      <c r="I1808" s="147"/>
      <c r="J1808" s="148"/>
      <c r="K1808" s="132"/>
      <c r="L1808" s="133"/>
    </row>
    <row r="1809" spans="1:12" x14ac:dyDescent="0.2">
      <c r="A1809" s="145"/>
      <c r="B1809" s="146"/>
      <c r="C1809" s="147"/>
      <c r="D1809" s="147"/>
      <c r="E1809" s="147"/>
      <c r="F1809" s="147"/>
      <c r="G1809" s="147"/>
      <c r="H1809" s="147"/>
      <c r="I1809" s="147"/>
      <c r="J1809" s="148"/>
      <c r="K1809" s="132"/>
      <c r="L1809" s="133"/>
    </row>
    <row r="1810" spans="1:12" ht="13.5" thickBot="1" x14ac:dyDescent="0.25">
      <c r="A1810" s="149"/>
      <c r="B1810" s="150"/>
      <c r="C1810" s="151"/>
      <c r="D1810" s="151"/>
      <c r="E1810" s="151"/>
      <c r="F1810" s="151"/>
      <c r="G1810" s="151"/>
      <c r="H1810" s="151"/>
      <c r="I1810" s="151"/>
      <c r="J1810" s="152"/>
      <c r="K1810" s="132"/>
      <c r="L1810" s="133"/>
    </row>
    <row r="1811" spans="1:12" ht="13.5" thickBot="1" x14ac:dyDescent="0.25">
      <c r="A1811" s="153"/>
      <c r="B1811" s="153"/>
      <c r="C1811" s="154"/>
      <c r="D1811" s="154"/>
      <c r="E1811" s="154"/>
      <c r="F1811" s="154"/>
      <c r="G1811" s="154"/>
      <c r="H1811" s="154"/>
      <c r="I1811" s="154"/>
      <c r="J1811" s="153"/>
      <c r="K1811" s="132"/>
      <c r="L1811" s="133"/>
    </row>
    <row r="1812" spans="1:12" ht="13.5" thickBot="1" x14ac:dyDescent="0.25">
      <c r="A1812" s="614" t="s">
        <v>62</v>
      </c>
      <c r="B1812" s="648"/>
      <c r="C1812" s="648"/>
      <c r="D1812" s="648"/>
      <c r="E1812" s="648"/>
      <c r="F1812" s="648"/>
      <c r="G1812" s="648"/>
      <c r="H1812" s="648"/>
      <c r="I1812" s="648"/>
      <c r="J1812" s="649"/>
      <c r="K1812" s="132"/>
      <c r="L1812" s="133"/>
    </row>
    <row r="1813" spans="1:12" x14ac:dyDescent="0.2">
      <c r="A1813" s="136"/>
      <c r="B1813" s="155"/>
      <c r="C1813" s="156"/>
      <c r="D1813" s="156"/>
      <c r="E1813" s="156"/>
      <c r="F1813" s="156"/>
      <c r="G1813" s="156"/>
      <c r="H1813" s="156"/>
      <c r="I1813" s="156"/>
      <c r="J1813" s="157"/>
      <c r="K1813" s="132"/>
      <c r="L1813" s="133"/>
    </row>
    <row r="1814" spans="1:12" ht="12.75" customHeight="1" x14ac:dyDescent="0.2">
      <c r="A1814" s="158" t="s">
        <v>63</v>
      </c>
      <c r="B1814" s="55"/>
      <c r="C1814" s="596" t="s">
        <v>729</v>
      </c>
      <c r="D1814" s="596"/>
      <c r="E1814" s="596"/>
      <c r="F1814" s="596"/>
      <c r="G1814" s="596"/>
      <c r="H1814" s="596"/>
      <c r="I1814" s="596"/>
      <c r="J1814" s="597"/>
      <c r="K1814" s="132"/>
      <c r="L1814" s="133"/>
    </row>
    <row r="1815" spans="1:12" x14ac:dyDescent="0.2">
      <c r="A1815" s="158"/>
      <c r="B1815" s="55"/>
      <c r="C1815" s="596"/>
      <c r="D1815" s="596"/>
      <c r="E1815" s="596"/>
      <c r="F1815" s="596"/>
      <c r="G1815" s="596"/>
      <c r="H1815" s="596"/>
      <c r="I1815" s="596"/>
      <c r="J1815" s="597"/>
      <c r="K1815" s="132"/>
      <c r="L1815" s="133"/>
    </row>
    <row r="1816" spans="1:12" x14ac:dyDescent="0.2">
      <c r="A1816" s="158"/>
      <c r="B1816" s="55"/>
      <c r="C1816" s="596"/>
      <c r="D1816" s="596"/>
      <c r="E1816" s="596"/>
      <c r="F1816" s="596"/>
      <c r="G1816" s="596"/>
      <c r="H1816" s="596"/>
      <c r="I1816" s="596"/>
      <c r="J1816" s="597"/>
      <c r="K1816" s="132"/>
      <c r="L1816" s="133"/>
    </row>
    <row r="1817" spans="1:12" x14ac:dyDescent="0.2">
      <c r="A1817" s="158"/>
      <c r="B1817" s="55"/>
      <c r="C1817" s="596"/>
      <c r="D1817" s="596"/>
      <c r="E1817" s="596"/>
      <c r="F1817" s="596"/>
      <c r="G1817" s="596"/>
      <c r="H1817" s="596"/>
      <c r="I1817" s="596"/>
      <c r="J1817" s="597"/>
      <c r="K1817" s="132"/>
      <c r="L1817" s="133"/>
    </row>
    <row r="1818" spans="1:12" x14ac:dyDescent="0.2">
      <c r="A1818" s="158"/>
      <c r="B1818" s="55"/>
      <c r="C1818" s="596"/>
      <c r="D1818" s="596"/>
      <c r="E1818" s="596"/>
      <c r="F1818" s="596"/>
      <c r="G1818" s="596"/>
      <c r="H1818" s="596"/>
      <c r="I1818" s="596"/>
      <c r="J1818" s="597"/>
      <c r="K1818" s="132"/>
      <c r="L1818" s="133"/>
    </row>
    <row r="1819" spans="1:12" x14ac:dyDescent="0.2">
      <c r="J1819" s="315"/>
      <c r="K1819" s="132"/>
      <c r="L1819" s="133"/>
    </row>
    <row r="1820" spans="1:12" x14ac:dyDescent="0.2">
      <c r="A1820" s="598" t="s">
        <v>64</v>
      </c>
      <c r="B1820" s="638"/>
      <c r="C1820" s="652" t="s">
        <v>730</v>
      </c>
      <c r="D1820" s="652"/>
      <c r="E1820" s="652"/>
      <c r="F1820" s="652"/>
      <c r="G1820" s="652"/>
      <c r="H1820" s="652"/>
      <c r="I1820" s="652"/>
      <c r="J1820" s="653"/>
      <c r="K1820" s="132"/>
      <c r="L1820" s="133"/>
    </row>
    <row r="1821" spans="1:12" x14ac:dyDescent="0.2">
      <c r="A1821" s="158"/>
      <c r="B1821" s="55"/>
      <c r="C1821" s="71"/>
      <c r="D1821" s="71"/>
      <c r="E1821" s="71"/>
      <c r="F1821" s="71"/>
      <c r="G1821" s="71"/>
      <c r="H1821" s="71"/>
      <c r="I1821" s="71"/>
      <c r="J1821" s="174"/>
      <c r="K1821" s="132"/>
      <c r="L1821" s="133"/>
    </row>
    <row r="1822" spans="1:12" ht="12.75" customHeight="1" x14ac:dyDescent="0.2">
      <c r="A1822" s="158" t="s">
        <v>65</v>
      </c>
      <c r="B1822" s="55"/>
      <c r="C1822" s="596" t="s">
        <v>636</v>
      </c>
      <c r="D1822" s="596"/>
      <c r="E1822" s="596"/>
      <c r="F1822" s="596"/>
      <c r="G1822" s="596"/>
      <c r="H1822" s="596"/>
      <c r="I1822" s="596"/>
      <c r="J1822" s="597"/>
      <c r="K1822" s="132"/>
      <c r="L1822" s="133"/>
    </row>
    <row r="1823" spans="1:12" x14ac:dyDescent="0.2">
      <c r="A1823" s="158"/>
      <c r="B1823" s="55"/>
      <c r="C1823" s="175"/>
      <c r="D1823" s="175"/>
      <c r="E1823" s="175"/>
      <c r="F1823" s="175"/>
      <c r="G1823" s="175"/>
      <c r="H1823" s="175"/>
      <c r="I1823" s="175"/>
      <c r="J1823" s="176"/>
      <c r="K1823" s="132"/>
      <c r="L1823" s="133"/>
    </row>
    <row r="1824" spans="1:12" x14ac:dyDescent="0.2">
      <c r="A1824" s="158"/>
      <c r="B1824" s="55"/>
      <c r="C1824" s="71"/>
      <c r="D1824" s="71"/>
      <c r="E1824" s="71"/>
      <c r="F1824" s="71"/>
      <c r="G1824" s="71"/>
      <c r="H1824" s="71"/>
      <c r="I1824" s="71"/>
      <c r="J1824" s="174"/>
      <c r="K1824" s="132"/>
      <c r="L1824" s="133"/>
    </row>
    <row r="1825" spans="1:12" x14ac:dyDescent="0.2">
      <c r="A1825" s="158"/>
      <c r="B1825" s="55"/>
      <c r="C1825" s="71"/>
      <c r="D1825" s="71"/>
      <c r="E1825" s="71"/>
      <c r="F1825" s="71"/>
      <c r="G1825" s="71"/>
      <c r="H1825" s="71"/>
      <c r="I1825" s="71"/>
      <c r="J1825" s="174"/>
      <c r="K1825" s="132"/>
      <c r="L1825" s="133"/>
    </row>
    <row r="1826" spans="1:12" x14ac:dyDescent="0.2">
      <c r="A1826" s="158"/>
      <c r="B1826" s="55"/>
      <c r="C1826" s="71"/>
      <c r="D1826" s="71"/>
      <c r="E1826" s="71"/>
      <c r="F1826" s="71"/>
      <c r="G1826" s="71"/>
      <c r="H1826" s="71"/>
      <c r="I1826" s="71"/>
      <c r="J1826" s="174"/>
      <c r="K1826" s="132"/>
      <c r="L1826" s="133"/>
    </row>
    <row r="1827" spans="1:12" x14ac:dyDescent="0.2">
      <c r="A1827" s="158"/>
      <c r="B1827" s="55"/>
      <c r="C1827" s="71"/>
      <c r="D1827" s="71"/>
      <c r="E1827" s="71"/>
      <c r="F1827" s="71"/>
      <c r="G1827" s="71"/>
      <c r="H1827" s="71"/>
      <c r="I1827" s="71"/>
      <c r="J1827" s="174"/>
      <c r="K1827" s="132"/>
      <c r="L1827" s="133"/>
    </row>
    <row r="1828" spans="1:12" x14ac:dyDescent="0.2">
      <c r="A1828" s="158"/>
      <c r="B1828" s="55"/>
      <c r="C1828" s="71"/>
      <c r="D1828" s="71"/>
      <c r="E1828" s="71"/>
      <c r="F1828" s="71"/>
      <c r="G1828" s="71"/>
      <c r="H1828" s="71"/>
      <c r="I1828" s="71"/>
      <c r="J1828" s="174"/>
      <c r="K1828" s="132"/>
      <c r="L1828" s="133"/>
    </row>
    <row r="1829" spans="1:12" x14ac:dyDescent="0.2">
      <c r="A1829" s="158"/>
      <c r="B1829" s="55"/>
      <c r="C1829" s="71"/>
      <c r="D1829" s="71"/>
      <c r="E1829" s="71"/>
      <c r="F1829" s="71"/>
      <c r="G1829" s="71"/>
      <c r="H1829" s="71"/>
      <c r="I1829" s="71"/>
      <c r="J1829" s="174"/>
      <c r="K1829" s="132"/>
      <c r="L1829" s="133"/>
    </row>
    <row r="1830" spans="1:12" x14ac:dyDescent="0.2">
      <c r="A1830" s="158"/>
      <c r="B1830" s="55"/>
      <c r="C1830" s="71"/>
      <c r="D1830" s="71"/>
      <c r="E1830" s="71"/>
      <c r="F1830" s="71"/>
      <c r="G1830" s="71"/>
      <c r="H1830" s="71"/>
      <c r="I1830" s="71"/>
      <c r="J1830" s="174"/>
      <c r="K1830" s="132"/>
      <c r="L1830" s="133"/>
    </row>
    <row r="1831" spans="1:12" x14ac:dyDescent="0.2">
      <c r="A1831" s="158"/>
      <c r="B1831" s="55"/>
      <c r="C1831" s="175"/>
      <c r="D1831" s="175"/>
      <c r="E1831" s="172"/>
      <c r="F1831" s="172"/>
      <c r="G1831" s="172"/>
      <c r="H1831" s="172"/>
      <c r="I1831" s="172"/>
      <c r="J1831" s="173"/>
      <c r="K1831" s="132"/>
      <c r="L1831" s="133"/>
    </row>
    <row r="1832" spans="1:12" x14ac:dyDescent="0.2">
      <c r="A1832" s="158"/>
      <c r="B1832" s="55"/>
      <c r="C1832" s="175"/>
      <c r="D1832" s="175"/>
      <c r="E1832" s="172"/>
      <c r="F1832" s="172"/>
      <c r="G1832" s="172"/>
      <c r="H1832" s="172"/>
      <c r="I1832" s="172"/>
      <c r="J1832" s="173"/>
      <c r="K1832" s="132"/>
      <c r="L1832" s="133"/>
    </row>
    <row r="1833" spans="1:12" x14ac:dyDescent="0.2">
      <c r="A1833" s="158"/>
      <c r="B1833" s="55"/>
      <c r="C1833" s="175"/>
      <c r="D1833" s="175"/>
      <c r="E1833" s="172"/>
      <c r="F1833" s="172"/>
      <c r="G1833" s="172"/>
      <c r="H1833" s="172"/>
      <c r="I1833" s="172"/>
      <c r="J1833" s="173"/>
      <c r="K1833" s="132"/>
      <c r="L1833" s="133"/>
    </row>
    <row r="1834" spans="1:12" x14ac:dyDescent="0.2">
      <c r="A1834" s="158"/>
      <c r="B1834" s="55"/>
      <c r="C1834" s="175"/>
      <c r="D1834" s="175"/>
      <c r="E1834" s="175"/>
      <c r="F1834" s="175"/>
      <c r="G1834" s="175"/>
      <c r="H1834" s="175"/>
      <c r="I1834" s="175"/>
      <c r="J1834" s="176"/>
      <c r="K1834" s="132"/>
      <c r="L1834" s="133"/>
    </row>
    <row r="1835" spans="1:12" x14ac:dyDescent="0.2">
      <c r="A1835" s="158"/>
      <c r="B1835" s="55"/>
      <c r="C1835" s="175"/>
      <c r="D1835" s="175"/>
      <c r="E1835" s="175"/>
      <c r="F1835" s="175"/>
      <c r="G1835" s="175"/>
      <c r="H1835" s="175"/>
      <c r="I1835" s="175"/>
      <c r="J1835" s="176"/>
      <c r="K1835" s="132"/>
      <c r="L1835" s="133"/>
    </row>
    <row r="1836" spans="1:12" ht="13.5" thickBot="1" x14ac:dyDescent="0.25">
      <c r="A1836" s="149"/>
      <c r="B1836" s="167"/>
      <c r="C1836" s="151"/>
      <c r="D1836" s="151"/>
      <c r="E1836" s="151"/>
      <c r="F1836" s="151"/>
      <c r="G1836" s="151"/>
      <c r="H1836" s="151"/>
      <c r="I1836" s="151"/>
      <c r="J1836" s="168"/>
      <c r="K1836" s="132"/>
      <c r="L1836" s="133"/>
    </row>
    <row r="1837" spans="1:12" ht="15.75" x14ac:dyDescent="0.2">
      <c r="A1837" s="602" t="s">
        <v>4</v>
      </c>
      <c r="B1837" s="603"/>
      <c r="C1837" s="603" t="str">
        <f>'A IV.A'!$B$43</f>
        <v>FECHAMENTOS, PROTEÇÕES E ALVENARIAS EM GERAL</v>
      </c>
      <c r="D1837" s="603"/>
      <c r="E1837" s="603"/>
      <c r="F1837" s="603"/>
      <c r="G1837" s="603"/>
      <c r="H1837" s="603"/>
      <c r="I1837" s="603"/>
      <c r="J1837" s="604"/>
      <c r="K1837" s="132"/>
      <c r="L1837" s="133"/>
    </row>
    <row r="1838" spans="1:12" x14ac:dyDescent="0.2">
      <c r="A1838" s="609" t="str">
        <f>'A IV.A'!$A$43</f>
        <v>3.0</v>
      </c>
      <c r="B1838" s="610"/>
      <c r="C1838" s="605"/>
      <c r="D1838" s="605"/>
      <c r="E1838" s="605"/>
      <c r="F1838" s="605"/>
      <c r="G1838" s="605"/>
      <c r="H1838" s="605"/>
      <c r="I1838" s="605"/>
      <c r="J1838" s="606"/>
      <c r="K1838" s="132"/>
      <c r="L1838" s="133"/>
    </row>
    <row r="1839" spans="1:12" ht="13.5" thickBot="1" x14ac:dyDescent="0.25">
      <c r="A1839" s="611"/>
      <c r="B1839" s="612"/>
      <c r="C1839" s="607"/>
      <c r="D1839" s="607"/>
      <c r="E1839" s="607"/>
      <c r="F1839" s="607"/>
      <c r="G1839" s="607"/>
      <c r="H1839" s="607"/>
      <c r="I1839" s="607"/>
      <c r="J1839" s="608"/>
      <c r="K1839" s="132"/>
      <c r="L1839" s="133"/>
    </row>
    <row r="1840" spans="1:12" ht="13.5" thickBot="1" x14ac:dyDescent="0.25">
      <c r="A1840" s="169"/>
      <c r="B1840" s="169"/>
      <c r="C1840" s="613"/>
      <c r="D1840" s="613"/>
      <c r="E1840" s="613"/>
      <c r="F1840" s="613"/>
      <c r="G1840" s="613"/>
      <c r="H1840" s="613"/>
      <c r="I1840" s="613"/>
      <c r="J1840" s="169"/>
      <c r="K1840" s="132"/>
      <c r="L1840" s="133"/>
    </row>
    <row r="1841" spans="1:14" ht="13.5" thickBot="1" x14ac:dyDescent="0.25">
      <c r="A1841" s="730" t="s">
        <v>60</v>
      </c>
      <c r="B1841" s="731"/>
      <c r="C1841" s="654" t="s">
        <v>61</v>
      </c>
      <c r="D1841" s="654"/>
      <c r="E1841" s="654"/>
      <c r="F1841" s="654"/>
      <c r="G1841" s="654"/>
      <c r="H1841" s="654"/>
      <c r="I1841" s="654"/>
      <c r="J1841" s="282" t="s">
        <v>0</v>
      </c>
      <c r="K1841" s="132"/>
      <c r="L1841" s="133"/>
    </row>
    <row r="1842" spans="1:14" x14ac:dyDescent="0.2">
      <c r="A1842" s="136"/>
      <c r="B1842" s="137"/>
      <c r="C1842" s="619"/>
      <c r="D1842" s="620"/>
      <c r="E1842" s="621"/>
      <c r="F1842" s="621"/>
      <c r="G1842" s="621"/>
      <c r="H1842" s="621"/>
      <c r="I1842" s="622"/>
      <c r="J1842" s="138"/>
      <c r="K1842" s="132"/>
      <c r="L1842" s="133"/>
    </row>
    <row r="1843" spans="1:14" x14ac:dyDescent="0.2">
      <c r="A1843" s="623" t="str">
        <f>'A IV.A'!$A$63</f>
        <v>3.3.2</v>
      </c>
      <c r="B1843" s="624"/>
      <c r="C1843" s="626" t="str">
        <f>'A IV.A'!$B$63</f>
        <v>ALVENARIA DE TIJOLO MACIÇO CERÂMICO 1/2 VEZ</v>
      </c>
      <c r="D1843" s="627"/>
      <c r="E1843" s="627"/>
      <c r="F1843" s="627"/>
      <c r="G1843" s="627"/>
      <c r="H1843" s="627"/>
      <c r="I1843" s="628"/>
      <c r="J1843" s="629" t="str">
        <f>'A IV.A'!$C$63</f>
        <v>M2</v>
      </c>
      <c r="K1843" s="630" t="str">
        <f>VLOOKUP(A1843,'A IV.A'!$A$14:$M$233,2,FALSE)</f>
        <v>ALVENARIA DE TIJOLO MACIÇO CERÂMICO 1/2 VEZ</v>
      </c>
      <c r="L1843" s="631" t="str">
        <f>IF(C1843=K1843,"sim","nao")</f>
        <v>sim</v>
      </c>
      <c r="M1843" s="631" t="str">
        <f>VLOOKUP(A1843,'A IV.A'!$A$14:$M$233,3,FALSE)</f>
        <v>M2</v>
      </c>
      <c r="N1843" s="631" t="str">
        <f>IF(J1843=M1843,"sim","nao")</f>
        <v>sim</v>
      </c>
    </row>
    <row r="1844" spans="1:14" x14ac:dyDescent="0.2">
      <c r="A1844" s="625"/>
      <c r="B1844" s="624"/>
      <c r="C1844" s="626"/>
      <c r="D1844" s="627"/>
      <c r="E1844" s="627"/>
      <c r="F1844" s="627"/>
      <c r="G1844" s="627"/>
      <c r="H1844" s="627"/>
      <c r="I1844" s="628"/>
      <c r="J1844" s="629"/>
      <c r="K1844" s="630"/>
      <c r="L1844" s="631"/>
      <c r="M1844" s="631"/>
      <c r="N1844" s="631"/>
    </row>
    <row r="1845" spans="1:14" x14ac:dyDescent="0.2">
      <c r="A1845" s="139"/>
      <c r="B1845" s="140"/>
      <c r="C1845" s="141"/>
      <c r="D1845" s="142"/>
      <c r="E1845" s="142"/>
      <c r="F1845" s="142"/>
      <c r="G1845" s="142"/>
      <c r="H1845" s="142"/>
      <c r="I1845" s="143"/>
      <c r="J1845" s="144"/>
      <c r="K1845" s="132"/>
      <c r="L1845" s="133"/>
    </row>
    <row r="1846" spans="1:14" x14ac:dyDescent="0.2">
      <c r="A1846" s="623" t="str">
        <f>'A IV.A'!$A$64</f>
        <v>3.3.3</v>
      </c>
      <c r="B1846" s="624"/>
      <c r="C1846" s="626" t="str">
        <f>'A IV.A'!$B$64</f>
        <v>ALVENARIA DE TIJOLO MACIÇO CERÂMICO 1 VEZ</v>
      </c>
      <c r="D1846" s="627"/>
      <c r="E1846" s="627"/>
      <c r="F1846" s="627"/>
      <c r="G1846" s="627"/>
      <c r="H1846" s="627"/>
      <c r="I1846" s="628"/>
      <c r="J1846" s="629" t="str">
        <f>'A IV.A'!$C$64</f>
        <v>M2</v>
      </c>
      <c r="K1846" s="630" t="str">
        <f>VLOOKUP(A1846,'A IV.A'!$A$14:$M$233,2,FALSE)</f>
        <v>ALVENARIA DE TIJOLO MACIÇO CERÂMICO 1 VEZ</v>
      </c>
      <c r="L1846" s="631" t="str">
        <f>IF(C1846=K1846,"sim","nao")</f>
        <v>sim</v>
      </c>
      <c r="M1846" s="631" t="str">
        <f>VLOOKUP(A1846,'A IV.A'!$A$14:$M$233,3,FALSE)</f>
        <v>M2</v>
      </c>
      <c r="N1846" s="631" t="str">
        <f>IF(J1846=M1846,"sim","nao")</f>
        <v>sim</v>
      </c>
    </row>
    <row r="1847" spans="1:14" x14ac:dyDescent="0.2">
      <c r="A1847" s="625"/>
      <c r="B1847" s="624"/>
      <c r="C1847" s="626"/>
      <c r="D1847" s="627"/>
      <c r="E1847" s="627"/>
      <c r="F1847" s="627"/>
      <c r="G1847" s="627"/>
      <c r="H1847" s="627"/>
      <c r="I1847" s="628"/>
      <c r="J1847" s="629"/>
      <c r="K1847" s="630"/>
      <c r="L1847" s="631"/>
      <c r="M1847" s="631"/>
      <c r="N1847" s="631"/>
    </row>
    <row r="1848" spans="1:14" x14ac:dyDescent="0.2">
      <c r="A1848" s="145"/>
      <c r="B1848" s="146"/>
      <c r="C1848" s="147"/>
      <c r="D1848" s="147"/>
      <c r="E1848" s="147"/>
      <c r="F1848" s="147"/>
      <c r="G1848" s="147"/>
      <c r="H1848" s="147"/>
      <c r="I1848" s="147"/>
      <c r="J1848" s="148"/>
      <c r="K1848" s="132"/>
      <c r="L1848" s="133"/>
    </row>
    <row r="1849" spans="1:14" x14ac:dyDescent="0.2">
      <c r="A1849" s="158"/>
      <c r="B1849" s="188"/>
      <c r="C1849" s="189"/>
      <c r="D1849" s="165"/>
      <c r="E1849" s="165"/>
      <c r="F1849" s="165"/>
      <c r="G1849" s="165"/>
      <c r="H1849" s="165"/>
      <c r="I1849" s="190"/>
      <c r="J1849" s="191"/>
      <c r="K1849" s="630"/>
      <c r="L1849" s="631"/>
      <c r="M1849" s="631"/>
      <c r="N1849" s="631"/>
    </row>
    <row r="1850" spans="1:14" x14ac:dyDescent="0.2">
      <c r="A1850" s="158"/>
      <c r="B1850" s="188"/>
      <c r="C1850" s="189"/>
      <c r="D1850" s="165"/>
      <c r="E1850" s="165"/>
      <c r="F1850" s="165"/>
      <c r="G1850" s="165"/>
      <c r="H1850" s="165"/>
      <c r="I1850" s="190"/>
      <c r="J1850" s="191"/>
      <c r="K1850" s="630"/>
      <c r="L1850" s="631"/>
      <c r="M1850" s="631"/>
      <c r="N1850" s="631"/>
    </row>
    <row r="1851" spans="1:14" x14ac:dyDescent="0.2">
      <c r="A1851" s="145"/>
      <c r="B1851" s="146"/>
      <c r="C1851" s="147"/>
      <c r="D1851" s="147"/>
      <c r="E1851" s="147"/>
      <c r="F1851" s="147"/>
      <c r="G1851" s="147"/>
      <c r="H1851" s="147"/>
      <c r="I1851" s="147"/>
      <c r="J1851" s="148"/>
      <c r="K1851" s="132"/>
      <c r="L1851" s="133"/>
    </row>
    <row r="1852" spans="1:14" x14ac:dyDescent="0.2">
      <c r="A1852" s="145"/>
      <c r="B1852" s="146"/>
      <c r="C1852" s="147"/>
      <c r="D1852" s="147"/>
      <c r="E1852" s="147"/>
      <c r="F1852" s="147"/>
      <c r="G1852" s="147"/>
      <c r="H1852" s="147"/>
      <c r="I1852" s="147"/>
      <c r="J1852" s="148"/>
      <c r="K1852" s="132"/>
      <c r="L1852" s="133"/>
    </row>
    <row r="1853" spans="1:14" x14ac:dyDescent="0.2">
      <c r="A1853" s="145"/>
      <c r="B1853" s="146"/>
      <c r="C1853" s="147"/>
      <c r="D1853" s="147"/>
      <c r="E1853" s="147"/>
      <c r="F1853" s="147"/>
      <c r="G1853" s="147"/>
      <c r="H1853" s="147"/>
      <c r="I1853" s="147"/>
      <c r="J1853" s="148"/>
      <c r="K1853" s="132"/>
      <c r="L1853" s="133"/>
    </row>
    <row r="1854" spans="1:14" x14ac:dyDescent="0.2">
      <c r="A1854" s="145"/>
      <c r="B1854" s="146"/>
      <c r="C1854" s="147"/>
      <c r="D1854" s="147"/>
      <c r="E1854" s="147"/>
      <c r="F1854" s="147"/>
      <c r="G1854" s="147"/>
      <c r="H1854" s="147"/>
      <c r="I1854" s="147"/>
      <c r="J1854" s="148"/>
      <c r="K1854" s="132"/>
      <c r="L1854" s="133"/>
    </row>
    <row r="1855" spans="1:14" x14ac:dyDescent="0.2">
      <c r="A1855" s="145"/>
      <c r="B1855" s="146"/>
      <c r="C1855" s="147"/>
      <c r="D1855" s="147"/>
      <c r="E1855" s="147"/>
      <c r="F1855" s="147"/>
      <c r="G1855" s="147"/>
      <c r="H1855" s="147"/>
      <c r="I1855" s="147"/>
      <c r="J1855" s="148"/>
      <c r="K1855" s="132"/>
      <c r="L1855" s="133"/>
    </row>
    <row r="1856" spans="1:14" x14ac:dyDescent="0.2">
      <c r="A1856" s="145"/>
      <c r="B1856" s="146"/>
      <c r="C1856" s="147"/>
      <c r="D1856" s="147"/>
      <c r="E1856" s="147"/>
      <c r="F1856" s="147"/>
      <c r="G1856" s="147"/>
      <c r="H1856" s="147"/>
      <c r="I1856" s="147"/>
      <c r="J1856" s="148"/>
      <c r="K1856" s="132"/>
      <c r="L1856" s="133"/>
    </row>
    <row r="1857" spans="1:12" x14ac:dyDescent="0.2">
      <c r="A1857" s="145"/>
      <c r="B1857" s="146"/>
      <c r="C1857" s="147"/>
      <c r="D1857" s="147"/>
      <c r="E1857" s="147"/>
      <c r="F1857" s="147"/>
      <c r="G1857" s="147"/>
      <c r="H1857" s="147"/>
      <c r="I1857" s="147"/>
      <c r="J1857" s="148"/>
      <c r="K1857" s="132"/>
      <c r="L1857" s="133"/>
    </row>
    <row r="1858" spans="1:12" x14ac:dyDescent="0.2">
      <c r="A1858" s="145"/>
      <c r="B1858" s="146"/>
      <c r="C1858" s="147"/>
      <c r="D1858" s="147"/>
      <c r="E1858" s="147"/>
      <c r="F1858" s="147"/>
      <c r="G1858" s="147"/>
      <c r="H1858" s="147"/>
      <c r="I1858" s="147"/>
      <c r="J1858" s="148"/>
      <c r="K1858" s="132"/>
      <c r="L1858" s="133"/>
    </row>
    <row r="1859" spans="1:12" x14ac:dyDescent="0.2">
      <c r="A1859" s="145"/>
      <c r="B1859" s="146"/>
      <c r="C1859" s="147"/>
      <c r="D1859" s="147"/>
      <c r="E1859" s="147"/>
      <c r="F1859" s="147"/>
      <c r="G1859" s="147"/>
      <c r="H1859" s="147"/>
      <c r="I1859" s="147"/>
      <c r="J1859" s="148"/>
      <c r="K1859" s="132"/>
      <c r="L1859" s="133"/>
    </row>
    <row r="1860" spans="1:12" x14ac:dyDescent="0.2">
      <c r="A1860" s="145"/>
      <c r="B1860" s="146"/>
      <c r="C1860" s="147"/>
      <c r="D1860" s="147"/>
      <c r="E1860" s="147"/>
      <c r="F1860" s="147"/>
      <c r="G1860" s="147"/>
      <c r="H1860" s="147"/>
      <c r="I1860" s="147"/>
      <c r="J1860" s="148"/>
      <c r="K1860" s="132"/>
      <c r="L1860" s="133"/>
    </row>
    <row r="1861" spans="1:12" x14ac:dyDescent="0.2">
      <c r="A1861" s="145"/>
      <c r="B1861" s="146"/>
      <c r="C1861" s="147"/>
      <c r="D1861" s="147"/>
      <c r="E1861" s="147"/>
      <c r="F1861" s="147"/>
      <c r="G1861" s="147"/>
      <c r="H1861" s="147"/>
      <c r="I1861" s="147"/>
      <c r="J1861" s="148"/>
      <c r="K1861" s="132"/>
      <c r="L1861" s="133"/>
    </row>
    <row r="1862" spans="1:12" x14ac:dyDescent="0.2">
      <c r="A1862" s="145"/>
      <c r="B1862" s="146"/>
      <c r="C1862" s="147"/>
      <c r="D1862" s="147"/>
      <c r="E1862" s="147"/>
      <c r="F1862" s="147"/>
      <c r="G1862" s="147"/>
      <c r="H1862" s="147"/>
      <c r="I1862" s="147"/>
      <c r="J1862" s="148"/>
      <c r="K1862" s="132"/>
      <c r="L1862" s="133"/>
    </row>
    <row r="1863" spans="1:12" x14ac:dyDescent="0.2">
      <c r="A1863" s="145"/>
      <c r="B1863" s="146"/>
      <c r="C1863" s="147"/>
      <c r="D1863" s="147"/>
      <c r="E1863" s="147"/>
      <c r="F1863" s="147"/>
      <c r="G1863" s="147"/>
      <c r="H1863" s="147"/>
      <c r="I1863" s="147"/>
      <c r="J1863" s="148"/>
      <c r="K1863" s="132"/>
      <c r="L1863" s="133"/>
    </row>
    <row r="1864" spans="1:12" ht="13.5" thickBot="1" x14ac:dyDescent="0.25">
      <c r="A1864" s="149"/>
      <c r="B1864" s="150"/>
      <c r="C1864" s="151"/>
      <c r="D1864" s="151"/>
      <c r="E1864" s="151"/>
      <c r="F1864" s="151"/>
      <c r="G1864" s="151"/>
      <c r="H1864" s="151"/>
      <c r="I1864" s="151"/>
      <c r="J1864" s="152"/>
      <c r="K1864" s="132"/>
      <c r="L1864" s="133"/>
    </row>
    <row r="1865" spans="1:12" ht="13.5" thickBot="1" x14ac:dyDescent="0.25">
      <c r="A1865" s="153"/>
      <c r="B1865" s="153"/>
      <c r="C1865" s="154"/>
      <c r="D1865" s="154"/>
      <c r="E1865" s="154"/>
      <c r="F1865" s="154"/>
      <c r="G1865" s="154"/>
      <c r="H1865" s="154"/>
      <c r="I1865" s="154"/>
      <c r="J1865" s="153"/>
      <c r="K1865" s="132"/>
      <c r="L1865" s="133"/>
    </row>
    <row r="1866" spans="1:12" ht="13.5" thickBot="1" x14ac:dyDescent="0.25">
      <c r="A1866" s="614" t="s">
        <v>62</v>
      </c>
      <c r="B1866" s="648"/>
      <c r="C1866" s="648"/>
      <c r="D1866" s="648"/>
      <c r="E1866" s="648"/>
      <c r="F1866" s="648"/>
      <c r="G1866" s="648"/>
      <c r="H1866" s="648"/>
      <c r="I1866" s="648"/>
      <c r="J1866" s="649"/>
      <c r="K1866" s="132"/>
      <c r="L1866" s="133"/>
    </row>
    <row r="1867" spans="1:12" x14ac:dyDescent="0.2">
      <c r="A1867" s="136"/>
      <c r="B1867" s="155"/>
      <c r="C1867" s="156"/>
      <c r="D1867" s="156"/>
      <c r="E1867" s="156"/>
      <c r="F1867" s="156"/>
      <c r="G1867" s="156"/>
      <c r="H1867" s="156"/>
      <c r="I1867" s="156"/>
      <c r="J1867" s="157"/>
      <c r="K1867" s="132"/>
      <c r="L1867" s="133"/>
    </row>
    <row r="1868" spans="1:12" ht="12.75" customHeight="1" x14ac:dyDescent="0.2">
      <c r="A1868" s="158" t="s">
        <v>63</v>
      </c>
      <c r="B1868" s="55"/>
      <c r="C1868" s="652" t="s">
        <v>537</v>
      </c>
      <c r="D1868" s="652"/>
      <c r="E1868" s="652"/>
      <c r="F1868" s="652"/>
      <c r="G1868" s="652"/>
      <c r="H1868" s="652"/>
      <c r="I1868" s="652"/>
      <c r="J1868" s="653"/>
      <c r="K1868" s="132"/>
      <c r="L1868" s="133"/>
    </row>
    <row r="1869" spans="1:12" x14ac:dyDescent="0.2">
      <c r="A1869" s="158"/>
      <c r="B1869" s="55"/>
      <c r="C1869" s="652"/>
      <c r="D1869" s="652"/>
      <c r="E1869" s="652"/>
      <c r="F1869" s="652"/>
      <c r="G1869" s="652"/>
      <c r="H1869" s="652"/>
      <c r="I1869" s="652"/>
      <c r="J1869" s="653"/>
      <c r="K1869" s="132"/>
      <c r="L1869" s="133"/>
    </row>
    <row r="1870" spans="1:12" x14ac:dyDescent="0.2">
      <c r="A1870" s="158"/>
      <c r="B1870" s="55"/>
      <c r="C1870" s="652"/>
      <c r="D1870" s="652"/>
      <c r="E1870" s="652"/>
      <c r="F1870" s="652"/>
      <c r="G1870" s="652"/>
      <c r="H1870" s="652"/>
      <c r="I1870" s="652"/>
      <c r="J1870" s="653"/>
      <c r="K1870" s="132"/>
      <c r="L1870" s="133"/>
    </row>
    <row r="1871" spans="1:12" x14ac:dyDescent="0.2">
      <c r="A1871" s="158"/>
      <c r="B1871" s="55"/>
      <c r="C1871" s="175"/>
      <c r="D1871" s="175"/>
      <c r="E1871" s="175"/>
      <c r="F1871" s="175"/>
      <c r="G1871" s="175"/>
      <c r="H1871" s="175"/>
      <c r="I1871" s="175"/>
      <c r="J1871" s="176"/>
      <c r="K1871" s="132"/>
      <c r="L1871" s="133"/>
    </row>
    <row r="1872" spans="1:12" x14ac:dyDescent="0.2">
      <c r="A1872" s="598" t="s">
        <v>64</v>
      </c>
      <c r="B1872" s="638"/>
      <c r="C1872" s="652" t="s">
        <v>540</v>
      </c>
      <c r="D1872" s="652"/>
      <c r="E1872" s="652"/>
      <c r="F1872" s="652"/>
      <c r="G1872" s="652"/>
      <c r="H1872" s="652"/>
      <c r="I1872" s="652"/>
      <c r="J1872" s="653"/>
      <c r="K1872" s="132"/>
      <c r="L1872" s="133"/>
    </row>
    <row r="1873" spans="1:12" x14ac:dyDescent="0.2">
      <c r="A1873" s="158"/>
      <c r="B1873" s="55"/>
      <c r="C1873" s="175"/>
      <c r="D1873" s="175"/>
      <c r="E1873" s="175"/>
      <c r="F1873" s="175"/>
      <c r="G1873" s="175"/>
      <c r="H1873" s="175"/>
      <c r="I1873" s="175"/>
      <c r="J1873" s="176"/>
      <c r="K1873" s="132"/>
      <c r="L1873" s="133"/>
    </row>
    <row r="1874" spans="1:12" x14ac:dyDescent="0.2">
      <c r="A1874" s="158"/>
      <c r="B1874" s="55"/>
      <c r="C1874" s="71"/>
      <c r="D1874" s="71"/>
      <c r="E1874" s="71"/>
      <c r="F1874" s="71"/>
      <c r="G1874" s="71"/>
      <c r="H1874" s="71"/>
      <c r="I1874" s="71"/>
      <c r="J1874" s="174"/>
      <c r="K1874" s="132"/>
      <c r="L1874" s="133"/>
    </row>
    <row r="1875" spans="1:12" x14ac:dyDescent="0.2">
      <c r="A1875" s="158"/>
      <c r="B1875" s="55"/>
      <c r="C1875" s="71"/>
      <c r="D1875" s="71"/>
      <c r="E1875" s="71"/>
      <c r="F1875" s="71"/>
      <c r="G1875" s="71"/>
      <c r="H1875" s="71"/>
      <c r="I1875" s="71"/>
      <c r="J1875" s="174"/>
      <c r="K1875" s="132"/>
      <c r="L1875" s="133"/>
    </row>
    <row r="1876" spans="1:12" x14ac:dyDescent="0.2">
      <c r="A1876" s="158"/>
      <c r="B1876" s="55"/>
      <c r="C1876" s="71"/>
      <c r="D1876" s="71"/>
      <c r="E1876" s="71"/>
      <c r="F1876" s="71"/>
      <c r="G1876" s="71"/>
      <c r="H1876" s="71"/>
      <c r="I1876" s="71"/>
      <c r="J1876" s="174"/>
      <c r="K1876" s="132"/>
      <c r="L1876" s="133"/>
    </row>
    <row r="1877" spans="1:12" x14ac:dyDescent="0.2">
      <c r="A1877" s="158"/>
      <c r="B1877" s="55"/>
      <c r="C1877" s="71"/>
      <c r="D1877" s="71"/>
      <c r="E1877" s="71"/>
      <c r="F1877" s="71"/>
      <c r="G1877" s="71"/>
      <c r="H1877" s="71"/>
      <c r="I1877" s="71"/>
      <c r="J1877" s="174"/>
      <c r="K1877" s="132"/>
      <c r="L1877" s="133"/>
    </row>
    <row r="1878" spans="1:12" x14ac:dyDescent="0.2">
      <c r="A1878" s="158"/>
      <c r="B1878" s="55"/>
      <c r="C1878" s="71"/>
      <c r="D1878" s="71"/>
      <c r="E1878" s="71"/>
      <c r="F1878" s="71"/>
      <c r="G1878" s="71"/>
      <c r="H1878" s="71"/>
      <c r="I1878" s="71"/>
      <c r="J1878" s="174"/>
      <c r="K1878" s="132"/>
      <c r="L1878" s="133"/>
    </row>
    <row r="1879" spans="1:12" x14ac:dyDescent="0.2">
      <c r="A1879" s="158"/>
      <c r="B1879" s="55"/>
      <c r="C1879" s="71"/>
      <c r="D1879" s="71"/>
      <c r="E1879" s="71"/>
      <c r="F1879" s="71"/>
      <c r="G1879" s="71"/>
      <c r="H1879" s="71"/>
      <c r="I1879" s="71"/>
      <c r="J1879" s="174"/>
      <c r="K1879" s="132"/>
      <c r="L1879" s="133"/>
    </row>
    <row r="1880" spans="1:12" x14ac:dyDescent="0.2">
      <c r="A1880" s="158"/>
      <c r="B1880" s="55"/>
      <c r="C1880" s="71"/>
      <c r="D1880" s="71"/>
      <c r="E1880" s="71"/>
      <c r="F1880" s="71"/>
      <c r="G1880" s="71"/>
      <c r="H1880" s="71"/>
      <c r="I1880" s="71"/>
      <c r="J1880" s="174"/>
      <c r="K1880" s="132"/>
      <c r="L1880" s="133"/>
    </row>
    <row r="1881" spans="1:12" x14ac:dyDescent="0.2">
      <c r="A1881" s="158"/>
      <c r="B1881" s="55"/>
      <c r="C1881" s="71"/>
      <c r="D1881" s="71"/>
      <c r="E1881" s="71"/>
      <c r="F1881" s="71"/>
      <c r="G1881" s="71"/>
      <c r="H1881" s="71"/>
      <c r="I1881" s="71"/>
      <c r="J1881" s="174"/>
      <c r="K1881" s="132"/>
      <c r="L1881" s="133"/>
    </row>
    <row r="1882" spans="1:12" x14ac:dyDescent="0.2">
      <c r="A1882" s="158"/>
      <c r="B1882" s="55"/>
      <c r="C1882" s="71"/>
      <c r="D1882" s="71"/>
      <c r="E1882" s="71"/>
      <c r="F1882" s="71"/>
      <c r="G1882" s="71"/>
      <c r="H1882" s="71"/>
      <c r="I1882" s="71"/>
      <c r="J1882" s="174"/>
      <c r="K1882" s="132"/>
      <c r="L1882" s="133"/>
    </row>
    <row r="1883" spans="1:12" x14ac:dyDescent="0.2">
      <c r="A1883" s="158"/>
      <c r="B1883" s="55"/>
      <c r="C1883" s="71"/>
      <c r="D1883" s="71"/>
      <c r="E1883" s="71"/>
      <c r="F1883" s="71"/>
      <c r="G1883" s="71"/>
      <c r="H1883" s="71"/>
      <c r="I1883" s="71"/>
      <c r="J1883" s="174"/>
      <c r="K1883" s="132"/>
      <c r="L1883" s="133"/>
    </row>
    <row r="1884" spans="1:12" x14ac:dyDescent="0.2">
      <c r="A1884" s="158"/>
      <c r="B1884" s="55"/>
      <c r="C1884" s="175"/>
      <c r="D1884" s="175"/>
      <c r="E1884" s="172"/>
      <c r="F1884" s="172"/>
      <c r="G1884" s="172"/>
      <c r="H1884" s="172"/>
      <c r="I1884" s="172"/>
      <c r="J1884" s="173"/>
      <c r="K1884" s="132"/>
      <c r="L1884" s="133"/>
    </row>
    <row r="1885" spans="1:12" x14ac:dyDescent="0.2">
      <c r="A1885" s="158"/>
      <c r="B1885" s="55"/>
      <c r="C1885" s="175"/>
      <c r="D1885" s="175"/>
      <c r="E1885" s="172"/>
      <c r="F1885" s="172"/>
      <c r="G1885" s="172"/>
      <c r="H1885" s="172"/>
      <c r="I1885" s="172"/>
      <c r="J1885" s="173"/>
      <c r="K1885" s="132"/>
      <c r="L1885" s="133"/>
    </row>
    <row r="1886" spans="1:12" x14ac:dyDescent="0.2">
      <c r="A1886" s="158"/>
      <c r="B1886" s="55"/>
      <c r="C1886" s="175"/>
      <c r="D1886" s="175"/>
      <c r="E1886" s="172"/>
      <c r="F1886" s="172"/>
      <c r="G1886" s="172"/>
      <c r="H1886" s="172"/>
      <c r="I1886" s="172"/>
      <c r="J1886" s="173"/>
      <c r="K1886" s="132"/>
      <c r="L1886" s="133"/>
    </row>
    <row r="1887" spans="1:12" x14ac:dyDescent="0.2">
      <c r="A1887" s="158"/>
      <c r="B1887" s="55"/>
      <c r="C1887" s="175"/>
      <c r="D1887" s="175"/>
      <c r="E1887" s="175"/>
      <c r="F1887" s="175"/>
      <c r="G1887" s="175"/>
      <c r="H1887" s="175"/>
      <c r="I1887" s="175"/>
      <c r="J1887" s="176"/>
      <c r="K1887" s="132"/>
      <c r="L1887" s="133"/>
    </row>
    <row r="1888" spans="1:12" ht="13.5" thickBot="1" x14ac:dyDescent="0.25">
      <c r="A1888" s="149"/>
      <c r="B1888" s="167"/>
      <c r="C1888" s="151"/>
      <c r="D1888" s="151"/>
      <c r="E1888" s="151"/>
      <c r="F1888" s="151"/>
      <c r="G1888" s="151"/>
      <c r="H1888" s="151"/>
      <c r="I1888" s="151"/>
      <c r="J1888" s="168"/>
      <c r="K1888" s="132"/>
      <c r="L1888" s="133"/>
    </row>
    <row r="1889" spans="1:14" ht="15.75" x14ac:dyDescent="0.2">
      <c r="A1889" s="602" t="s">
        <v>4</v>
      </c>
      <c r="B1889" s="603"/>
      <c r="C1889" s="603" t="str">
        <f>'A IV.A'!$B$43</f>
        <v>FECHAMENTOS, PROTEÇÕES E ALVENARIAS EM GERAL</v>
      </c>
      <c r="D1889" s="603"/>
      <c r="E1889" s="603"/>
      <c r="F1889" s="603"/>
      <c r="G1889" s="603"/>
      <c r="H1889" s="603"/>
      <c r="I1889" s="603"/>
      <c r="J1889" s="604"/>
      <c r="K1889" s="132"/>
      <c r="L1889" s="133"/>
    </row>
    <row r="1890" spans="1:14" x14ac:dyDescent="0.2">
      <c r="A1890" s="609" t="str">
        <f>'A IV.A'!$A$43</f>
        <v>3.0</v>
      </c>
      <c r="B1890" s="610"/>
      <c r="C1890" s="605"/>
      <c r="D1890" s="605"/>
      <c r="E1890" s="605"/>
      <c r="F1890" s="605"/>
      <c r="G1890" s="605"/>
      <c r="H1890" s="605"/>
      <c r="I1890" s="605"/>
      <c r="J1890" s="606"/>
      <c r="K1890" s="132"/>
      <c r="L1890" s="133"/>
    </row>
    <row r="1891" spans="1:14" ht="13.5" thickBot="1" x14ac:dyDescent="0.25">
      <c r="A1891" s="611"/>
      <c r="B1891" s="612"/>
      <c r="C1891" s="607"/>
      <c r="D1891" s="607"/>
      <c r="E1891" s="607"/>
      <c r="F1891" s="607"/>
      <c r="G1891" s="607"/>
      <c r="H1891" s="607"/>
      <c r="I1891" s="607"/>
      <c r="J1891" s="608"/>
      <c r="K1891" s="132"/>
      <c r="L1891" s="133"/>
    </row>
    <row r="1892" spans="1:14" ht="13.5" thickBot="1" x14ac:dyDescent="0.25">
      <c r="A1892" s="169"/>
      <c r="B1892" s="169"/>
      <c r="C1892" s="613"/>
      <c r="D1892" s="613"/>
      <c r="E1892" s="613"/>
      <c r="F1892" s="613"/>
      <c r="G1892" s="613"/>
      <c r="H1892" s="613"/>
      <c r="I1892" s="613"/>
      <c r="J1892" s="169"/>
      <c r="K1892" s="132"/>
      <c r="L1892" s="133"/>
    </row>
    <row r="1893" spans="1:14" ht="13.5" thickBot="1" x14ac:dyDescent="0.25">
      <c r="A1893" s="730" t="s">
        <v>60</v>
      </c>
      <c r="B1893" s="731"/>
      <c r="C1893" s="654" t="s">
        <v>61</v>
      </c>
      <c r="D1893" s="654"/>
      <c r="E1893" s="654"/>
      <c r="F1893" s="654"/>
      <c r="G1893" s="654"/>
      <c r="H1893" s="654"/>
      <c r="I1893" s="654"/>
      <c r="J1893" s="282" t="s">
        <v>0</v>
      </c>
      <c r="K1893" s="132"/>
      <c r="L1893" s="133"/>
    </row>
    <row r="1894" spans="1:14" x14ac:dyDescent="0.2">
      <c r="A1894" s="136"/>
      <c r="B1894" s="137"/>
      <c r="C1894" s="619"/>
      <c r="D1894" s="620"/>
      <c r="E1894" s="621"/>
      <c r="F1894" s="621"/>
      <c r="G1894" s="621"/>
      <c r="H1894" s="621"/>
      <c r="I1894" s="622"/>
      <c r="J1894" s="138"/>
      <c r="K1894" s="132"/>
      <c r="L1894" s="133"/>
    </row>
    <row r="1895" spans="1:14" x14ac:dyDescent="0.2">
      <c r="A1895" s="623" t="str">
        <f>'A IV.A'!$A$65</f>
        <v>3.3.4</v>
      </c>
      <c r="B1895" s="624"/>
      <c r="C1895" s="626" t="str">
        <f>'A IV.A'!$B$65</f>
        <v>ALVENARIA EM BLOCO DE CONCRETO 9 X 19 X 39 CM</v>
      </c>
      <c r="D1895" s="627"/>
      <c r="E1895" s="627"/>
      <c r="F1895" s="627"/>
      <c r="G1895" s="627"/>
      <c r="H1895" s="627"/>
      <c r="I1895" s="628"/>
      <c r="J1895" s="629" t="str">
        <f>'A IV.A'!$C$65</f>
        <v>M2</v>
      </c>
      <c r="K1895" s="630" t="str">
        <f>VLOOKUP(A1895,'A IV.A'!$A$14:$M$233,2,FALSE)</f>
        <v>ALVENARIA EM BLOCO DE CONCRETO 9 X 19 X 39 CM</v>
      </c>
      <c r="L1895" s="631" t="str">
        <f>IF(C1895=K1895,"sim","nao")</f>
        <v>sim</v>
      </c>
      <c r="M1895" s="631" t="str">
        <f>VLOOKUP(A1895,'A IV.A'!$A$14:$M$233,3,FALSE)</f>
        <v>M2</v>
      </c>
      <c r="N1895" s="631" t="str">
        <f>IF(J1895=M1895,"sim","nao")</f>
        <v>sim</v>
      </c>
    </row>
    <row r="1896" spans="1:14" x14ac:dyDescent="0.2">
      <c r="A1896" s="625"/>
      <c r="B1896" s="624"/>
      <c r="C1896" s="626"/>
      <c r="D1896" s="627"/>
      <c r="E1896" s="627"/>
      <c r="F1896" s="627"/>
      <c r="G1896" s="627"/>
      <c r="H1896" s="627"/>
      <c r="I1896" s="628"/>
      <c r="J1896" s="629"/>
      <c r="K1896" s="630"/>
      <c r="L1896" s="631"/>
      <c r="M1896" s="631"/>
      <c r="N1896" s="631"/>
    </row>
    <row r="1897" spans="1:14" x14ac:dyDescent="0.2">
      <c r="A1897" s="139"/>
      <c r="B1897" s="140"/>
      <c r="C1897" s="141"/>
      <c r="D1897" s="142"/>
      <c r="E1897" s="142"/>
      <c r="F1897" s="142"/>
      <c r="G1897" s="142"/>
      <c r="H1897" s="142"/>
      <c r="I1897" s="143"/>
      <c r="J1897" s="144"/>
      <c r="K1897" s="132"/>
      <c r="L1897" s="133"/>
    </row>
    <row r="1898" spans="1:14" x14ac:dyDescent="0.2">
      <c r="A1898" s="623" t="str">
        <f>'A IV.A'!$A$66</f>
        <v>3.3.5</v>
      </c>
      <c r="B1898" s="624"/>
      <c r="C1898" s="626" t="str">
        <f>'A IV.A'!$B$66</f>
        <v>ALVENARIA EM BLOCO DE CONCRETO 14 X 19 X 39 CM</v>
      </c>
      <c r="D1898" s="627"/>
      <c r="E1898" s="627"/>
      <c r="F1898" s="627"/>
      <c r="G1898" s="627"/>
      <c r="H1898" s="627"/>
      <c r="I1898" s="628"/>
      <c r="J1898" s="629" t="str">
        <f>'A IV.A'!$C$66</f>
        <v>M2</v>
      </c>
      <c r="K1898" s="630" t="str">
        <f>VLOOKUP(A1898,'A IV.A'!$A$14:$M$233,2,FALSE)</f>
        <v>ALVENARIA EM BLOCO DE CONCRETO 14 X 19 X 39 CM</v>
      </c>
      <c r="L1898" s="631" t="str">
        <f>IF(C1898=K1898,"sim","nao")</f>
        <v>sim</v>
      </c>
      <c r="M1898" s="631" t="str">
        <f>VLOOKUP(A1898,'A IV.A'!$A$14:$M$233,3,FALSE)</f>
        <v>M2</v>
      </c>
      <c r="N1898" s="631" t="str">
        <f>IF(J1898=M1898,"sim","nao")</f>
        <v>sim</v>
      </c>
    </row>
    <row r="1899" spans="1:14" x14ac:dyDescent="0.2">
      <c r="A1899" s="625"/>
      <c r="B1899" s="624"/>
      <c r="C1899" s="626"/>
      <c r="D1899" s="627"/>
      <c r="E1899" s="627"/>
      <c r="F1899" s="627"/>
      <c r="G1899" s="627"/>
      <c r="H1899" s="627"/>
      <c r="I1899" s="628"/>
      <c r="J1899" s="629"/>
      <c r="K1899" s="630"/>
      <c r="L1899" s="631"/>
      <c r="M1899" s="631"/>
      <c r="N1899" s="631"/>
    </row>
    <row r="1900" spans="1:14" x14ac:dyDescent="0.2">
      <c r="A1900" s="145"/>
      <c r="B1900" s="146"/>
      <c r="C1900" s="147"/>
      <c r="D1900" s="147"/>
      <c r="E1900" s="147"/>
      <c r="F1900" s="147"/>
      <c r="G1900" s="147"/>
      <c r="H1900" s="147"/>
      <c r="I1900" s="147"/>
      <c r="J1900" s="148"/>
      <c r="K1900" s="132"/>
      <c r="L1900" s="133"/>
    </row>
    <row r="1901" spans="1:14" x14ac:dyDescent="0.2">
      <c r="A1901" s="623" t="str">
        <f>'A IV.A'!$A$67</f>
        <v>3.3.6</v>
      </c>
      <c r="B1901" s="624"/>
      <c r="C1901" s="626" t="str">
        <f>'A IV.A'!$B$67</f>
        <v>ALVENARIA EM BLOCO DE CONCRETO 19 X 19 X 39 CM</v>
      </c>
      <c r="D1901" s="627"/>
      <c r="E1901" s="627"/>
      <c r="F1901" s="627"/>
      <c r="G1901" s="627"/>
      <c r="H1901" s="627"/>
      <c r="I1901" s="628"/>
      <c r="J1901" s="629" t="str">
        <f>'A IV.A'!$C$67</f>
        <v>M2</v>
      </c>
      <c r="K1901" s="630" t="str">
        <f>VLOOKUP(A1901,'A IV.A'!$A$14:$M$233,2,FALSE)</f>
        <v>ALVENARIA EM BLOCO DE CONCRETO 19 X 19 X 39 CM</v>
      </c>
      <c r="L1901" s="631" t="str">
        <f>IF(C1901=K1901,"sim","nao")</f>
        <v>sim</v>
      </c>
      <c r="M1901" s="631" t="str">
        <f>VLOOKUP(A1901,'A IV.A'!$A$14:$M$233,3,FALSE)</f>
        <v>M2</v>
      </c>
      <c r="N1901" s="631" t="str">
        <f>IF(J1901=M1901,"sim","nao")</f>
        <v>sim</v>
      </c>
    </row>
    <row r="1902" spans="1:14" x14ac:dyDescent="0.2">
      <c r="A1902" s="625"/>
      <c r="B1902" s="624"/>
      <c r="C1902" s="626"/>
      <c r="D1902" s="627"/>
      <c r="E1902" s="627"/>
      <c r="F1902" s="627"/>
      <c r="G1902" s="627"/>
      <c r="H1902" s="627"/>
      <c r="I1902" s="628"/>
      <c r="J1902" s="629"/>
      <c r="K1902" s="630"/>
      <c r="L1902" s="631"/>
      <c r="M1902" s="631"/>
      <c r="N1902" s="631"/>
    </row>
    <row r="1903" spans="1:14" x14ac:dyDescent="0.2">
      <c r="A1903" s="145"/>
      <c r="B1903" s="146"/>
      <c r="C1903" s="147"/>
      <c r="D1903" s="147"/>
      <c r="E1903" s="147"/>
      <c r="F1903" s="147"/>
      <c r="G1903" s="147"/>
      <c r="H1903" s="147"/>
      <c r="I1903" s="147"/>
      <c r="J1903" s="148"/>
      <c r="K1903" s="132"/>
      <c r="L1903" s="133"/>
    </row>
    <row r="1904" spans="1:14" x14ac:dyDescent="0.2">
      <c r="A1904" s="199"/>
      <c r="B1904" s="188"/>
      <c r="C1904" s="189"/>
      <c r="D1904" s="165"/>
      <c r="E1904" s="165"/>
      <c r="F1904" s="165"/>
      <c r="G1904" s="165"/>
      <c r="H1904" s="165"/>
      <c r="I1904" s="190"/>
      <c r="J1904" s="191"/>
      <c r="K1904" s="630"/>
      <c r="L1904" s="631"/>
      <c r="M1904" s="631"/>
      <c r="N1904" s="631"/>
    </row>
    <row r="1905" spans="1:14" x14ac:dyDescent="0.2">
      <c r="A1905" s="158"/>
      <c r="B1905" s="188"/>
      <c r="C1905" s="189"/>
      <c r="D1905" s="165"/>
      <c r="E1905" s="165"/>
      <c r="F1905" s="165"/>
      <c r="G1905" s="165"/>
      <c r="H1905" s="165"/>
      <c r="I1905" s="190"/>
      <c r="J1905" s="191"/>
      <c r="K1905" s="630"/>
      <c r="L1905" s="631"/>
      <c r="M1905" s="631"/>
      <c r="N1905" s="631"/>
    </row>
    <row r="1906" spans="1:14" x14ac:dyDescent="0.2">
      <c r="A1906" s="145"/>
      <c r="B1906" s="146"/>
      <c r="C1906" s="147"/>
      <c r="D1906" s="147"/>
      <c r="E1906" s="147"/>
      <c r="F1906" s="147"/>
      <c r="G1906" s="147"/>
      <c r="H1906" s="147"/>
      <c r="I1906" s="147"/>
      <c r="J1906" s="148"/>
      <c r="K1906" s="132"/>
      <c r="L1906" s="133"/>
    </row>
    <row r="1907" spans="1:14" x14ac:dyDescent="0.2">
      <c r="A1907" s="145"/>
      <c r="B1907" s="146"/>
      <c r="C1907" s="147"/>
      <c r="D1907" s="147"/>
      <c r="E1907" s="147"/>
      <c r="F1907" s="147"/>
      <c r="G1907" s="147"/>
      <c r="H1907" s="147"/>
      <c r="I1907" s="147"/>
      <c r="J1907" s="148"/>
      <c r="K1907" s="132"/>
      <c r="L1907" s="133"/>
    </row>
    <row r="1908" spans="1:14" x14ac:dyDescent="0.2">
      <c r="A1908" s="145"/>
      <c r="B1908" s="146"/>
      <c r="C1908" s="147"/>
      <c r="D1908" s="147"/>
      <c r="E1908" s="147"/>
      <c r="F1908" s="147"/>
      <c r="G1908" s="147"/>
      <c r="H1908" s="147"/>
      <c r="I1908" s="147"/>
      <c r="J1908" s="148"/>
      <c r="K1908" s="132"/>
      <c r="L1908" s="133"/>
    </row>
    <row r="1909" spans="1:14" x14ac:dyDescent="0.2">
      <c r="A1909" s="145"/>
      <c r="B1909" s="146"/>
      <c r="C1909" s="147"/>
      <c r="D1909" s="147"/>
      <c r="E1909" s="147"/>
      <c r="F1909" s="147"/>
      <c r="G1909" s="147"/>
      <c r="H1909" s="147"/>
      <c r="I1909" s="147"/>
      <c r="J1909" s="148"/>
      <c r="K1909" s="132"/>
      <c r="L1909" s="133"/>
    </row>
    <row r="1910" spans="1:14" x14ac:dyDescent="0.2">
      <c r="A1910" s="145"/>
      <c r="B1910" s="146"/>
      <c r="C1910" s="147"/>
      <c r="D1910" s="147"/>
      <c r="E1910" s="147"/>
      <c r="F1910" s="147"/>
      <c r="G1910" s="147"/>
      <c r="H1910" s="147"/>
      <c r="I1910" s="147"/>
      <c r="J1910" s="148"/>
      <c r="K1910" s="132"/>
      <c r="L1910" s="133"/>
    </row>
    <row r="1911" spans="1:14" x14ac:dyDescent="0.2">
      <c r="A1911" s="145"/>
      <c r="B1911" s="146"/>
      <c r="C1911" s="147"/>
      <c r="D1911" s="147"/>
      <c r="E1911" s="147"/>
      <c r="F1911" s="147"/>
      <c r="G1911" s="147"/>
      <c r="H1911" s="147"/>
      <c r="I1911" s="147"/>
      <c r="J1911" s="148"/>
      <c r="K1911" s="132"/>
      <c r="L1911" s="133"/>
    </row>
    <row r="1912" spans="1:14" x14ac:dyDescent="0.2">
      <c r="A1912" s="145"/>
      <c r="B1912" s="146"/>
      <c r="C1912" s="147"/>
      <c r="D1912" s="147"/>
      <c r="E1912" s="147"/>
      <c r="F1912" s="147"/>
      <c r="G1912" s="147"/>
      <c r="H1912" s="147"/>
      <c r="I1912" s="147"/>
      <c r="J1912" s="148"/>
      <c r="K1912" s="132"/>
      <c r="L1912" s="133"/>
    </row>
    <row r="1913" spans="1:14" x14ac:dyDescent="0.2">
      <c r="A1913" s="145"/>
      <c r="B1913" s="146"/>
      <c r="C1913" s="147"/>
      <c r="D1913" s="147"/>
      <c r="E1913" s="147"/>
      <c r="F1913" s="147"/>
      <c r="G1913" s="147"/>
      <c r="H1913" s="147"/>
      <c r="I1913" s="147"/>
      <c r="J1913" s="148"/>
      <c r="K1913" s="132"/>
      <c r="L1913" s="133"/>
    </row>
    <row r="1914" spans="1:14" x14ac:dyDescent="0.2">
      <c r="A1914" s="145"/>
      <c r="B1914" s="146"/>
      <c r="C1914" s="147"/>
      <c r="D1914" s="147"/>
      <c r="E1914" s="147"/>
      <c r="F1914" s="147"/>
      <c r="G1914" s="147"/>
      <c r="H1914" s="147"/>
      <c r="I1914" s="147"/>
      <c r="J1914" s="148"/>
      <c r="K1914" s="132"/>
      <c r="L1914" s="133"/>
    </row>
    <row r="1915" spans="1:14" x14ac:dyDescent="0.2">
      <c r="A1915" s="145"/>
      <c r="B1915" s="146"/>
      <c r="C1915" s="147"/>
      <c r="D1915" s="147"/>
      <c r="E1915" s="147"/>
      <c r="F1915" s="147"/>
      <c r="G1915" s="147"/>
      <c r="H1915" s="147"/>
      <c r="I1915" s="147"/>
      <c r="J1915" s="148"/>
      <c r="K1915" s="132"/>
      <c r="L1915" s="133"/>
    </row>
    <row r="1916" spans="1:14" ht="13.5" thickBot="1" x14ac:dyDescent="0.25">
      <c r="A1916" s="149"/>
      <c r="B1916" s="150"/>
      <c r="C1916" s="151"/>
      <c r="D1916" s="151"/>
      <c r="E1916" s="151"/>
      <c r="F1916" s="151"/>
      <c r="G1916" s="151"/>
      <c r="H1916" s="151"/>
      <c r="I1916" s="151"/>
      <c r="J1916" s="152"/>
      <c r="K1916" s="132"/>
      <c r="L1916" s="133"/>
    </row>
    <row r="1917" spans="1:14" ht="13.5" thickBot="1" x14ac:dyDescent="0.25">
      <c r="A1917" s="153"/>
      <c r="B1917" s="153"/>
      <c r="C1917" s="154"/>
      <c r="D1917" s="154"/>
      <c r="E1917" s="154"/>
      <c r="F1917" s="154"/>
      <c r="G1917" s="154"/>
      <c r="H1917" s="154"/>
      <c r="I1917" s="154"/>
      <c r="J1917" s="153"/>
      <c r="K1917" s="132"/>
      <c r="L1917" s="133"/>
    </row>
    <row r="1918" spans="1:14" ht="13.5" thickBot="1" x14ac:dyDescent="0.25">
      <c r="A1918" s="614" t="s">
        <v>62</v>
      </c>
      <c r="B1918" s="648"/>
      <c r="C1918" s="648"/>
      <c r="D1918" s="648"/>
      <c r="E1918" s="648"/>
      <c r="F1918" s="648"/>
      <c r="G1918" s="648"/>
      <c r="H1918" s="648"/>
      <c r="I1918" s="648"/>
      <c r="J1918" s="649"/>
      <c r="K1918" s="132"/>
      <c r="L1918" s="133"/>
    </row>
    <row r="1919" spans="1:14" ht="12.75" customHeight="1" x14ac:dyDescent="0.2">
      <c r="A1919" s="136"/>
      <c r="B1919" s="155"/>
      <c r="C1919" s="200"/>
      <c r="D1919" s="200"/>
      <c r="E1919" s="200"/>
      <c r="F1919" s="200"/>
      <c r="G1919" s="200"/>
      <c r="H1919" s="200"/>
      <c r="I1919" s="200"/>
      <c r="J1919" s="201"/>
      <c r="K1919" s="132"/>
      <c r="L1919" s="133"/>
    </row>
    <row r="1920" spans="1:14" ht="12.75" customHeight="1" x14ac:dyDescent="0.2">
      <c r="A1920" s="158" t="s">
        <v>63</v>
      </c>
      <c r="B1920" s="55"/>
      <c r="C1920" s="596" t="s">
        <v>1139</v>
      </c>
      <c r="D1920" s="596"/>
      <c r="E1920" s="596"/>
      <c r="F1920" s="596"/>
      <c r="G1920" s="596"/>
      <c r="H1920" s="596"/>
      <c r="I1920" s="596"/>
      <c r="J1920" s="597"/>
      <c r="K1920" s="132"/>
      <c r="L1920" s="133"/>
    </row>
    <row r="1921" spans="1:12" x14ac:dyDescent="0.2">
      <c r="A1921" s="158"/>
      <c r="B1921" s="55"/>
      <c r="C1921" s="596"/>
      <c r="D1921" s="596"/>
      <c r="E1921" s="596"/>
      <c r="F1921" s="596"/>
      <c r="G1921" s="596"/>
      <c r="H1921" s="596"/>
      <c r="I1921" s="596"/>
      <c r="J1921" s="597"/>
      <c r="K1921" s="132"/>
      <c r="L1921" s="133"/>
    </row>
    <row r="1922" spans="1:12" x14ac:dyDescent="0.2">
      <c r="A1922" s="158"/>
      <c r="B1922" s="55"/>
      <c r="C1922" s="596"/>
      <c r="D1922" s="596"/>
      <c r="E1922" s="596"/>
      <c r="F1922" s="596"/>
      <c r="G1922" s="596"/>
      <c r="H1922" s="596"/>
      <c r="I1922" s="596"/>
      <c r="J1922" s="597"/>
      <c r="K1922" s="132"/>
      <c r="L1922" s="133"/>
    </row>
    <row r="1923" spans="1:12" x14ac:dyDescent="0.2">
      <c r="A1923" s="158"/>
      <c r="B1923" s="55"/>
      <c r="C1923" s="596"/>
      <c r="D1923" s="596"/>
      <c r="E1923" s="596"/>
      <c r="F1923" s="596"/>
      <c r="G1923" s="596"/>
      <c r="H1923" s="596"/>
      <c r="I1923" s="596"/>
      <c r="J1923" s="597"/>
      <c r="K1923" s="132"/>
      <c r="L1923" s="133"/>
    </row>
    <row r="1924" spans="1:12" x14ac:dyDescent="0.2">
      <c r="A1924" s="158"/>
      <c r="B1924" s="55"/>
      <c r="C1924" s="175"/>
      <c r="D1924" s="175"/>
      <c r="E1924" s="175"/>
      <c r="F1924" s="175"/>
      <c r="G1924" s="175"/>
      <c r="H1924" s="175"/>
      <c r="I1924" s="175"/>
      <c r="J1924" s="176"/>
      <c r="K1924" s="132"/>
      <c r="L1924" s="133"/>
    </row>
    <row r="1925" spans="1:12" x14ac:dyDescent="0.2">
      <c r="A1925" s="598" t="s">
        <v>64</v>
      </c>
      <c r="B1925" s="638"/>
      <c r="C1925" s="652" t="s">
        <v>540</v>
      </c>
      <c r="D1925" s="652"/>
      <c r="E1925" s="652"/>
      <c r="F1925" s="652"/>
      <c r="G1925" s="652"/>
      <c r="H1925" s="652"/>
      <c r="I1925" s="652"/>
      <c r="J1925" s="653"/>
      <c r="K1925" s="132"/>
      <c r="L1925" s="133"/>
    </row>
    <row r="1926" spans="1:12" x14ac:dyDescent="0.2">
      <c r="A1926" s="158"/>
      <c r="B1926" s="55"/>
      <c r="C1926" s="175"/>
      <c r="D1926" s="175"/>
      <c r="E1926" s="175"/>
      <c r="F1926" s="175"/>
      <c r="G1926" s="175"/>
      <c r="H1926" s="175"/>
      <c r="I1926" s="175"/>
      <c r="J1926" s="176"/>
      <c r="K1926" s="132"/>
      <c r="L1926" s="133"/>
    </row>
    <row r="1927" spans="1:12" x14ac:dyDescent="0.2">
      <c r="A1927" s="158"/>
      <c r="B1927" s="55"/>
      <c r="C1927" s="175"/>
      <c r="D1927" s="175"/>
      <c r="E1927" s="175"/>
      <c r="F1927" s="175"/>
      <c r="G1927" s="175"/>
      <c r="H1927" s="175"/>
      <c r="I1927" s="175"/>
      <c r="J1927" s="176"/>
      <c r="K1927" s="132"/>
      <c r="L1927" s="133"/>
    </row>
    <row r="1928" spans="1:12" x14ac:dyDescent="0.2">
      <c r="A1928" s="158"/>
      <c r="B1928" s="55"/>
      <c r="C1928" s="159"/>
      <c r="D1928" s="159"/>
      <c r="E1928" s="159"/>
      <c r="F1928" s="159"/>
      <c r="G1928" s="159"/>
      <c r="H1928" s="159"/>
      <c r="I1928" s="159"/>
      <c r="J1928" s="160"/>
      <c r="K1928" s="132"/>
      <c r="L1928" s="133"/>
    </row>
    <row r="1929" spans="1:12" x14ac:dyDescent="0.2">
      <c r="A1929" s="598"/>
      <c r="B1929" s="638"/>
      <c r="C1929" s="652"/>
      <c r="D1929" s="652"/>
      <c r="E1929" s="652"/>
      <c r="F1929" s="652"/>
      <c r="G1929" s="652"/>
      <c r="H1929" s="652"/>
      <c r="I1929" s="652"/>
      <c r="J1929" s="653"/>
      <c r="K1929" s="132"/>
      <c r="L1929" s="133"/>
    </row>
    <row r="1930" spans="1:12" x14ac:dyDescent="0.2">
      <c r="A1930" s="158"/>
      <c r="B1930" s="55"/>
      <c r="C1930" s="159"/>
      <c r="D1930" s="159"/>
      <c r="E1930" s="159"/>
      <c r="F1930" s="159"/>
      <c r="G1930" s="159"/>
      <c r="H1930" s="159"/>
      <c r="I1930" s="159"/>
      <c r="J1930" s="160"/>
      <c r="K1930" s="132"/>
      <c r="L1930" s="133"/>
    </row>
    <row r="1931" spans="1:12" x14ac:dyDescent="0.2">
      <c r="A1931" s="158"/>
      <c r="B1931" s="55"/>
      <c r="C1931" s="159"/>
      <c r="D1931" s="159"/>
      <c r="E1931" s="159"/>
      <c r="F1931" s="159"/>
      <c r="G1931" s="159"/>
      <c r="H1931" s="159"/>
      <c r="I1931" s="159"/>
      <c r="J1931" s="160"/>
      <c r="K1931" s="132"/>
      <c r="L1931" s="133"/>
    </row>
    <row r="1932" spans="1:12" x14ac:dyDescent="0.2">
      <c r="A1932" s="158"/>
      <c r="B1932" s="55"/>
      <c r="C1932" s="159"/>
      <c r="D1932" s="159"/>
      <c r="E1932" s="159"/>
      <c r="F1932" s="159"/>
      <c r="G1932" s="159"/>
      <c r="H1932" s="159"/>
      <c r="I1932" s="159"/>
      <c r="J1932" s="160"/>
      <c r="K1932" s="132"/>
      <c r="L1932" s="133"/>
    </row>
    <row r="1933" spans="1:12" x14ac:dyDescent="0.2">
      <c r="A1933" s="158"/>
      <c r="B1933" s="55"/>
      <c r="C1933" s="159"/>
      <c r="D1933" s="159"/>
      <c r="E1933" s="159"/>
      <c r="F1933" s="159"/>
      <c r="G1933" s="159"/>
      <c r="H1933" s="159"/>
      <c r="I1933" s="159"/>
      <c r="J1933" s="160"/>
      <c r="K1933" s="132"/>
      <c r="L1933" s="133"/>
    </row>
    <row r="1934" spans="1:12" ht="12.75" customHeight="1" x14ac:dyDescent="0.2">
      <c r="A1934" s="158"/>
      <c r="B1934" s="55"/>
      <c r="C1934" s="159"/>
      <c r="D1934" s="159"/>
      <c r="E1934" s="159"/>
      <c r="F1934" s="159"/>
      <c r="G1934" s="159"/>
      <c r="H1934" s="159"/>
      <c r="I1934" s="159"/>
      <c r="J1934" s="160"/>
      <c r="K1934" s="132"/>
      <c r="L1934" s="133"/>
    </row>
    <row r="1935" spans="1:12" x14ac:dyDescent="0.2">
      <c r="A1935" s="158"/>
      <c r="B1935" s="55"/>
      <c r="C1935" s="71"/>
      <c r="D1935" s="71"/>
      <c r="E1935" s="71"/>
      <c r="F1935" s="71"/>
      <c r="G1935" s="71"/>
      <c r="H1935" s="71"/>
      <c r="I1935" s="71"/>
      <c r="J1935" s="174"/>
      <c r="K1935" s="132"/>
      <c r="L1935" s="133"/>
    </row>
    <row r="1936" spans="1:12" x14ac:dyDescent="0.2">
      <c r="A1936" s="158"/>
      <c r="B1936" s="55"/>
      <c r="C1936" s="71"/>
      <c r="D1936" s="71"/>
      <c r="E1936" s="71"/>
      <c r="F1936" s="71"/>
      <c r="G1936" s="71"/>
      <c r="H1936" s="71"/>
      <c r="I1936" s="71"/>
      <c r="J1936" s="174"/>
      <c r="K1936" s="132"/>
      <c r="L1936" s="133"/>
    </row>
    <row r="1937" spans="1:14" x14ac:dyDescent="0.2">
      <c r="A1937" s="158"/>
      <c r="B1937" s="55"/>
      <c r="C1937" s="71"/>
      <c r="D1937" s="71"/>
      <c r="E1937" s="71"/>
      <c r="F1937" s="71"/>
      <c r="G1937" s="71"/>
      <c r="H1937" s="71"/>
      <c r="I1937" s="71"/>
      <c r="J1937" s="174"/>
      <c r="K1937" s="132"/>
      <c r="L1937" s="133"/>
    </row>
    <row r="1938" spans="1:14" x14ac:dyDescent="0.2">
      <c r="A1938" s="158"/>
      <c r="B1938" s="55"/>
      <c r="C1938" s="71"/>
      <c r="D1938" s="71"/>
      <c r="E1938" s="71"/>
      <c r="F1938" s="71"/>
      <c r="G1938" s="71"/>
      <c r="H1938" s="71"/>
      <c r="I1938" s="71"/>
      <c r="J1938" s="174"/>
      <c r="K1938" s="132"/>
      <c r="L1938" s="133"/>
    </row>
    <row r="1939" spans="1:14" x14ac:dyDescent="0.2">
      <c r="A1939" s="158"/>
      <c r="B1939" s="55"/>
      <c r="C1939" s="71"/>
      <c r="D1939" s="71"/>
      <c r="E1939" s="71"/>
      <c r="F1939" s="71"/>
      <c r="G1939" s="71"/>
      <c r="H1939" s="71"/>
      <c r="I1939" s="71"/>
      <c r="J1939" s="174"/>
      <c r="K1939" s="132"/>
      <c r="L1939" s="133"/>
    </row>
    <row r="1940" spans="1:14" x14ac:dyDescent="0.2">
      <c r="A1940" s="158"/>
      <c r="B1940" s="55"/>
      <c r="C1940" s="71"/>
      <c r="D1940" s="71"/>
      <c r="E1940" s="71"/>
      <c r="F1940" s="71"/>
      <c r="G1940" s="71"/>
      <c r="H1940" s="71"/>
      <c r="I1940" s="71"/>
      <c r="J1940" s="174"/>
      <c r="K1940" s="132"/>
      <c r="L1940" s="133"/>
    </row>
    <row r="1941" spans="1:14" x14ac:dyDescent="0.2">
      <c r="A1941" s="158"/>
      <c r="B1941" s="55"/>
      <c r="C1941" s="71"/>
      <c r="D1941" s="71"/>
      <c r="E1941" s="71"/>
      <c r="F1941" s="71"/>
      <c r="G1941" s="71"/>
      <c r="H1941" s="71"/>
      <c r="I1941" s="71"/>
      <c r="J1941" s="174"/>
      <c r="K1941" s="132"/>
      <c r="L1941" s="133"/>
    </row>
    <row r="1942" spans="1:14" ht="13.5" thickBot="1" x14ac:dyDescent="0.25">
      <c r="A1942" s="149"/>
      <c r="B1942" s="167"/>
      <c r="C1942" s="151"/>
      <c r="D1942" s="151"/>
      <c r="E1942" s="151"/>
      <c r="F1942" s="151"/>
      <c r="G1942" s="151"/>
      <c r="H1942" s="151"/>
      <c r="I1942" s="151"/>
      <c r="J1942" s="168"/>
      <c r="K1942" s="132"/>
      <c r="L1942" s="133"/>
    </row>
    <row r="1943" spans="1:14" ht="15.75" x14ac:dyDescent="0.2">
      <c r="A1943" s="602" t="s">
        <v>4</v>
      </c>
      <c r="B1943" s="603"/>
      <c r="C1943" s="603" t="str">
        <f>'A IV.A'!$B$43</f>
        <v>FECHAMENTOS, PROTEÇÕES E ALVENARIAS EM GERAL</v>
      </c>
      <c r="D1943" s="603"/>
      <c r="E1943" s="603"/>
      <c r="F1943" s="603"/>
      <c r="G1943" s="603"/>
      <c r="H1943" s="603"/>
      <c r="I1943" s="603"/>
      <c r="J1943" s="604"/>
      <c r="K1943" s="132"/>
      <c r="L1943" s="133"/>
    </row>
    <row r="1944" spans="1:14" x14ac:dyDescent="0.2">
      <c r="A1944" s="609" t="str">
        <f>'A IV.A'!$A$43</f>
        <v>3.0</v>
      </c>
      <c r="B1944" s="610"/>
      <c r="C1944" s="605"/>
      <c r="D1944" s="605"/>
      <c r="E1944" s="605"/>
      <c r="F1944" s="605"/>
      <c r="G1944" s="605"/>
      <c r="H1944" s="605"/>
      <c r="I1944" s="605"/>
      <c r="J1944" s="606"/>
      <c r="K1944" s="132"/>
      <c r="L1944" s="133"/>
    </row>
    <row r="1945" spans="1:14" ht="13.5" thickBot="1" x14ac:dyDescent="0.25">
      <c r="A1945" s="611"/>
      <c r="B1945" s="612"/>
      <c r="C1945" s="607"/>
      <c r="D1945" s="607"/>
      <c r="E1945" s="607"/>
      <c r="F1945" s="607"/>
      <c r="G1945" s="607"/>
      <c r="H1945" s="607"/>
      <c r="I1945" s="607"/>
      <c r="J1945" s="608"/>
      <c r="K1945" s="132"/>
      <c r="L1945" s="133"/>
    </row>
    <row r="1946" spans="1:14" ht="13.5" thickBot="1" x14ac:dyDescent="0.25">
      <c r="A1946" s="169"/>
      <c r="B1946" s="169"/>
      <c r="C1946" s="613"/>
      <c r="D1946" s="613"/>
      <c r="E1946" s="613"/>
      <c r="F1946" s="613"/>
      <c r="G1946" s="613"/>
      <c r="H1946" s="613"/>
      <c r="I1946" s="613"/>
      <c r="J1946" s="169"/>
      <c r="K1946" s="132"/>
      <c r="L1946" s="133"/>
    </row>
    <row r="1947" spans="1:14" ht="13.5" thickBot="1" x14ac:dyDescent="0.25">
      <c r="A1947" s="614" t="s">
        <v>60</v>
      </c>
      <c r="B1947" s="615"/>
      <c r="C1947" s="616" t="s">
        <v>61</v>
      </c>
      <c r="D1947" s="617"/>
      <c r="E1947" s="617"/>
      <c r="F1947" s="617"/>
      <c r="G1947" s="617"/>
      <c r="H1947" s="617"/>
      <c r="I1947" s="618"/>
      <c r="J1947" s="282" t="s">
        <v>0</v>
      </c>
      <c r="K1947" s="132"/>
      <c r="L1947" s="133"/>
    </row>
    <row r="1948" spans="1:14" x14ac:dyDescent="0.2">
      <c r="A1948" s="136"/>
      <c r="B1948" s="137"/>
      <c r="C1948" s="619"/>
      <c r="D1948" s="620"/>
      <c r="E1948" s="621"/>
      <c r="F1948" s="621"/>
      <c r="G1948" s="621"/>
      <c r="H1948" s="621"/>
      <c r="I1948" s="622"/>
      <c r="J1948" s="138"/>
      <c r="K1948" s="132"/>
      <c r="L1948" s="133"/>
    </row>
    <row r="1949" spans="1:14" x14ac:dyDescent="0.2">
      <c r="A1949" s="623" t="str">
        <f>'A IV.A'!$A$68</f>
        <v>3.3.7</v>
      </c>
      <c r="B1949" s="624"/>
      <c r="C1949" s="626" t="str">
        <f>'A IV.A'!$B$68</f>
        <v>ALVENARIA COM ELEMENTO VAZADO DE CONCRETO (COBOGÓ), ESPESSURA PAREDE 9CM</v>
      </c>
      <c r="D1949" s="627"/>
      <c r="E1949" s="627"/>
      <c r="F1949" s="627"/>
      <c r="G1949" s="627"/>
      <c r="H1949" s="627"/>
      <c r="I1949" s="628"/>
      <c r="J1949" s="629" t="str">
        <f>'A IV.A'!$C$68</f>
        <v>M2</v>
      </c>
      <c r="K1949" s="630" t="str">
        <f>VLOOKUP(A1949,'A IV.A'!$A$14:$M$233,2,FALSE)</f>
        <v>ALVENARIA COM ELEMENTO VAZADO DE CONCRETO (COBOGÓ), ESPESSURA PAREDE 9CM</v>
      </c>
      <c r="L1949" s="631" t="str">
        <f>IF(C1949=K1949,"sim","nao")</f>
        <v>sim</v>
      </c>
      <c r="M1949" s="631" t="str">
        <f>VLOOKUP(A1949,'A IV.A'!$A$14:$M$233,3,FALSE)</f>
        <v>M2</v>
      </c>
      <c r="N1949" s="631" t="str">
        <f>IF(J1949=M1949,"sim","nao")</f>
        <v>sim</v>
      </c>
    </row>
    <row r="1950" spans="1:14" x14ac:dyDescent="0.2">
      <c r="A1950" s="625"/>
      <c r="B1950" s="624"/>
      <c r="C1950" s="626"/>
      <c r="D1950" s="627"/>
      <c r="E1950" s="627"/>
      <c r="F1950" s="627"/>
      <c r="G1950" s="627"/>
      <c r="H1950" s="627"/>
      <c r="I1950" s="628"/>
      <c r="J1950" s="629"/>
      <c r="K1950" s="630"/>
      <c r="L1950" s="631"/>
      <c r="M1950" s="631"/>
      <c r="N1950" s="631"/>
    </row>
    <row r="1951" spans="1:14" x14ac:dyDescent="0.2">
      <c r="A1951" s="139"/>
      <c r="B1951" s="140"/>
      <c r="C1951" s="141"/>
      <c r="D1951" s="142"/>
      <c r="E1951" s="142"/>
      <c r="F1951" s="142"/>
      <c r="G1951" s="142"/>
      <c r="H1951" s="142"/>
      <c r="I1951" s="143"/>
      <c r="J1951" s="144"/>
      <c r="K1951" s="132"/>
      <c r="L1951" s="133"/>
    </row>
    <row r="1952" spans="1:14" x14ac:dyDescent="0.2">
      <c r="A1952" s="158"/>
      <c r="B1952" s="188"/>
      <c r="C1952" s="189"/>
      <c r="D1952" s="165"/>
      <c r="E1952" s="165"/>
      <c r="F1952" s="165"/>
      <c r="G1952" s="165"/>
      <c r="H1952" s="165"/>
      <c r="I1952" s="190"/>
      <c r="J1952" s="191"/>
      <c r="K1952" s="192"/>
      <c r="L1952" s="55"/>
      <c r="M1952" s="55"/>
      <c r="N1952" s="55"/>
    </row>
    <row r="1953" spans="1:14" x14ac:dyDescent="0.2">
      <c r="A1953" s="158"/>
      <c r="B1953" s="188"/>
      <c r="C1953" s="189"/>
      <c r="D1953" s="165"/>
      <c r="E1953" s="165"/>
      <c r="F1953" s="165"/>
      <c r="G1953" s="165"/>
      <c r="H1953" s="165"/>
      <c r="I1953" s="190"/>
      <c r="J1953" s="191"/>
      <c r="K1953" s="192"/>
      <c r="L1953" s="55"/>
      <c r="M1953" s="55"/>
      <c r="N1953" s="55"/>
    </row>
    <row r="1954" spans="1:14" x14ac:dyDescent="0.2">
      <c r="A1954" s="145"/>
      <c r="B1954" s="146"/>
      <c r="C1954" s="147"/>
      <c r="D1954" s="147"/>
      <c r="E1954" s="147"/>
      <c r="F1954" s="147"/>
      <c r="G1954" s="147"/>
      <c r="H1954" s="147"/>
      <c r="I1954" s="147"/>
      <c r="J1954" s="148"/>
      <c r="K1954" s="132"/>
      <c r="L1954" s="133"/>
    </row>
    <row r="1955" spans="1:14" x14ac:dyDescent="0.2">
      <c r="A1955" s="158"/>
      <c r="B1955" s="188"/>
      <c r="C1955" s="189"/>
      <c r="D1955" s="165"/>
      <c r="E1955" s="165"/>
      <c r="F1955" s="165"/>
      <c r="G1955" s="165"/>
      <c r="H1955" s="165"/>
      <c r="I1955" s="190"/>
      <c r="J1955" s="191"/>
      <c r="K1955" s="630"/>
      <c r="L1955" s="631"/>
      <c r="M1955" s="631"/>
      <c r="N1955" s="631"/>
    </row>
    <row r="1956" spans="1:14" x14ac:dyDescent="0.2">
      <c r="A1956" s="158"/>
      <c r="B1956" s="188"/>
      <c r="C1956" s="189"/>
      <c r="D1956" s="165"/>
      <c r="E1956" s="165"/>
      <c r="F1956" s="165"/>
      <c r="G1956" s="165"/>
      <c r="H1956" s="165"/>
      <c r="I1956" s="190"/>
      <c r="J1956" s="191"/>
      <c r="K1956" s="630"/>
      <c r="L1956" s="631"/>
      <c r="M1956" s="631"/>
      <c r="N1956" s="631"/>
    </row>
    <row r="1957" spans="1:14" x14ac:dyDescent="0.2">
      <c r="A1957" s="145"/>
      <c r="B1957" s="146"/>
      <c r="C1957" s="147"/>
      <c r="D1957" s="147"/>
      <c r="E1957" s="147"/>
      <c r="F1957" s="147"/>
      <c r="G1957" s="147"/>
      <c r="H1957" s="147"/>
      <c r="I1957" s="147"/>
      <c r="J1957" s="148"/>
      <c r="K1957" s="132"/>
      <c r="L1957" s="133"/>
    </row>
    <row r="1958" spans="1:14" x14ac:dyDescent="0.2">
      <c r="A1958" s="145"/>
      <c r="B1958" s="146"/>
      <c r="C1958" s="147"/>
      <c r="D1958" s="147"/>
      <c r="E1958" s="147"/>
      <c r="F1958" s="147"/>
      <c r="G1958" s="147"/>
      <c r="H1958" s="147"/>
      <c r="I1958" s="147"/>
      <c r="J1958" s="148"/>
      <c r="K1958" s="132"/>
      <c r="L1958" s="133"/>
    </row>
    <row r="1959" spans="1:14" x14ac:dyDescent="0.2">
      <c r="A1959" s="145"/>
      <c r="B1959" s="146"/>
      <c r="C1959" s="147"/>
      <c r="D1959" s="147"/>
      <c r="E1959" s="147"/>
      <c r="F1959" s="147"/>
      <c r="G1959" s="147"/>
      <c r="H1959" s="147"/>
      <c r="I1959" s="147"/>
      <c r="J1959" s="148"/>
      <c r="K1959" s="132"/>
      <c r="L1959" s="133"/>
    </row>
    <row r="1960" spans="1:14" x14ac:dyDescent="0.2">
      <c r="A1960" s="145"/>
      <c r="B1960" s="146"/>
      <c r="C1960" s="147"/>
      <c r="D1960" s="147"/>
      <c r="E1960" s="147"/>
      <c r="F1960" s="147"/>
      <c r="G1960" s="147"/>
      <c r="H1960" s="147"/>
      <c r="I1960" s="147"/>
      <c r="J1960" s="148"/>
      <c r="K1960" s="132"/>
      <c r="L1960" s="133"/>
    </row>
    <row r="1961" spans="1:14" x14ac:dyDescent="0.2">
      <c r="A1961" s="145"/>
      <c r="B1961" s="146"/>
      <c r="C1961" s="147"/>
      <c r="D1961" s="147"/>
      <c r="E1961" s="147"/>
      <c r="F1961" s="147"/>
      <c r="G1961" s="147"/>
      <c r="H1961" s="147"/>
      <c r="I1961" s="147"/>
      <c r="J1961" s="148"/>
      <c r="K1961" s="132"/>
      <c r="L1961" s="133"/>
    </row>
    <row r="1962" spans="1:14" x14ac:dyDescent="0.2">
      <c r="A1962" s="145"/>
      <c r="B1962" s="146"/>
      <c r="C1962" s="147"/>
      <c r="D1962" s="147"/>
      <c r="E1962" s="147"/>
      <c r="F1962" s="147"/>
      <c r="G1962" s="147"/>
      <c r="H1962" s="147"/>
      <c r="I1962" s="147"/>
      <c r="J1962" s="148"/>
      <c r="K1962" s="132"/>
      <c r="L1962" s="133"/>
    </row>
    <row r="1963" spans="1:14" x14ac:dyDescent="0.2">
      <c r="A1963" s="145"/>
      <c r="B1963" s="146"/>
      <c r="C1963" s="147"/>
      <c r="D1963" s="147"/>
      <c r="E1963" s="147"/>
      <c r="F1963" s="147"/>
      <c r="G1963" s="147"/>
      <c r="H1963" s="147"/>
      <c r="I1963" s="147"/>
      <c r="J1963" s="148"/>
      <c r="K1963" s="132"/>
      <c r="L1963" s="133"/>
    </row>
    <row r="1964" spans="1:14" x14ac:dyDescent="0.2">
      <c r="A1964" s="145"/>
      <c r="B1964" s="146"/>
      <c r="C1964" s="147"/>
      <c r="D1964" s="147"/>
      <c r="E1964" s="147"/>
      <c r="F1964" s="147"/>
      <c r="G1964" s="147"/>
      <c r="H1964" s="147"/>
      <c r="I1964" s="147"/>
      <c r="J1964" s="148"/>
      <c r="K1964" s="132"/>
      <c r="L1964" s="133"/>
    </row>
    <row r="1965" spans="1:14" x14ac:dyDescent="0.2">
      <c r="A1965" s="145"/>
      <c r="B1965" s="146"/>
      <c r="C1965" s="147"/>
      <c r="D1965" s="147"/>
      <c r="E1965" s="147"/>
      <c r="F1965" s="147"/>
      <c r="G1965" s="147"/>
      <c r="H1965" s="147"/>
      <c r="I1965" s="147"/>
      <c r="J1965" s="148"/>
      <c r="K1965" s="132"/>
      <c r="L1965" s="133"/>
    </row>
    <row r="1966" spans="1:14" x14ac:dyDescent="0.2">
      <c r="A1966" s="145"/>
      <c r="B1966" s="146"/>
      <c r="C1966" s="147"/>
      <c r="D1966" s="147"/>
      <c r="E1966" s="147"/>
      <c r="F1966" s="147"/>
      <c r="G1966" s="147"/>
      <c r="H1966" s="147"/>
      <c r="I1966" s="147"/>
      <c r="J1966" s="148"/>
      <c r="K1966" s="132"/>
      <c r="L1966" s="133"/>
    </row>
    <row r="1967" spans="1:14" x14ac:dyDescent="0.2">
      <c r="A1967" s="145"/>
      <c r="B1967" s="146"/>
      <c r="C1967" s="147"/>
      <c r="D1967" s="147"/>
      <c r="E1967" s="147"/>
      <c r="F1967" s="147"/>
      <c r="G1967" s="147"/>
      <c r="H1967" s="147"/>
      <c r="I1967" s="147"/>
      <c r="J1967" s="148"/>
      <c r="K1967" s="132"/>
      <c r="L1967" s="133"/>
    </row>
    <row r="1968" spans="1:14" x14ac:dyDescent="0.2">
      <c r="A1968" s="145"/>
      <c r="B1968" s="146"/>
      <c r="C1968" s="147"/>
      <c r="D1968" s="147"/>
      <c r="E1968" s="147"/>
      <c r="F1968" s="147"/>
      <c r="G1968" s="147"/>
      <c r="H1968" s="147"/>
      <c r="I1968" s="147"/>
      <c r="J1968" s="148"/>
      <c r="K1968" s="132"/>
      <c r="L1968" s="133"/>
    </row>
    <row r="1969" spans="1:12" x14ac:dyDescent="0.2">
      <c r="A1969" s="145"/>
      <c r="B1969" s="146"/>
      <c r="C1969" s="147"/>
      <c r="D1969" s="147"/>
      <c r="E1969" s="147"/>
      <c r="F1969" s="147"/>
      <c r="G1969" s="147"/>
      <c r="H1969" s="147"/>
      <c r="I1969" s="147"/>
      <c r="J1969" s="148"/>
      <c r="K1969" s="132"/>
      <c r="L1969" s="133"/>
    </row>
    <row r="1970" spans="1:12" ht="13.5" thickBot="1" x14ac:dyDescent="0.25">
      <c r="A1970" s="149"/>
      <c r="B1970" s="150"/>
      <c r="C1970" s="151"/>
      <c r="D1970" s="151"/>
      <c r="E1970" s="151"/>
      <c r="F1970" s="151"/>
      <c r="G1970" s="151"/>
      <c r="H1970" s="151"/>
      <c r="I1970" s="151"/>
      <c r="J1970" s="152"/>
      <c r="K1970" s="132"/>
      <c r="L1970" s="133"/>
    </row>
    <row r="1971" spans="1:12" ht="13.5" thickBot="1" x14ac:dyDescent="0.25">
      <c r="A1971" s="153"/>
      <c r="B1971" s="153"/>
      <c r="C1971" s="154"/>
      <c r="D1971" s="154"/>
      <c r="E1971" s="154"/>
      <c r="F1971" s="154"/>
      <c r="G1971" s="154"/>
      <c r="H1971" s="154"/>
      <c r="I1971" s="154"/>
      <c r="J1971" s="153"/>
      <c r="K1971" s="132"/>
      <c r="L1971" s="133"/>
    </row>
    <row r="1972" spans="1:12" ht="13.5" thickBot="1" x14ac:dyDescent="0.25">
      <c r="A1972" s="614" t="s">
        <v>62</v>
      </c>
      <c r="B1972" s="648"/>
      <c r="C1972" s="648"/>
      <c r="D1972" s="648"/>
      <c r="E1972" s="648"/>
      <c r="F1972" s="648"/>
      <c r="G1972" s="648"/>
      <c r="H1972" s="648"/>
      <c r="I1972" s="648"/>
      <c r="J1972" s="649"/>
      <c r="K1972" s="132"/>
      <c r="L1972" s="133"/>
    </row>
    <row r="1973" spans="1:12" x14ac:dyDescent="0.2">
      <c r="A1973" s="136"/>
      <c r="B1973" s="155"/>
      <c r="C1973" s="156"/>
      <c r="D1973" s="156"/>
      <c r="E1973" s="156"/>
      <c r="F1973" s="156"/>
      <c r="G1973" s="156"/>
      <c r="H1973" s="156"/>
      <c r="I1973" s="156"/>
      <c r="J1973" s="157"/>
      <c r="K1973" s="132"/>
      <c r="L1973" s="133"/>
    </row>
    <row r="1974" spans="1:12" ht="12.75" customHeight="1" x14ac:dyDescent="0.2">
      <c r="A1974" s="158" t="s">
        <v>63</v>
      </c>
      <c r="B1974" s="55"/>
      <c r="C1974" s="652" t="s">
        <v>541</v>
      </c>
      <c r="D1974" s="652"/>
      <c r="E1974" s="652"/>
      <c r="F1974" s="652"/>
      <c r="G1974" s="652"/>
      <c r="H1974" s="652"/>
      <c r="I1974" s="652"/>
      <c r="J1974" s="653"/>
      <c r="K1974" s="132"/>
      <c r="L1974" s="133"/>
    </row>
    <row r="1975" spans="1:12" x14ac:dyDescent="0.2">
      <c r="A1975" s="158"/>
      <c r="B1975" s="55"/>
      <c r="C1975" s="652"/>
      <c r="D1975" s="652"/>
      <c r="E1975" s="652"/>
      <c r="F1975" s="652"/>
      <c r="G1975" s="652"/>
      <c r="H1975" s="652"/>
      <c r="I1975" s="652"/>
      <c r="J1975" s="653"/>
      <c r="K1975" s="132"/>
      <c r="L1975" s="133"/>
    </row>
    <row r="1976" spans="1:12" x14ac:dyDescent="0.2">
      <c r="A1976" s="158"/>
      <c r="B1976" s="55"/>
      <c r="C1976" s="652"/>
      <c r="D1976" s="652"/>
      <c r="E1976" s="652"/>
      <c r="F1976" s="652"/>
      <c r="G1976" s="652"/>
      <c r="H1976" s="652"/>
      <c r="I1976" s="652"/>
      <c r="J1976" s="653"/>
      <c r="K1976" s="132"/>
      <c r="L1976" s="133"/>
    </row>
    <row r="1977" spans="1:12" x14ac:dyDescent="0.2">
      <c r="A1977" s="158"/>
      <c r="B1977" s="55"/>
      <c r="C1977" s="159"/>
      <c r="D1977" s="159"/>
      <c r="E1977" s="159"/>
      <c r="F1977" s="159"/>
      <c r="G1977" s="159"/>
      <c r="H1977" s="159"/>
      <c r="I1977" s="159"/>
      <c r="J1977" s="160"/>
      <c r="K1977" s="132"/>
      <c r="L1977" s="133"/>
    </row>
    <row r="1978" spans="1:12" x14ac:dyDescent="0.2">
      <c r="A1978" s="598" t="s">
        <v>64</v>
      </c>
      <c r="B1978" s="638"/>
      <c r="C1978" s="652" t="s">
        <v>538</v>
      </c>
      <c r="D1978" s="652"/>
      <c r="E1978" s="652"/>
      <c r="F1978" s="652"/>
      <c r="G1978" s="652"/>
      <c r="H1978" s="652"/>
      <c r="I1978" s="652"/>
      <c r="J1978" s="653"/>
      <c r="K1978" s="132"/>
      <c r="L1978" s="133"/>
    </row>
    <row r="1979" spans="1:12" x14ac:dyDescent="0.2">
      <c r="A1979" s="158"/>
      <c r="B1979" s="55"/>
      <c r="C1979" s="175"/>
      <c r="D1979" s="175"/>
      <c r="E1979" s="175"/>
      <c r="F1979" s="175"/>
      <c r="G1979" s="175"/>
      <c r="H1979" s="175"/>
      <c r="I1979" s="175"/>
      <c r="J1979" s="176"/>
      <c r="K1979" s="132"/>
      <c r="L1979" s="133"/>
    </row>
    <row r="1980" spans="1:12" x14ac:dyDescent="0.2">
      <c r="A1980" s="158"/>
      <c r="B1980" s="55"/>
      <c r="C1980" s="175"/>
      <c r="D1980" s="175"/>
      <c r="E1980" s="175"/>
      <c r="F1980" s="175"/>
      <c r="G1980" s="175"/>
      <c r="H1980" s="175"/>
      <c r="I1980" s="175"/>
      <c r="J1980" s="176"/>
      <c r="K1980" s="132"/>
      <c r="L1980" s="133"/>
    </row>
    <row r="1981" spans="1:12" x14ac:dyDescent="0.2">
      <c r="A1981" s="158"/>
      <c r="B1981" s="55"/>
      <c r="C1981" s="159"/>
      <c r="D1981" s="159"/>
      <c r="E1981" s="159"/>
      <c r="F1981" s="159"/>
      <c r="G1981" s="159"/>
      <c r="H1981" s="159"/>
      <c r="I1981" s="159"/>
      <c r="J1981" s="160"/>
      <c r="K1981" s="132"/>
      <c r="L1981" s="133"/>
    </row>
    <row r="1982" spans="1:12" x14ac:dyDescent="0.2">
      <c r="J1982" s="315"/>
      <c r="K1982" s="132"/>
      <c r="L1982" s="133"/>
    </row>
    <row r="1983" spans="1:12" x14ac:dyDescent="0.2">
      <c r="A1983" s="158"/>
      <c r="B1983" s="55"/>
      <c r="C1983" s="71"/>
      <c r="D1983" s="71"/>
      <c r="E1983" s="71"/>
      <c r="F1983" s="71"/>
      <c r="G1983" s="71"/>
      <c r="H1983" s="71"/>
      <c r="I1983" s="71"/>
      <c r="J1983" s="174"/>
      <c r="K1983" s="132"/>
      <c r="L1983" s="133"/>
    </row>
    <row r="1984" spans="1:12" x14ac:dyDescent="0.2">
      <c r="A1984" s="158"/>
      <c r="B1984" s="55"/>
      <c r="C1984" s="71"/>
      <c r="D1984" s="71"/>
      <c r="E1984" s="71"/>
      <c r="F1984" s="71"/>
      <c r="G1984" s="71"/>
      <c r="H1984" s="71"/>
      <c r="I1984" s="71"/>
      <c r="J1984" s="174"/>
      <c r="K1984" s="132"/>
      <c r="L1984" s="133"/>
    </row>
    <row r="1985" spans="1:12" x14ac:dyDescent="0.2">
      <c r="A1985" s="158"/>
      <c r="B1985" s="55"/>
      <c r="C1985" s="71"/>
      <c r="D1985" s="71"/>
      <c r="E1985" s="71"/>
      <c r="F1985" s="71"/>
      <c r="G1985" s="71"/>
      <c r="H1985" s="71"/>
      <c r="I1985" s="71"/>
      <c r="J1985" s="174"/>
      <c r="K1985" s="132"/>
      <c r="L1985" s="133"/>
    </row>
    <row r="1986" spans="1:12" x14ac:dyDescent="0.2">
      <c r="A1986" s="158"/>
      <c r="B1986" s="55"/>
      <c r="C1986" s="71"/>
      <c r="D1986" s="71"/>
      <c r="E1986" s="71"/>
      <c r="F1986" s="71"/>
      <c r="G1986" s="71"/>
      <c r="H1986" s="71"/>
      <c r="I1986" s="71"/>
      <c r="J1986" s="174"/>
      <c r="K1986" s="132"/>
      <c r="L1986" s="133"/>
    </row>
    <row r="1987" spans="1:12" x14ac:dyDescent="0.2">
      <c r="A1987" s="158"/>
      <c r="B1987" s="55"/>
      <c r="C1987" s="71"/>
      <c r="D1987" s="71"/>
      <c r="E1987" s="71"/>
      <c r="F1987" s="71"/>
      <c r="G1987" s="71"/>
      <c r="H1987" s="71"/>
      <c r="I1987" s="71"/>
      <c r="J1987" s="174"/>
      <c r="K1987" s="132"/>
      <c r="L1987" s="133"/>
    </row>
    <row r="1988" spans="1:12" x14ac:dyDescent="0.2">
      <c r="A1988" s="158"/>
      <c r="B1988" s="55"/>
      <c r="C1988" s="71"/>
      <c r="D1988" s="71"/>
      <c r="E1988" s="71"/>
      <c r="F1988" s="71"/>
      <c r="G1988" s="71"/>
      <c r="H1988" s="71"/>
      <c r="I1988" s="71"/>
      <c r="J1988" s="174"/>
      <c r="K1988" s="132"/>
      <c r="L1988" s="133"/>
    </row>
    <row r="1989" spans="1:12" x14ac:dyDescent="0.2">
      <c r="A1989" s="158"/>
      <c r="B1989" s="55"/>
      <c r="C1989" s="71"/>
      <c r="D1989" s="71"/>
      <c r="E1989" s="71"/>
      <c r="F1989" s="71"/>
      <c r="G1989" s="71"/>
      <c r="H1989" s="71"/>
      <c r="I1989" s="71"/>
      <c r="J1989" s="174"/>
      <c r="K1989" s="132"/>
      <c r="L1989" s="133"/>
    </row>
    <row r="1990" spans="1:12" x14ac:dyDescent="0.2">
      <c r="A1990" s="158"/>
      <c r="B1990" s="55"/>
      <c r="C1990" s="71"/>
      <c r="D1990" s="71"/>
      <c r="E1990" s="71"/>
      <c r="F1990" s="71"/>
      <c r="G1990" s="71"/>
      <c r="H1990" s="71"/>
      <c r="I1990" s="71"/>
      <c r="J1990" s="174"/>
      <c r="K1990" s="132"/>
      <c r="L1990" s="133"/>
    </row>
    <row r="1991" spans="1:12" x14ac:dyDescent="0.2">
      <c r="A1991" s="158"/>
      <c r="B1991" s="55"/>
      <c r="C1991" s="71"/>
      <c r="D1991" s="71"/>
      <c r="E1991" s="71"/>
      <c r="F1991" s="71"/>
      <c r="G1991" s="71"/>
      <c r="H1991" s="71"/>
      <c r="I1991" s="71"/>
      <c r="J1991" s="174"/>
      <c r="K1991" s="132"/>
      <c r="L1991" s="133"/>
    </row>
    <row r="1992" spans="1:12" x14ac:dyDescent="0.2">
      <c r="A1992" s="158"/>
      <c r="B1992" s="55"/>
      <c r="C1992" s="71"/>
      <c r="D1992" s="71"/>
      <c r="E1992" s="71"/>
      <c r="F1992" s="71"/>
      <c r="G1992" s="71"/>
      <c r="H1992" s="71"/>
      <c r="I1992" s="71"/>
      <c r="J1992" s="174"/>
      <c r="K1992" s="132"/>
      <c r="L1992" s="133"/>
    </row>
    <row r="1993" spans="1:12" x14ac:dyDescent="0.2">
      <c r="A1993" s="158"/>
      <c r="B1993" s="55"/>
      <c r="C1993" s="175"/>
      <c r="D1993" s="175"/>
      <c r="E1993" s="172"/>
      <c r="F1993" s="172"/>
      <c r="G1993" s="172"/>
      <c r="H1993" s="172"/>
      <c r="I1993" s="172"/>
      <c r="J1993" s="173"/>
      <c r="K1993" s="132"/>
      <c r="L1993" s="133"/>
    </row>
    <row r="1994" spans="1:12" x14ac:dyDescent="0.2">
      <c r="A1994" s="158"/>
      <c r="B1994" s="55"/>
      <c r="C1994" s="175"/>
      <c r="D1994" s="175"/>
      <c r="E1994" s="172"/>
      <c r="F1994" s="172"/>
      <c r="G1994" s="172"/>
      <c r="H1994" s="172"/>
      <c r="I1994" s="172"/>
      <c r="J1994" s="173"/>
      <c r="K1994" s="132"/>
      <c r="L1994" s="133"/>
    </row>
    <row r="1995" spans="1:12" x14ac:dyDescent="0.2">
      <c r="A1995" s="158"/>
      <c r="B1995" s="55"/>
      <c r="C1995" s="175"/>
      <c r="D1995" s="175"/>
      <c r="E1995" s="172"/>
      <c r="F1995" s="172"/>
      <c r="G1995" s="172"/>
      <c r="H1995" s="172"/>
      <c r="I1995" s="172"/>
      <c r="J1995" s="173"/>
      <c r="K1995" s="132"/>
      <c r="L1995" s="133"/>
    </row>
    <row r="1996" spans="1:12" ht="13.5" thickBot="1" x14ac:dyDescent="0.25">
      <c r="A1996" s="149"/>
      <c r="B1996" s="167"/>
      <c r="C1996" s="151"/>
      <c r="D1996" s="151"/>
      <c r="E1996" s="151"/>
      <c r="F1996" s="151"/>
      <c r="G1996" s="151"/>
      <c r="H1996" s="151"/>
      <c r="I1996" s="151"/>
      <c r="J1996" s="168"/>
      <c r="K1996" s="132"/>
      <c r="L1996" s="133"/>
    </row>
    <row r="1997" spans="1:12" ht="15.75" x14ac:dyDescent="0.2">
      <c r="A1997" s="602" t="s">
        <v>4</v>
      </c>
      <c r="B1997" s="603"/>
      <c r="C1997" s="603" t="str">
        <f>'A IV.A'!$B$43</f>
        <v>FECHAMENTOS, PROTEÇÕES E ALVENARIAS EM GERAL</v>
      </c>
      <c r="D1997" s="603"/>
      <c r="E1997" s="603"/>
      <c r="F1997" s="603"/>
      <c r="G1997" s="603"/>
      <c r="H1997" s="603"/>
      <c r="I1997" s="603"/>
      <c r="J1997" s="604"/>
      <c r="K1997" s="132"/>
      <c r="L1997" s="133"/>
    </row>
    <row r="1998" spans="1:12" x14ac:dyDescent="0.2">
      <c r="A1998" s="609" t="str">
        <f>'A IV.A'!$A$43</f>
        <v>3.0</v>
      </c>
      <c r="B1998" s="610"/>
      <c r="C1998" s="605"/>
      <c r="D1998" s="605"/>
      <c r="E1998" s="605"/>
      <c r="F1998" s="605"/>
      <c r="G1998" s="605"/>
      <c r="H1998" s="605"/>
      <c r="I1998" s="605"/>
      <c r="J1998" s="606"/>
      <c r="K1998" s="132"/>
      <c r="L1998" s="133"/>
    </row>
    <row r="1999" spans="1:12" ht="13.5" thickBot="1" x14ac:dyDescent="0.25">
      <c r="A1999" s="611"/>
      <c r="B1999" s="612"/>
      <c r="C1999" s="607"/>
      <c r="D1999" s="607"/>
      <c r="E1999" s="607"/>
      <c r="F1999" s="607"/>
      <c r="G1999" s="607"/>
      <c r="H1999" s="607"/>
      <c r="I1999" s="607"/>
      <c r="J1999" s="608"/>
      <c r="K1999" s="132"/>
      <c r="L1999" s="133"/>
    </row>
    <row r="2000" spans="1:12" ht="13.5" thickBot="1" x14ac:dyDescent="0.25">
      <c r="A2000" s="169"/>
      <c r="B2000" s="169"/>
      <c r="C2000" s="613"/>
      <c r="D2000" s="613"/>
      <c r="E2000" s="613"/>
      <c r="F2000" s="613"/>
      <c r="G2000" s="613"/>
      <c r="H2000" s="613"/>
      <c r="I2000" s="613"/>
      <c r="J2000" s="169"/>
      <c r="K2000" s="132"/>
      <c r="L2000" s="133"/>
    </row>
    <row r="2001" spans="1:14" ht="13.5" thickBot="1" x14ac:dyDescent="0.25">
      <c r="A2001" s="614" t="s">
        <v>60</v>
      </c>
      <c r="B2001" s="615"/>
      <c r="C2001" s="616" t="s">
        <v>61</v>
      </c>
      <c r="D2001" s="617"/>
      <c r="E2001" s="617"/>
      <c r="F2001" s="617"/>
      <c r="G2001" s="617"/>
      <c r="H2001" s="617"/>
      <c r="I2001" s="618"/>
      <c r="J2001" s="282" t="s">
        <v>0</v>
      </c>
      <c r="K2001" s="132"/>
      <c r="L2001" s="133"/>
    </row>
    <row r="2002" spans="1:14" x14ac:dyDescent="0.2">
      <c r="A2002" s="136"/>
      <c r="B2002" s="137"/>
      <c r="C2002" s="619"/>
      <c r="D2002" s="620"/>
      <c r="E2002" s="621"/>
      <c r="F2002" s="621"/>
      <c r="G2002" s="621"/>
      <c r="H2002" s="621"/>
      <c r="I2002" s="622"/>
      <c r="J2002" s="138"/>
      <c r="K2002" s="132"/>
      <c r="L2002" s="133"/>
    </row>
    <row r="2003" spans="1:14" x14ac:dyDescent="0.2">
      <c r="A2003" s="623" t="str">
        <f>'A IV.A'!A69</f>
        <v>3.3.8</v>
      </c>
      <c r="B2003" s="624"/>
      <c r="C2003" s="626" t="str">
        <f>'A IV.A'!B69</f>
        <v>CONSTRUÇÃO DE MURO EM ALVENARIA EM BLOCO DE CONCRETO 14 X 19 X 39 CM COM 2,60M DE ALTURA, INCLUSIVE FUNDAÇÕES E GROUT - CONFORME MANUAL DO EMPREENDEDOR 2026</v>
      </c>
      <c r="D2003" s="627"/>
      <c r="E2003" s="627"/>
      <c r="F2003" s="627"/>
      <c r="G2003" s="627"/>
      <c r="H2003" s="627"/>
      <c r="I2003" s="628"/>
      <c r="J2003" s="629" t="str">
        <f>'A IV.A'!C69</f>
        <v>M</v>
      </c>
      <c r="K2003" s="630" t="str">
        <f>VLOOKUP(A2003,'A IV.A'!$A$14:$M$233,2,FALSE)</f>
        <v>CONSTRUÇÃO DE MURO EM ALVENARIA EM BLOCO DE CONCRETO 14 X 19 X 39 CM COM 2,60M DE ALTURA, INCLUSIVE FUNDAÇÕES E GROUT - CONFORME MANUAL DO EMPREENDEDOR 2026</v>
      </c>
      <c r="L2003" s="631" t="str">
        <f>IF(C2003=K2003,"sim","nao")</f>
        <v>sim</v>
      </c>
      <c r="M2003" s="631" t="str">
        <f>VLOOKUP(A2003,'A IV.A'!$A$14:$M$233,3,FALSE)</f>
        <v>M</v>
      </c>
      <c r="N2003" s="631" t="str">
        <f>IF(J2003=M2003,"sim","nao")</f>
        <v>sim</v>
      </c>
    </row>
    <row r="2004" spans="1:14" x14ac:dyDescent="0.2">
      <c r="A2004" s="625"/>
      <c r="B2004" s="624"/>
      <c r="C2004" s="626"/>
      <c r="D2004" s="627"/>
      <c r="E2004" s="627"/>
      <c r="F2004" s="627"/>
      <c r="G2004" s="627"/>
      <c r="H2004" s="627"/>
      <c r="I2004" s="628"/>
      <c r="J2004" s="629"/>
      <c r="K2004" s="630"/>
      <c r="L2004" s="631"/>
      <c r="M2004" s="631"/>
      <c r="N2004" s="631"/>
    </row>
    <row r="2005" spans="1:14" x14ac:dyDescent="0.2">
      <c r="A2005" s="139"/>
      <c r="B2005" s="140"/>
      <c r="C2005" s="141"/>
      <c r="D2005" s="142"/>
      <c r="E2005" s="142"/>
      <c r="F2005" s="142"/>
      <c r="G2005" s="142"/>
      <c r="H2005" s="142"/>
      <c r="I2005" s="143"/>
      <c r="J2005" s="144"/>
      <c r="K2005" s="132"/>
      <c r="L2005" s="133"/>
    </row>
    <row r="2006" spans="1:14" x14ac:dyDescent="0.2">
      <c r="A2006" s="623"/>
      <c r="B2006" s="624"/>
      <c r="C2006" s="626"/>
      <c r="D2006" s="627"/>
      <c r="E2006" s="627"/>
      <c r="F2006" s="627"/>
      <c r="G2006" s="627"/>
      <c r="H2006" s="627"/>
      <c r="I2006" s="628"/>
      <c r="J2006" s="629"/>
      <c r="K2006" s="630"/>
      <c r="L2006" s="631"/>
      <c r="M2006" s="631"/>
      <c r="N2006" s="631"/>
    </row>
    <row r="2007" spans="1:14" x14ac:dyDescent="0.2">
      <c r="A2007" s="625"/>
      <c r="B2007" s="624"/>
      <c r="C2007" s="626"/>
      <c r="D2007" s="627"/>
      <c r="E2007" s="627"/>
      <c r="F2007" s="627"/>
      <c r="G2007" s="627"/>
      <c r="H2007" s="627"/>
      <c r="I2007" s="628"/>
      <c r="J2007" s="629"/>
      <c r="K2007" s="630"/>
      <c r="L2007" s="631"/>
      <c r="M2007" s="631"/>
      <c r="N2007" s="631"/>
    </row>
    <row r="2008" spans="1:14" x14ac:dyDescent="0.2">
      <c r="A2008" s="145"/>
      <c r="B2008" s="146"/>
      <c r="C2008" s="147"/>
      <c r="D2008" s="147"/>
      <c r="E2008" s="147"/>
      <c r="F2008" s="147"/>
      <c r="G2008" s="147"/>
      <c r="H2008" s="147"/>
      <c r="I2008" s="147"/>
      <c r="J2008" s="148"/>
      <c r="K2008" s="132"/>
      <c r="L2008" s="133"/>
    </row>
    <row r="2009" spans="1:14" x14ac:dyDescent="0.2">
      <c r="A2009" s="158"/>
      <c r="B2009" s="188"/>
      <c r="C2009" s="189"/>
      <c r="D2009" s="165"/>
      <c r="E2009" s="165"/>
      <c r="F2009" s="165"/>
      <c r="G2009" s="165"/>
      <c r="H2009" s="165"/>
      <c r="I2009" s="190"/>
      <c r="J2009" s="191"/>
      <c r="K2009" s="630"/>
      <c r="L2009" s="631"/>
      <c r="M2009" s="631"/>
      <c r="N2009" s="631"/>
    </row>
    <row r="2010" spans="1:14" x14ac:dyDescent="0.2">
      <c r="A2010" s="158"/>
      <c r="B2010" s="188"/>
      <c r="C2010" s="189"/>
      <c r="D2010" s="165"/>
      <c r="E2010" s="165"/>
      <c r="F2010" s="165"/>
      <c r="G2010" s="165"/>
      <c r="H2010" s="165"/>
      <c r="I2010" s="190"/>
      <c r="J2010" s="191"/>
      <c r="K2010" s="630"/>
      <c r="L2010" s="631"/>
      <c r="M2010" s="631"/>
      <c r="N2010" s="631"/>
    </row>
    <row r="2011" spans="1:14" x14ac:dyDescent="0.2">
      <c r="A2011" s="145"/>
      <c r="B2011" s="146"/>
      <c r="C2011" s="147"/>
      <c r="D2011" s="147"/>
      <c r="E2011" s="147"/>
      <c r="F2011" s="147"/>
      <c r="G2011" s="147"/>
      <c r="H2011" s="147"/>
      <c r="I2011" s="147"/>
      <c r="J2011" s="148"/>
      <c r="K2011" s="132"/>
      <c r="L2011" s="133"/>
    </row>
    <row r="2012" spans="1:14" x14ac:dyDescent="0.2">
      <c r="A2012" s="145"/>
      <c r="B2012" s="146"/>
      <c r="C2012" s="147"/>
      <c r="D2012" s="147"/>
      <c r="E2012" s="147"/>
      <c r="F2012" s="147"/>
      <c r="G2012" s="147"/>
      <c r="H2012" s="147"/>
      <c r="I2012" s="147"/>
      <c r="J2012" s="148"/>
      <c r="K2012" s="132"/>
      <c r="L2012" s="133"/>
    </row>
    <row r="2013" spans="1:14" x14ac:dyDescent="0.2">
      <c r="A2013" s="145"/>
      <c r="B2013" s="146"/>
      <c r="C2013" s="147"/>
      <c r="D2013" s="147"/>
      <c r="E2013" s="147"/>
      <c r="F2013" s="147"/>
      <c r="G2013" s="147"/>
      <c r="H2013" s="147"/>
      <c r="I2013" s="147"/>
      <c r="J2013" s="148"/>
      <c r="K2013" s="132"/>
      <c r="L2013" s="133"/>
    </row>
    <row r="2014" spans="1:14" x14ac:dyDescent="0.2">
      <c r="A2014" s="145"/>
      <c r="B2014" s="146"/>
      <c r="C2014" s="147"/>
      <c r="D2014" s="147"/>
      <c r="E2014" s="147"/>
      <c r="F2014" s="147"/>
      <c r="G2014" s="147"/>
      <c r="H2014" s="147"/>
      <c r="I2014" s="147"/>
      <c r="J2014" s="148"/>
      <c r="K2014" s="132"/>
      <c r="L2014" s="133"/>
    </row>
    <row r="2015" spans="1:14" x14ac:dyDescent="0.2">
      <c r="A2015" s="145"/>
      <c r="B2015" s="146"/>
      <c r="C2015" s="147"/>
      <c r="D2015" s="147"/>
      <c r="E2015" s="147"/>
      <c r="F2015" s="147"/>
      <c r="G2015" s="147"/>
      <c r="H2015" s="147"/>
      <c r="I2015" s="147"/>
      <c r="J2015" s="148"/>
      <c r="K2015" s="132"/>
      <c r="L2015" s="133"/>
    </row>
    <row r="2016" spans="1:14" x14ac:dyDescent="0.2">
      <c r="A2016" s="145"/>
      <c r="B2016" s="146"/>
      <c r="C2016" s="147"/>
      <c r="D2016" s="147"/>
      <c r="E2016" s="147"/>
      <c r="F2016" s="147"/>
      <c r="G2016" s="147"/>
      <c r="H2016" s="147"/>
      <c r="I2016" s="147"/>
      <c r="J2016" s="148"/>
      <c r="K2016" s="132"/>
      <c r="L2016" s="133"/>
    </row>
    <row r="2017" spans="1:12" x14ac:dyDescent="0.2">
      <c r="A2017" s="145"/>
      <c r="B2017" s="146"/>
      <c r="C2017" s="147"/>
      <c r="D2017" s="147"/>
      <c r="E2017" s="147"/>
      <c r="F2017" s="147"/>
      <c r="G2017" s="147"/>
      <c r="H2017" s="147"/>
      <c r="I2017" s="147"/>
      <c r="J2017" s="148"/>
      <c r="K2017" s="132"/>
      <c r="L2017" s="133"/>
    </row>
    <row r="2018" spans="1:12" x14ac:dyDescent="0.2">
      <c r="A2018" s="145"/>
      <c r="B2018" s="146"/>
      <c r="C2018" s="147"/>
      <c r="D2018" s="147"/>
      <c r="E2018" s="147"/>
      <c r="F2018" s="147"/>
      <c r="G2018" s="147"/>
      <c r="H2018" s="147"/>
      <c r="I2018" s="147"/>
      <c r="J2018" s="148"/>
      <c r="K2018" s="132"/>
      <c r="L2018" s="133"/>
    </row>
    <row r="2019" spans="1:12" x14ac:dyDescent="0.2">
      <c r="A2019" s="145"/>
      <c r="B2019" s="146"/>
      <c r="C2019" s="147"/>
      <c r="D2019" s="147"/>
      <c r="E2019" s="147"/>
      <c r="F2019" s="147"/>
      <c r="G2019" s="147"/>
      <c r="H2019" s="147"/>
      <c r="I2019" s="147"/>
      <c r="J2019" s="148"/>
      <c r="K2019" s="132"/>
      <c r="L2019" s="133"/>
    </row>
    <row r="2020" spans="1:12" x14ac:dyDescent="0.2">
      <c r="A2020" s="145"/>
      <c r="B2020" s="146"/>
      <c r="C2020" s="147"/>
      <c r="D2020" s="147"/>
      <c r="E2020" s="147"/>
      <c r="F2020" s="147"/>
      <c r="G2020" s="147"/>
      <c r="H2020" s="147"/>
      <c r="I2020" s="147"/>
      <c r="J2020" s="148"/>
      <c r="K2020" s="132"/>
      <c r="L2020" s="133"/>
    </row>
    <row r="2021" spans="1:12" x14ac:dyDescent="0.2">
      <c r="A2021" s="145"/>
      <c r="B2021" s="146"/>
      <c r="C2021" s="147"/>
      <c r="D2021" s="147"/>
      <c r="E2021" s="147"/>
      <c r="F2021" s="147"/>
      <c r="G2021" s="147"/>
      <c r="H2021" s="147"/>
      <c r="I2021" s="147"/>
      <c r="J2021" s="148"/>
      <c r="K2021" s="132"/>
      <c r="L2021" s="133"/>
    </row>
    <row r="2022" spans="1:12" x14ac:dyDescent="0.2">
      <c r="A2022" s="145"/>
      <c r="B2022" s="146"/>
      <c r="C2022" s="147"/>
      <c r="D2022" s="147"/>
      <c r="E2022" s="147"/>
      <c r="F2022" s="147"/>
      <c r="G2022" s="147"/>
      <c r="H2022" s="147"/>
      <c r="I2022" s="147"/>
      <c r="J2022" s="148"/>
      <c r="K2022" s="132"/>
      <c r="L2022" s="133"/>
    </row>
    <row r="2023" spans="1:12" x14ac:dyDescent="0.2">
      <c r="A2023" s="145"/>
      <c r="B2023" s="146"/>
      <c r="C2023" s="147"/>
      <c r="D2023" s="147"/>
      <c r="E2023" s="147"/>
      <c r="F2023" s="147"/>
      <c r="G2023" s="147"/>
      <c r="H2023" s="147"/>
      <c r="I2023" s="147"/>
      <c r="J2023" s="148"/>
      <c r="K2023" s="132"/>
      <c r="L2023" s="133"/>
    </row>
    <row r="2024" spans="1:12" ht="13.5" thickBot="1" x14ac:dyDescent="0.25">
      <c r="A2024" s="149"/>
      <c r="B2024" s="150"/>
      <c r="C2024" s="151"/>
      <c r="D2024" s="151"/>
      <c r="E2024" s="151"/>
      <c r="F2024" s="151"/>
      <c r="G2024" s="151"/>
      <c r="H2024" s="151"/>
      <c r="I2024" s="151"/>
      <c r="J2024" s="152"/>
      <c r="K2024" s="132"/>
      <c r="L2024" s="133"/>
    </row>
    <row r="2025" spans="1:12" ht="13.5" thickBot="1" x14ac:dyDescent="0.25">
      <c r="A2025" s="153"/>
      <c r="B2025" s="153"/>
      <c r="C2025" s="154"/>
      <c r="D2025" s="154"/>
      <c r="E2025" s="154"/>
      <c r="F2025" s="154"/>
      <c r="G2025" s="154"/>
      <c r="H2025" s="154"/>
      <c r="I2025" s="154"/>
      <c r="J2025" s="153"/>
      <c r="K2025" s="132"/>
      <c r="L2025" s="133"/>
    </row>
    <row r="2026" spans="1:12" ht="13.5" thickBot="1" x14ac:dyDescent="0.25">
      <c r="A2026" s="614" t="s">
        <v>62</v>
      </c>
      <c r="B2026" s="648"/>
      <c r="C2026" s="648"/>
      <c r="D2026" s="648"/>
      <c r="E2026" s="648"/>
      <c r="F2026" s="648"/>
      <c r="G2026" s="648"/>
      <c r="H2026" s="648"/>
      <c r="I2026" s="648"/>
      <c r="J2026" s="649"/>
      <c r="K2026" s="132"/>
      <c r="L2026" s="133"/>
    </row>
    <row r="2027" spans="1:12" x14ac:dyDescent="0.2">
      <c r="A2027" s="136"/>
      <c r="B2027" s="155"/>
      <c r="C2027" s="156"/>
      <c r="D2027" s="156"/>
      <c r="E2027" s="156"/>
      <c r="F2027" s="156"/>
      <c r="G2027" s="156"/>
      <c r="H2027" s="156"/>
      <c r="I2027" s="156"/>
      <c r="J2027" s="157"/>
      <c r="K2027" s="132"/>
      <c r="L2027" s="133"/>
    </row>
    <row r="2028" spans="1:12" x14ac:dyDescent="0.2">
      <c r="A2028" s="158" t="s">
        <v>63</v>
      </c>
      <c r="B2028" s="55"/>
      <c r="C2028" s="652" t="s">
        <v>1207</v>
      </c>
      <c r="D2028" s="652"/>
      <c r="E2028" s="652"/>
      <c r="F2028" s="652"/>
      <c r="G2028" s="652"/>
      <c r="H2028" s="652"/>
      <c r="I2028" s="652"/>
      <c r="J2028" s="653"/>
      <c r="K2028" s="132"/>
      <c r="L2028" s="133"/>
    </row>
    <row r="2029" spans="1:12" x14ac:dyDescent="0.2">
      <c r="A2029" s="158"/>
      <c r="B2029" s="55"/>
      <c r="C2029" s="652"/>
      <c r="D2029" s="652"/>
      <c r="E2029" s="652"/>
      <c r="F2029" s="652"/>
      <c r="G2029" s="652"/>
      <c r="H2029" s="652"/>
      <c r="I2029" s="652"/>
      <c r="J2029" s="653"/>
      <c r="K2029" s="132"/>
      <c r="L2029" s="133"/>
    </row>
    <row r="2030" spans="1:12" x14ac:dyDescent="0.2">
      <c r="A2030" s="158"/>
      <c r="B2030" s="55"/>
      <c r="C2030" s="652"/>
      <c r="D2030" s="652"/>
      <c r="E2030" s="652"/>
      <c r="F2030" s="652"/>
      <c r="G2030" s="652"/>
      <c r="H2030" s="652"/>
      <c r="I2030" s="652"/>
      <c r="J2030" s="653"/>
      <c r="K2030" s="132"/>
      <c r="L2030" s="133"/>
    </row>
    <row r="2031" spans="1:12" x14ac:dyDescent="0.2">
      <c r="A2031" s="158"/>
      <c r="B2031" s="55"/>
      <c r="C2031" s="652"/>
      <c r="D2031" s="652"/>
      <c r="E2031" s="652"/>
      <c r="F2031" s="652"/>
      <c r="G2031" s="652"/>
      <c r="H2031" s="652"/>
      <c r="I2031" s="652"/>
      <c r="J2031" s="653"/>
      <c r="K2031" s="132"/>
      <c r="L2031" s="133"/>
    </row>
    <row r="2032" spans="1:12" x14ac:dyDescent="0.2">
      <c r="A2032" s="158"/>
      <c r="B2032" s="55"/>
      <c r="C2032" s="175"/>
      <c r="D2032" s="175"/>
      <c r="E2032" s="175"/>
      <c r="F2032" s="175"/>
      <c r="G2032" s="175"/>
      <c r="H2032" s="175"/>
      <c r="I2032" s="175"/>
      <c r="J2032" s="176"/>
      <c r="K2032" s="132"/>
      <c r="L2032" s="133"/>
    </row>
    <row r="2033" spans="1:12" x14ac:dyDescent="0.2">
      <c r="A2033" s="598" t="s">
        <v>64</v>
      </c>
      <c r="B2033" s="638"/>
      <c r="C2033" s="652" t="s">
        <v>1206</v>
      </c>
      <c r="D2033" s="652"/>
      <c r="E2033" s="652"/>
      <c r="F2033" s="652"/>
      <c r="G2033" s="652"/>
      <c r="H2033" s="652"/>
      <c r="I2033" s="652"/>
      <c r="J2033" s="653"/>
      <c r="K2033" s="132"/>
      <c r="L2033" s="133"/>
    </row>
    <row r="2034" spans="1:12" x14ac:dyDescent="0.2">
      <c r="A2034" s="158"/>
      <c r="B2034" s="55"/>
      <c r="C2034" s="175"/>
      <c r="D2034" s="175"/>
      <c r="E2034" s="175"/>
      <c r="F2034" s="175"/>
      <c r="G2034" s="175"/>
      <c r="H2034" s="175"/>
      <c r="I2034" s="175"/>
      <c r="J2034" s="176"/>
      <c r="K2034" s="132"/>
      <c r="L2034" s="133"/>
    </row>
    <row r="2035" spans="1:12" x14ac:dyDescent="0.2">
      <c r="A2035" s="158"/>
      <c r="B2035" s="55"/>
      <c r="C2035" s="71"/>
      <c r="D2035" s="71"/>
      <c r="E2035" s="71"/>
      <c r="F2035" s="71"/>
      <c r="G2035" s="71"/>
      <c r="H2035" s="71"/>
      <c r="I2035" s="71"/>
      <c r="J2035" s="174"/>
      <c r="K2035" s="132"/>
      <c r="L2035" s="133"/>
    </row>
    <row r="2036" spans="1:12" x14ac:dyDescent="0.2">
      <c r="A2036" s="158"/>
      <c r="B2036" s="55"/>
      <c r="C2036" s="71"/>
      <c r="D2036" s="71"/>
      <c r="E2036" s="71"/>
      <c r="F2036" s="71"/>
      <c r="G2036" s="71"/>
      <c r="H2036" s="71"/>
      <c r="I2036" s="71"/>
      <c r="J2036" s="174"/>
      <c r="K2036" s="132"/>
      <c r="L2036" s="133"/>
    </row>
    <row r="2037" spans="1:12" x14ac:dyDescent="0.2">
      <c r="A2037" s="158"/>
      <c r="B2037" s="55"/>
      <c r="C2037" s="71"/>
      <c r="D2037" s="71"/>
      <c r="E2037" s="71"/>
      <c r="F2037" s="71"/>
      <c r="G2037" s="71"/>
      <c r="H2037" s="71"/>
      <c r="I2037" s="71"/>
      <c r="J2037" s="174"/>
      <c r="K2037" s="132"/>
      <c r="L2037" s="133"/>
    </row>
    <row r="2038" spans="1:12" x14ac:dyDescent="0.2">
      <c r="A2038" s="158"/>
      <c r="B2038" s="55"/>
      <c r="C2038" s="71"/>
      <c r="D2038" s="71"/>
      <c r="E2038" s="71"/>
      <c r="F2038" s="71"/>
      <c r="G2038" s="71"/>
      <c r="H2038" s="71"/>
      <c r="I2038" s="71"/>
      <c r="J2038" s="174"/>
      <c r="K2038" s="132"/>
      <c r="L2038" s="133"/>
    </row>
    <row r="2039" spans="1:12" x14ac:dyDescent="0.2">
      <c r="A2039" s="158"/>
      <c r="B2039" s="55"/>
      <c r="C2039" s="71"/>
      <c r="D2039" s="71"/>
      <c r="E2039" s="71"/>
      <c r="F2039" s="71"/>
      <c r="G2039" s="71"/>
      <c r="H2039" s="71"/>
      <c r="I2039" s="71"/>
      <c r="J2039" s="174"/>
      <c r="K2039" s="132"/>
      <c r="L2039" s="133"/>
    </row>
    <row r="2040" spans="1:12" x14ac:dyDescent="0.2">
      <c r="A2040" s="158"/>
      <c r="B2040" s="55"/>
      <c r="C2040" s="71"/>
      <c r="D2040" s="71"/>
      <c r="E2040" s="71"/>
      <c r="F2040" s="71"/>
      <c r="G2040" s="71"/>
      <c r="H2040" s="71"/>
      <c r="I2040" s="71"/>
      <c r="J2040" s="174"/>
      <c r="K2040" s="132"/>
      <c r="L2040" s="133"/>
    </row>
    <row r="2041" spans="1:12" x14ac:dyDescent="0.2">
      <c r="A2041" s="158"/>
      <c r="B2041" s="55"/>
      <c r="C2041" s="71"/>
      <c r="D2041" s="71"/>
      <c r="E2041" s="71"/>
      <c r="F2041" s="71"/>
      <c r="G2041" s="71"/>
      <c r="H2041" s="71"/>
      <c r="I2041" s="71"/>
      <c r="J2041" s="174"/>
      <c r="K2041" s="132"/>
      <c r="L2041" s="133"/>
    </row>
    <row r="2042" spans="1:12" x14ac:dyDescent="0.2">
      <c r="A2042" s="158"/>
      <c r="B2042" s="55"/>
      <c r="C2042" s="71"/>
      <c r="D2042" s="71"/>
      <c r="E2042" s="71"/>
      <c r="F2042" s="71"/>
      <c r="G2042" s="71"/>
      <c r="H2042" s="71"/>
      <c r="I2042" s="71"/>
      <c r="J2042" s="174"/>
      <c r="K2042" s="132"/>
      <c r="L2042" s="133"/>
    </row>
    <row r="2043" spans="1:12" x14ac:dyDescent="0.2">
      <c r="A2043" s="158"/>
      <c r="B2043" s="55"/>
      <c r="C2043" s="71"/>
      <c r="D2043" s="71"/>
      <c r="E2043" s="71"/>
      <c r="F2043" s="71"/>
      <c r="G2043" s="71"/>
      <c r="H2043" s="71"/>
      <c r="I2043" s="71"/>
      <c r="J2043" s="174"/>
      <c r="K2043" s="132"/>
      <c r="L2043" s="133"/>
    </row>
    <row r="2044" spans="1:12" x14ac:dyDescent="0.2">
      <c r="A2044" s="158"/>
      <c r="B2044" s="55"/>
      <c r="C2044" s="71"/>
      <c r="D2044" s="71"/>
      <c r="E2044" s="71"/>
      <c r="F2044" s="71"/>
      <c r="G2044" s="71"/>
      <c r="H2044" s="71"/>
      <c r="I2044" s="71"/>
      <c r="J2044" s="174"/>
      <c r="K2044" s="132"/>
      <c r="L2044" s="133"/>
    </row>
    <row r="2045" spans="1:12" x14ac:dyDescent="0.2">
      <c r="A2045" s="158"/>
      <c r="B2045" s="55"/>
      <c r="C2045" s="175"/>
      <c r="D2045" s="175"/>
      <c r="E2045" s="172"/>
      <c r="F2045" s="172"/>
      <c r="G2045" s="172"/>
      <c r="H2045" s="172"/>
      <c r="I2045" s="172"/>
      <c r="J2045" s="173"/>
      <c r="K2045" s="132"/>
      <c r="L2045" s="133"/>
    </row>
    <row r="2046" spans="1:12" x14ac:dyDescent="0.2">
      <c r="A2046" s="158"/>
      <c r="B2046" s="55"/>
      <c r="C2046" s="175"/>
      <c r="D2046" s="175"/>
      <c r="E2046" s="172"/>
      <c r="F2046" s="172"/>
      <c r="G2046" s="172"/>
      <c r="H2046" s="172"/>
      <c r="I2046" s="172"/>
      <c r="J2046" s="173"/>
      <c r="K2046" s="132"/>
      <c r="L2046" s="133"/>
    </row>
    <row r="2047" spans="1:12" x14ac:dyDescent="0.2">
      <c r="A2047" s="158"/>
      <c r="B2047" s="55"/>
      <c r="C2047" s="175"/>
      <c r="D2047" s="175"/>
      <c r="E2047" s="172"/>
      <c r="F2047" s="172"/>
      <c r="G2047" s="172"/>
      <c r="H2047" s="172"/>
      <c r="I2047" s="172"/>
      <c r="J2047" s="173"/>
      <c r="K2047" s="132"/>
      <c r="L2047" s="133"/>
    </row>
    <row r="2048" spans="1:12" x14ac:dyDescent="0.2">
      <c r="A2048" s="158"/>
      <c r="B2048" s="55"/>
      <c r="C2048" s="175"/>
      <c r="D2048" s="175"/>
      <c r="E2048" s="175"/>
      <c r="F2048" s="175"/>
      <c r="G2048" s="175"/>
      <c r="H2048" s="175"/>
      <c r="I2048" s="175"/>
      <c r="J2048" s="176"/>
      <c r="K2048" s="132"/>
      <c r="L2048" s="133"/>
    </row>
    <row r="2049" spans="1:14" x14ac:dyDescent="0.2">
      <c r="A2049" s="158"/>
      <c r="B2049" s="55"/>
      <c r="C2049" s="175"/>
      <c r="D2049" s="175"/>
      <c r="E2049" s="175"/>
      <c r="F2049" s="175"/>
      <c r="G2049" s="175"/>
      <c r="H2049" s="175"/>
      <c r="I2049" s="175"/>
      <c r="J2049" s="176"/>
      <c r="K2049" s="132"/>
      <c r="L2049" s="133"/>
    </row>
    <row r="2050" spans="1:14" ht="13.5" thickBot="1" x14ac:dyDescent="0.25">
      <c r="A2050" s="149"/>
      <c r="B2050" s="167"/>
      <c r="C2050" s="151"/>
      <c r="D2050" s="151"/>
      <c r="E2050" s="151"/>
      <c r="F2050" s="151"/>
      <c r="G2050" s="151"/>
      <c r="H2050" s="151"/>
      <c r="I2050" s="151"/>
      <c r="J2050" s="168"/>
      <c r="K2050" s="132"/>
      <c r="L2050" s="133"/>
    </row>
    <row r="2051" spans="1:14" ht="15.75" x14ac:dyDescent="0.2">
      <c r="A2051" s="602" t="s">
        <v>4</v>
      </c>
      <c r="B2051" s="603"/>
      <c r="C2051" s="603" t="str">
        <f>'A IV.A'!$B$43</f>
        <v>FECHAMENTOS, PROTEÇÕES E ALVENARIAS EM GERAL</v>
      </c>
      <c r="D2051" s="603"/>
      <c r="E2051" s="603"/>
      <c r="F2051" s="603"/>
      <c r="G2051" s="603"/>
      <c r="H2051" s="603"/>
      <c r="I2051" s="603"/>
      <c r="J2051" s="604"/>
      <c r="K2051" s="132"/>
      <c r="L2051" s="133"/>
    </row>
    <row r="2052" spans="1:14" x14ac:dyDescent="0.2">
      <c r="A2052" s="609" t="str">
        <f>'A IV.A'!$A$43</f>
        <v>3.0</v>
      </c>
      <c r="B2052" s="610"/>
      <c r="C2052" s="605"/>
      <c r="D2052" s="605"/>
      <c r="E2052" s="605"/>
      <c r="F2052" s="605"/>
      <c r="G2052" s="605"/>
      <c r="H2052" s="605"/>
      <c r="I2052" s="605"/>
      <c r="J2052" s="606"/>
      <c r="K2052" s="132"/>
      <c r="L2052" s="133"/>
    </row>
    <row r="2053" spans="1:14" ht="13.5" thickBot="1" x14ac:dyDescent="0.25">
      <c r="A2053" s="611"/>
      <c r="B2053" s="612"/>
      <c r="C2053" s="607"/>
      <c r="D2053" s="607"/>
      <c r="E2053" s="607"/>
      <c r="F2053" s="607"/>
      <c r="G2053" s="607"/>
      <c r="H2053" s="607"/>
      <c r="I2053" s="607"/>
      <c r="J2053" s="608"/>
      <c r="K2053" s="132"/>
      <c r="L2053" s="133"/>
    </row>
    <row r="2054" spans="1:14" ht="13.5" thickBot="1" x14ac:dyDescent="0.25">
      <c r="A2054" s="169"/>
      <c r="B2054" s="169"/>
      <c r="C2054" s="613"/>
      <c r="D2054" s="613"/>
      <c r="E2054" s="613"/>
      <c r="F2054" s="613"/>
      <c r="G2054" s="613"/>
      <c r="H2054" s="613"/>
      <c r="I2054" s="613"/>
      <c r="J2054" s="169"/>
      <c r="K2054" s="132"/>
      <c r="L2054" s="133"/>
    </row>
    <row r="2055" spans="1:14" ht="13.5" thickBot="1" x14ac:dyDescent="0.25">
      <c r="A2055" s="614" t="s">
        <v>60</v>
      </c>
      <c r="B2055" s="615"/>
      <c r="C2055" s="616" t="s">
        <v>61</v>
      </c>
      <c r="D2055" s="617"/>
      <c r="E2055" s="617"/>
      <c r="F2055" s="617"/>
      <c r="G2055" s="617"/>
      <c r="H2055" s="617"/>
      <c r="I2055" s="618"/>
      <c r="J2055" s="260" t="s">
        <v>0</v>
      </c>
      <c r="K2055" s="132"/>
      <c r="L2055" s="133"/>
    </row>
    <row r="2056" spans="1:14" x14ac:dyDescent="0.2">
      <c r="A2056" s="136"/>
      <c r="B2056" s="137"/>
      <c r="C2056" s="619"/>
      <c r="D2056" s="620"/>
      <c r="E2056" s="621"/>
      <c r="F2056" s="621"/>
      <c r="G2056" s="621"/>
      <c r="H2056" s="621"/>
      <c r="I2056" s="622"/>
      <c r="J2056" s="138"/>
      <c r="K2056" s="132"/>
      <c r="L2056" s="133"/>
    </row>
    <row r="2057" spans="1:14" x14ac:dyDescent="0.2">
      <c r="A2057" s="623" t="str">
        <f>'A IV.A'!A70</f>
        <v>3.3.9</v>
      </c>
      <c r="B2057" s="624"/>
      <c r="C2057" s="626" t="str">
        <f>'A IV.A'!B70</f>
        <v>CONSTRUÇÃO DE ABRIGO ELÉTRICO EM ALVENARIA EM BLOCO DE CONCRETO 14 X 19 X 37 CM INCLUSIVE INSTALAÇÃO DE PORTA VENEZIANA E ELETRODUTOS - CONFORME MANUAL DO EMPREENDENDOR 2026</v>
      </c>
      <c r="D2057" s="627"/>
      <c r="E2057" s="627"/>
      <c r="F2057" s="627"/>
      <c r="G2057" s="627"/>
      <c r="H2057" s="627"/>
      <c r="I2057" s="628"/>
      <c r="J2057" s="629" t="str">
        <f>'A IV.A'!C70</f>
        <v>UN</v>
      </c>
      <c r="K2057" s="630" t="str">
        <f>VLOOKUP(A2057,'A IV.A'!$A$14:$M$233,2,FALSE)</f>
        <v>CONSTRUÇÃO DE ABRIGO ELÉTRICO EM ALVENARIA EM BLOCO DE CONCRETO 14 X 19 X 37 CM INCLUSIVE INSTALAÇÃO DE PORTA VENEZIANA E ELETRODUTOS - CONFORME MANUAL DO EMPREENDENDOR 2026</v>
      </c>
      <c r="L2057" s="631" t="str">
        <f>IF(C2057=K2057,"sim","nao")</f>
        <v>sim</v>
      </c>
      <c r="M2057" s="631" t="str">
        <f>VLOOKUP(A2057,'A IV.A'!$A$14:$M$233,3,FALSE)</f>
        <v>UN</v>
      </c>
      <c r="N2057" s="631" t="str">
        <f>IF(J2057=M2057,"sim","nao")</f>
        <v>sim</v>
      </c>
    </row>
    <row r="2058" spans="1:14" x14ac:dyDescent="0.2">
      <c r="A2058" s="625"/>
      <c r="B2058" s="624"/>
      <c r="C2058" s="626"/>
      <c r="D2058" s="627"/>
      <c r="E2058" s="627"/>
      <c r="F2058" s="627"/>
      <c r="G2058" s="627"/>
      <c r="H2058" s="627"/>
      <c r="I2058" s="628"/>
      <c r="J2058" s="629"/>
      <c r="K2058" s="630"/>
      <c r="L2058" s="631"/>
      <c r="M2058" s="631"/>
      <c r="N2058" s="631"/>
    </row>
    <row r="2059" spans="1:14" x14ac:dyDescent="0.2">
      <c r="A2059" s="139"/>
      <c r="B2059" s="140"/>
      <c r="C2059" s="439"/>
      <c r="D2059" s="440"/>
      <c r="E2059" s="440"/>
      <c r="F2059" s="440"/>
      <c r="G2059" s="440"/>
      <c r="H2059" s="440"/>
      <c r="I2059" s="441"/>
      <c r="J2059" s="144"/>
      <c r="K2059" s="132"/>
      <c r="L2059" s="133"/>
    </row>
    <row r="2060" spans="1:14" x14ac:dyDescent="0.2">
      <c r="A2060" s="158"/>
      <c r="B2060" s="188"/>
      <c r="C2060" s="189"/>
      <c r="D2060" s="165"/>
      <c r="E2060" s="165"/>
      <c r="F2060" s="165"/>
      <c r="G2060" s="165"/>
      <c r="H2060" s="165"/>
      <c r="I2060" s="190"/>
      <c r="J2060" s="191"/>
      <c r="K2060" s="442"/>
      <c r="L2060" s="55"/>
      <c r="M2060" s="55"/>
      <c r="N2060" s="55"/>
    </row>
    <row r="2061" spans="1:14" x14ac:dyDescent="0.2">
      <c r="A2061" s="158"/>
      <c r="B2061" s="188"/>
      <c r="C2061" s="189"/>
      <c r="D2061" s="165"/>
      <c r="E2061" s="165"/>
      <c r="F2061" s="165"/>
      <c r="G2061" s="165"/>
      <c r="H2061" s="165"/>
      <c r="I2061" s="190"/>
      <c r="J2061" s="191"/>
      <c r="K2061" s="442"/>
      <c r="L2061" s="55"/>
      <c r="M2061" s="55"/>
      <c r="N2061" s="55"/>
    </row>
    <row r="2062" spans="1:14" x14ac:dyDescent="0.2">
      <c r="A2062" s="145"/>
      <c r="B2062" s="146"/>
      <c r="C2062" s="147"/>
      <c r="D2062" s="147"/>
      <c r="E2062" s="147"/>
      <c r="F2062" s="147"/>
      <c r="G2062" s="147"/>
      <c r="H2062" s="147"/>
      <c r="I2062" s="147"/>
      <c r="J2062" s="445"/>
      <c r="K2062" s="132"/>
      <c r="L2062" s="133"/>
    </row>
    <row r="2063" spans="1:14" x14ac:dyDescent="0.2">
      <c r="A2063" s="158"/>
      <c r="B2063" s="188"/>
      <c r="C2063" s="189"/>
      <c r="D2063" s="165"/>
      <c r="E2063" s="165"/>
      <c r="F2063" s="165"/>
      <c r="G2063" s="165"/>
      <c r="H2063" s="165"/>
      <c r="I2063" s="190"/>
      <c r="J2063" s="191"/>
      <c r="K2063" s="630"/>
      <c r="L2063" s="631"/>
      <c r="M2063" s="631"/>
      <c r="N2063" s="631"/>
    </row>
    <row r="2064" spans="1:14" x14ac:dyDescent="0.2">
      <c r="A2064" s="158"/>
      <c r="B2064" s="188"/>
      <c r="C2064" s="189"/>
      <c r="D2064" s="165"/>
      <c r="E2064" s="165"/>
      <c r="F2064" s="165"/>
      <c r="G2064" s="165"/>
      <c r="H2064" s="165"/>
      <c r="I2064" s="190"/>
      <c r="J2064" s="191"/>
      <c r="K2064" s="630"/>
      <c r="L2064" s="631"/>
      <c r="M2064" s="631"/>
      <c r="N2064" s="631"/>
    </row>
    <row r="2065" spans="1:12" x14ac:dyDescent="0.2">
      <c r="A2065" s="145"/>
      <c r="B2065" s="146"/>
      <c r="C2065" s="147"/>
      <c r="D2065" s="147"/>
      <c r="E2065" s="147"/>
      <c r="F2065" s="147"/>
      <c r="G2065" s="147"/>
      <c r="H2065" s="147"/>
      <c r="I2065" s="147"/>
      <c r="J2065" s="445"/>
      <c r="K2065" s="132"/>
      <c r="L2065" s="133"/>
    </row>
    <row r="2066" spans="1:12" x14ac:dyDescent="0.2">
      <c r="A2066" s="145"/>
      <c r="B2066" s="146"/>
      <c r="C2066" s="147"/>
      <c r="D2066" s="147"/>
      <c r="E2066" s="147"/>
      <c r="F2066" s="147"/>
      <c r="G2066" s="147"/>
      <c r="H2066" s="147"/>
      <c r="I2066" s="147"/>
      <c r="J2066" s="445"/>
      <c r="K2066" s="132"/>
      <c r="L2066" s="133"/>
    </row>
    <row r="2067" spans="1:12" x14ac:dyDescent="0.2">
      <c r="A2067" s="145"/>
      <c r="B2067" s="146"/>
      <c r="C2067" s="147"/>
      <c r="D2067" s="147"/>
      <c r="E2067" s="147"/>
      <c r="F2067" s="147"/>
      <c r="G2067" s="147"/>
      <c r="H2067" s="147"/>
      <c r="I2067" s="147"/>
      <c r="J2067" s="445"/>
      <c r="K2067" s="132"/>
      <c r="L2067" s="133"/>
    </row>
    <row r="2068" spans="1:12" x14ac:dyDescent="0.2">
      <c r="A2068" s="145"/>
      <c r="B2068" s="146"/>
      <c r="C2068" s="147"/>
      <c r="D2068" s="147"/>
      <c r="E2068" s="147"/>
      <c r="F2068" s="147"/>
      <c r="G2068" s="147"/>
      <c r="H2068" s="147"/>
      <c r="I2068" s="147"/>
      <c r="J2068" s="445"/>
      <c r="K2068" s="132"/>
      <c r="L2068" s="133"/>
    </row>
    <row r="2069" spans="1:12" x14ac:dyDescent="0.2">
      <c r="A2069" s="145"/>
      <c r="B2069" s="146"/>
      <c r="C2069" s="147"/>
      <c r="D2069" s="147"/>
      <c r="E2069" s="147"/>
      <c r="F2069" s="147"/>
      <c r="G2069" s="147"/>
      <c r="H2069" s="147"/>
      <c r="I2069" s="147"/>
      <c r="J2069" s="445"/>
      <c r="K2069" s="132"/>
      <c r="L2069" s="133"/>
    </row>
    <row r="2070" spans="1:12" x14ac:dyDescent="0.2">
      <c r="A2070" s="145"/>
      <c r="B2070" s="146"/>
      <c r="C2070" s="147"/>
      <c r="D2070" s="147"/>
      <c r="E2070" s="147"/>
      <c r="F2070" s="147"/>
      <c r="G2070" s="147"/>
      <c r="H2070" s="147"/>
      <c r="I2070" s="147"/>
      <c r="J2070" s="445"/>
      <c r="K2070" s="132"/>
      <c r="L2070" s="133"/>
    </row>
    <row r="2071" spans="1:12" x14ac:dyDescent="0.2">
      <c r="A2071" s="145"/>
      <c r="B2071" s="146"/>
      <c r="C2071" s="147"/>
      <c r="D2071" s="147"/>
      <c r="E2071" s="147"/>
      <c r="F2071" s="147"/>
      <c r="G2071" s="147"/>
      <c r="H2071" s="147"/>
      <c r="I2071" s="147"/>
      <c r="J2071" s="445"/>
      <c r="K2071" s="132"/>
      <c r="L2071" s="133"/>
    </row>
    <row r="2072" spans="1:12" x14ac:dyDescent="0.2">
      <c r="A2072" s="145"/>
      <c r="B2072" s="146"/>
      <c r="C2072" s="147"/>
      <c r="D2072" s="147"/>
      <c r="E2072" s="147"/>
      <c r="F2072" s="147"/>
      <c r="G2072" s="147"/>
      <c r="H2072" s="147"/>
      <c r="I2072" s="147"/>
      <c r="J2072" s="445"/>
      <c r="K2072" s="132"/>
      <c r="L2072" s="133"/>
    </row>
    <row r="2073" spans="1:12" x14ac:dyDescent="0.2">
      <c r="A2073" s="145"/>
      <c r="B2073" s="146"/>
      <c r="C2073" s="147"/>
      <c r="D2073" s="147"/>
      <c r="E2073" s="147"/>
      <c r="F2073" s="147"/>
      <c r="G2073" s="147"/>
      <c r="H2073" s="147"/>
      <c r="I2073" s="147"/>
      <c r="J2073" s="445"/>
      <c r="K2073" s="132"/>
      <c r="L2073" s="133"/>
    </row>
    <row r="2074" spans="1:12" x14ac:dyDescent="0.2">
      <c r="A2074" s="145"/>
      <c r="B2074" s="146"/>
      <c r="C2074" s="147"/>
      <c r="D2074" s="147"/>
      <c r="E2074" s="147"/>
      <c r="F2074" s="147"/>
      <c r="G2074" s="147"/>
      <c r="H2074" s="147"/>
      <c r="I2074" s="147"/>
      <c r="J2074" s="445"/>
      <c r="K2074" s="132"/>
      <c r="L2074" s="133"/>
    </row>
    <row r="2075" spans="1:12" x14ac:dyDescent="0.2">
      <c r="A2075" s="145"/>
      <c r="B2075" s="146"/>
      <c r="C2075" s="147"/>
      <c r="D2075" s="147"/>
      <c r="E2075" s="147"/>
      <c r="F2075" s="147"/>
      <c r="G2075" s="147"/>
      <c r="H2075" s="147"/>
      <c r="I2075" s="147"/>
      <c r="J2075" s="445"/>
      <c r="K2075" s="132"/>
      <c r="L2075" s="133"/>
    </row>
    <row r="2076" spans="1:12" x14ac:dyDescent="0.2">
      <c r="A2076" s="145"/>
      <c r="B2076" s="146"/>
      <c r="C2076" s="147"/>
      <c r="D2076" s="147"/>
      <c r="E2076" s="147"/>
      <c r="F2076" s="147"/>
      <c r="G2076" s="147"/>
      <c r="H2076" s="147"/>
      <c r="I2076" s="147"/>
      <c r="J2076" s="445"/>
      <c r="K2076" s="132"/>
      <c r="L2076" s="133"/>
    </row>
    <row r="2077" spans="1:12" x14ac:dyDescent="0.2">
      <c r="A2077" s="145"/>
      <c r="B2077" s="146"/>
      <c r="C2077" s="147"/>
      <c r="D2077" s="147"/>
      <c r="E2077" s="147"/>
      <c r="F2077" s="147"/>
      <c r="G2077" s="147"/>
      <c r="H2077" s="147"/>
      <c r="I2077" s="147"/>
      <c r="J2077" s="445"/>
      <c r="K2077" s="132"/>
      <c r="L2077" s="133"/>
    </row>
    <row r="2078" spans="1:12" ht="13.5" thickBot="1" x14ac:dyDescent="0.25">
      <c r="A2078" s="149"/>
      <c r="B2078" s="150"/>
      <c r="C2078" s="151"/>
      <c r="D2078" s="151"/>
      <c r="E2078" s="151"/>
      <c r="F2078" s="151"/>
      <c r="G2078" s="151"/>
      <c r="H2078" s="151"/>
      <c r="I2078" s="151"/>
      <c r="J2078" s="152"/>
      <c r="K2078" s="132"/>
      <c r="L2078" s="133"/>
    </row>
    <row r="2079" spans="1:12" ht="13.5" thickBot="1" x14ac:dyDescent="0.25">
      <c r="A2079" s="153"/>
      <c r="B2079" s="153"/>
      <c r="C2079" s="154"/>
      <c r="D2079" s="154"/>
      <c r="E2079" s="154"/>
      <c r="F2079" s="154"/>
      <c r="G2079" s="154"/>
      <c r="H2079" s="154"/>
      <c r="I2079" s="154"/>
      <c r="J2079" s="153"/>
      <c r="K2079" s="132"/>
      <c r="L2079" s="133"/>
    </row>
    <row r="2080" spans="1:12" ht="13.5" thickBot="1" x14ac:dyDescent="0.25">
      <c r="A2080" s="614" t="s">
        <v>62</v>
      </c>
      <c r="B2080" s="648"/>
      <c r="C2080" s="648"/>
      <c r="D2080" s="648"/>
      <c r="E2080" s="648"/>
      <c r="F2080" s="648"/>
      <c r="G2080" s="648"/>
      <c r="H2080" s="648"/>
      <c r="I2080" s="648"/>
      <c r="J2080" s="649"/>
      <c r="K2080" s="132"/>
      <c r="L2080" s="133"/>
    </row>
    <row r="2081" spans="1:12" x14ac:dyDescent="0.2">
      <c r="A2081" s="136"/>
      <c r="B2081" s="155"/>
      <c r="C2081" s="156"/>
      <c r="D2081" s="156"/>
      <c r="E2081" s="156"/>
      <c r="F2081" s="156"/>
      <c r="G2081" s="156"/>
      <c r="H2081" s="156"/>
      <c r="I2081" s="156"/>
      <c r="J2081" s="157"/>
      <c r="K2081" s="132"/>
      <c r="L2081" s="133"/>
    </row>
    <row r="2082" spans="1:12" ht="12.75" customHeight="1" x14ac:dyDescent="0.2">
      <c r="A2082" s="158" t="s">
        <v>63</v>
      </c>
      <c r="B2082" s="55"/>
      <c r="C2082" s="596" t="s">
        <v>1208</v>
      </c>
      <c r="D2082" s="596"/>
      <c r="E2082" s="596"/>
      <c r="F2082" s="596"/>
      <c r="G2082" s="596"/>
      <c r="H2082" s="596"/>
      <c r="I2082" s="596"/>
      <c r="J2082" s="597"/>
      <c r="K2082" s="132"/>
      <c r="L2082" s="133"/>
    </row>
    <row r="2083" spans="1:12" x14ac:dyDescent="0.2">
      <c r="A2083" s="158"/>
      <c r="B2083" s="55"/>
      <c r="C2083" s="596"/>
      <c r="D2083" s="596"/>
      <c r="E2083" s="596"/>
      <c r="F2083" s="596"/>
      <c r="G2083" s="596"/>
      <c r="H2083" s="596"/>
      <c r="I2083" s="596"/>
      <c r="J2083" s="597"/>
      <c r="K2083" s="132"/>
      <c r="L2083" s="133"/>
    </row>
    <row r="2084" spans="1:12" x14ac:dyDescent="0.2">
      <c r="A2084" s="158"/>
      <c r="B2084" s="55"/>
      <c r="C2084" s="596"/>
      <c r="D2084" s="596"/>
      <c r="E2084" s="596"/>
      <c r="F2084" s="596"/>
      <c r="G2084" s="596"/>
      <c r="H2084" s="596"/>
      <c r="I2084" s="596"/>
      <c r="J2084" s="597"/>
      <c r="K2084" s="132"/>
      <c r="L2084" s="133"/>
    </row>
    <row r="2085" spans="1:12" x14ac:dyDescent="0.2">
      <c r="A2085" s="158"/>
      <c r="B2085" s="55"/>
      <c r="C2085" s="178"/>
      <c r="D2085" s="178"/>
      <c r="E2085" s="178"/>
      <c r="F2085" s="178"/>
      <c r="G2085" s="178"/>
      <c r="H2085" s="178"/>
      <c r="I2085" s="178"/>
      <c r="J2085" s="179"/>
      <c r="K2085" s="132"/>
      <c r="L2085" s="133"/>
    </row>
    <row r="2086" spans="1:12" x14ac:dyDescent="0.2">
      <c r="A2086" s="598" t="s">
        <v>64</v>
      </c>
      <c r="B2086" s="599"/>
      <c r="C2086" s="600" t="s">
        <v>1209</v>
      </c>
      <c r="D2086" s="600"/>
      <c r="E2086" s="600"/>
      <c r="F2086" s="600"/>
      <c r="G2086" s="600"/>
      <c r="H2086" s="600"/>
      <c r="I2086" s="600"/>
      <c r="J2086" s="601"/>
      <c r="K2086" s="132"/>
      <c r="L2086" s="133"/>
    </row>
    <row r="2087" spans="1:12" x14ac:dyDescent="0.2">
      <c r="A2087" s="158"/>
      <c r="B2087" s="55"/>
      <c r="C2087" s="197" t="s">
        <v>1210</v>
      </c>
      <c r="D2087" s="446"/>
      <c r="E2087" s="446"/>
      <c r="F2087" s="446"/>
      <c r="G2087" s="446"/>
      <c r="H2087" s="446"/>
      <c r="I2087" s="446"/>
      <c r="J2087" s="447"/>
      <c r="K2087" s="132"/>
      <c r="L2087" s="133"/>
    </row>
    <row r="2088" spans="1:12" x14ac:dyDescent="0.2">
      <c r="A2088" s="158"/>
      <c r="B2088" s="55"/>
      <c r="C2088" s="446"/>
      <c r="D2088" s="446"/>
      <c r="E2088" s="446"/>
      <c r="F2088" s="446"/>
      <c r="G2088" s="446"/>
      <c r="H2088" s="446"/>
      <c r="I2088" s="446"/>
      <c r="J2088" s="447"/>
      <c r="K2088" s="132"/>
      <c r="L2088" s="133"/>
    </row>
    <row r="2089" spans="1:12" x14ac:dyDescent="0.2">
      <c r="A2089" s="158"/>
      <c r="B2089" s="55"/>
      <c r="C2089" s="446"/>
      <c r="D2089" s="446"/>
      <c r="E2089" s="446"/>
      <c r="F2089" s="446"/>
      <c r="G2089" s="446"/>
      <c r="H2089" s="446"/>
      <c r="I2089" s="446"/>
      <c r="J2089" s="447"/>
      <c r="K2089" s="132"/>
      <c r="L2089" s="133"/>
    </row>
    <row r="2090" spans="1:12" x14ac:dyDescent="0.2">
      <c r="A2090" s="158"/>
      <c r="B2090" s="55"/>
      <c r="C2090" s="446"/>
      <c r="D2090" s="446"/>
      <c r="E2090" s="446"/>
      <c r="F2090" s="446"/>
      <c r="G2090" s="446"/>
      <c r="H2090" s="446"/>
      <c r="I2090" s="446"/>
      <c r="J2090" s="447"/>
      <c r="K2090" s="132"/>
      <c r="L2090" s="133"/>
    </row>
    <row r="2091" spans="1:12" x14ac:dyDescent="0.2">
      <c r="A2091" s="158"/>
      <c r="B2091" s="55"/>
      <c r="C2091" s="446"/>
      <c r="D2091" s="446"/>
      <c r="E2091" s="446"/>
      <c r="F2091" s="446"/>
      <c r="G2091" s="446"/>
      <c r="H2091" s="446"/>
      <c r="I2091" s="446"/>
      <c r="J2091" s="447"/>
      <c r="K2091" s="132"/>
      <c r="L2091" s="133"/>
    </row>
    <row r="2092" spans="1:12" x14ac:dyDescent="0.2">
      <c r="A2092" s="158"/>
      <c r="B2092" s="55"/>
      <c r="C2092" s="446"/>
      <c r="D2092" s="446"/>
      <c r="E2092" s="446"/>
      <c r="F2092" s="446"/>
      <c r="G2092" s="446"/>
      <c r="H2092" s="446"/>
      <c r="I2092" s="446"/>
      <c r="J2092" s="447"/>
      <c r="K2092" s="132"/>
      <c r="L2092" s="133"/>
    </row>
    <row r="2093" spans="1:12" x14ac:dyDescent="0.2">
      <c r="A2093" s="158"/>
      <c r="B2093" s="55"/>
      <c r="C2093" s="443"/>
      <c r="D2093" s="443"/>
      <c r="E2093" s="443"/>
      <c r="F2093" s="443"/>
      <c r="G2093" s="443"/>
      <c r="H2093" s="443"/>
      <c r="I2093" s="443"/>
      <c r="J2093" s="444"/>
      <c r="K2093" s="132"/>
      <c r="L2093" s="133"/>
    </row>
    <row r="2094" spans="1:12" x14ac:dyDescent="0.2">
      <c r="A2094" s="158"/>
      <c r="B2094" s="55"/>
      <c r="C2094" s="443"/>
      <c r="D2094" s="443"/>
      <c r="E2094" s="443"/>
      <c r="F2094" s="443"/>
      <c r="G2094" s="443"/>
      <c r="H2094" s="443"/>
      <c r="I2094" s="443"/>
      <c r="J2094" s="444"/>
      <c r="K2094" s="132"/>
      <c r="L2094" s="133"/>
    </row>
    <row r="2095" spans="1:12" x14ac:dyDescent="0.2">
      <c r="A2095" s="158"/>
      <c r="B2095" s="55"/>
      <c r="C2095" s="443"/>
      <c r="D2095" s="443"/>
      <c r="E2095" s="443"/>
      <c r="F2095" s="443"/>
      <c r="G2095" s="443"/>
      <c r="H2095" s="443"/>
      <c r="I2095" s="443"/>
      <c r="J2095" s="444"/>
      <c r="K2095" s="132"/>
      <c r="L2095" s="133"/>
    </row>
    <row r="2096" spans="1:12" x14ac:dyDescent="0.2">
      <c r="A2096" s="158"/>
      <c r="B2096" s="55"/>
      <c r="C2096" s="443"/>
      <c r="D2096" s="443"/>
      <c r="E2096" s="443"/>
      <c r="F2096" s="443"/>
      <c r="G2096" s="443"/>
      <c r="H2096" s="443"/>
      <c r="I2096" s="443"/>
      <c r="J2096" s="444"/>
      <c r="K2096" s="132"/>
      <c r="L2096" s="133"/>
    </row>
    <row r="2097" spans="1:14" x14ac:dyDescent="0.2">
      <c r="A2097" s="158"/>
      <c r="B2097" s="55"/>
      <c r="C2097" s="443"/>
      <c r="D2097" s="443"/>
      <c r="E2097" s="443"/>
      <c r="F2097" s="443"/>
      <c r="G2097" s="443"/>
      <c r="H2097" s="443"/>
      <c r="I2097" s="443"/>
      <c r="J2097" s="444"/>
      <c r="K2097" s="132"/>
      <c r="L2097" s="133"/>
    </row>
    <row r="2098" spans="1:14" x14ac:dyDescent="0.2">
      <c r="A2098" s="158"/>
      <c r="B2098" s="55"/>
      <c r="C2098" s="443"/>
      <c r="D2098" s="443"/>
      <c r="E2098" s="443"/>
      <c r="F2098" s="443"/>
      <c r="G2098" s="443"/>
      <c r="H2098" s="443"/>
      <c r="I2098" s="443"/>
      <c r="J2098" s="444"/>
      <c r="K2098" s="132"/>
      <c r="L2098" s="133"/>
    </row>
    <row r="2099" spans="1:14" x14ac:dyDescent="0.2">
      <c r="A2099" s="158"/>
      <c r="B2099" s="55"/>
      <c r="C2099" s="443"/>
      <c r="D2099" s="443"/>
      <c r="E2099" s="443"/>
      <c r="F2099" s="443"/>
      <c r="G2099" s="443"/>
      <c r="H2099" s="443"/>
      <c r="I2099" s="443"/>
      <c r="J2099" s="444"/>
      <c r="K2099" s="132"/>
      <c r="L2099" s="133"/>
    </row>
    <row r="2100" spans="1:14" x14ac:dyDescent="0.2">
      <c r="A2100" s="158"/>
      <c r="B2100" s="55"/>
      <c r="C2100" s="443"/>
      <c r="D2100" s="443"/>
      <c r="E2100" s="443"/>
      <c r="F2100" s="443"/>
      <c r="G2100" s="443"/>
      <c r="H2100" s="443"/>
      <c r="I2100" s="443"/>
      <c r="J2100" s="444"/>
      <c r="K2100" s="132"/>
      <c r="L2100" s="133"/>
    </row>
    <row r="2101" spans="1:14" x14ac:dyDescent="0.2">
      <c r="A2101" s="158"/>
      <c r="B2101" s="55"/>
      <c r="C2101" s="443"/>
      <c r="D2101" s="443"/>
      <c r="E2101" s="443"/>
      <c r="F2101" s="443"/>
      <c r="G2101" s="443"/>
      <c r="H2101" s="443"/>
      <c r="I2101" s="443"/>
      <c r="J2101" s="444"/>
      <c r="K2101" s="132"/>
      <c r="L2101" s="133"/>
    </row>
    <row r="2102" spans="1:14" x14ac:dyDescent="0.2">
      <c r="A2102" s="158"/>
      <c r="B2102" s="55"/>
      <c r="C2102" s="443"/>
      <c r="D2102" s="443"/>
      <c r="E2102" s="443"/>
      <c r="F2102" s="443"/>
      <c r="G2102" s="443"/>
      <c r="H2102" s="443"/>
      <c r="I2102" s="443"/>
      <c r="J2102" s="444"/>
      <c r="K2102" s="132"/>
      <c r="L2102" s="133"/>
    </row>
    <row r="2103" spans="1:14" x14ac:dyDescent="0.2">
      <c r="A2103" s="158"/>
      <c r="B2103" s="55"/>
      <c r="C2103" s="446"/>
      <c r="D2103" s="446"/>
      <c r="E2103" s="172"/>
      <c r="F2103" s="172"/>
      <c r="G2103" s="172"/>
      <c r="H2103" s="172"/>
      <c r="I2103" s="172"/>
      <c r="J2103" s="173"/>
      <c r="K2103" s="132"/>
      <c r="L2103" s="133"/>
    </row>
    <row r="2104" spans="1:14" ht="13.5" thickBot="1" x14ac:dyDescent="0.25">
      <c r="A2104" s="149"/>
      <c r="B2104" s="167"/>
      <c r="C2104" s="151"/>
      <c r="D2104" s="151"/>
      <c r="E2104" s="151"/>
      <c r="F2104" s="151"/>
      <c r="G2104" s="151"/>
      <c r="H2104" s="151"/>
      <c r="I2104" s="151"/>
      <c r="J2104" s="168"/>
      <c r="K2104" s="132"/>
      <c r="L2104" s="133"/>
    </row>
    <row r="2105" spans="1:14" ht="15.75" x14ac:dyDescent="0.2">
      <c r="A2105" s="602" t="s">
        <v>4</v>
      </c>
      <c r="B2105" s="603"/>
      <c r="C2105" s="603" t="str">
        <f>'A IV.A'!$B$43</f>
        <v>FECHAMENTOS, PROTEÇÕES E ALVENARIAS EM GERAL</v>
      </c>
      <c r="D2105" s="603"/>
      <c r="E2105" s="603"/>
      <c r="F2105" s="603"/>
      <c r="G2105" s="603"/>
      <c r="H2105" s="603"/>
      <c r="I2105" s="603"/>
      <c r="J2105" s="604"/>
      <c r="K2105" s="132"/>
      <c r="L2105" s="133"/>
    </row>
    <row r="2106" spans="1:14" x14ac:dyDescent="0.2">
      <c r="A2106" s="609" t="str">
        <f>'A IV.A'!$A$43</f>
        <v>3.0</v>
      </c>
      <c r="B2106" s="610"/>
      <c r="C2106" s="605"/>
      <c r="D2106" s="605"/>
      <c r="E2106" s="605"/>
      <c r="F2106" s="605"/>
      <c r="G2106" s="605"/>
      <c r="H2106" s="605"/>
      <c r="I2106" s="605"/>
      <c r="J2106" s="606"/>
      <c r="K2106" s="132"/>
      <c r="L2106" s="133"/>
    </row>
    <row r="2107" spans="1:14" ht="13.5" thickBot="1" x14ac:dyDescent="0.25">
      <c r="A2107" s="611"/>
      <c r="B2107" s="612"/>
      <c r="C2107" s="607"/>
      <c r="D2107" s="607"/>
      <c r="E2107" s="607"/>
      <c r="F2107" s="607"/>
      <c r="G2107" s="607"/>
      <c r="H2107" s="607"/>
      <c r="I2107" s="607"/>
      <c r="J2107" s="608"/>
      <c r="K2107" s="132"/>
      <c r="L2107" s="133"/>
    </row>
    <row r="2108" spans="1:14" ht="13.5" thickBot="1" x14ac:dyDescent="0.25">
      <c r="A2108" s="169"/>
      <c r="B2108" s="169"/>
      <c r="C2108" s="613"/>
      <c r="D2108" s="613"/>
      <c r="E2108" s="613"/>
      <c r="F2108" s="613"/>
      <c r="G2108" s="613"/>
      <c r="H2108" s="613"/>
      <c r="I2108" s="613"/>
      <c r="J2108" s="169"/>
      <c r="K2108" s="132"/>
      <c r="L2108" s="133"/>
    </row>
    <row r="2109" spans="1:14" ht="13.5" thickBot="1" x14ac:dyDescent="0.25">
      <c r="A2109" s="614" t="s">
        <v>60</v>
      </c>
      <c r="B2109" s="615"/>
      <c r="C2109" s="616" t="s">
        <v>61</v>
      </c>
      <c r="D2109" s="617"/>
      <c r="E2109" s="617"/>
      <c r="F2109" s="617"/>
      <c r="G2109" s="617"/>
      <c r="H2109" s="617"/>
      <c r="I2109" s="618"/>
      <c r="J2109" s="260" t="s">
        <v>0</v>
      </c>
      <c r="K2109" s="132"/>
      <c r="L2109" s="133"/>
    </row>
    <row r="2110" spans="1:14" x14ac:dyDescent="0.2">
      <c r="A2110" s="136"/>
      <c r="B2110" s="137"/>
      <c r="C2110" s="619"/>
      <c r="D2110" s="620"/>
      <c r="E2110" s="621"/>
      <c r="F2110" s="621"/>
      <c r="G2110" s="621"/>
      <c r="H2110" s="621"/>
      <c r="I2110" s="622"/>
      <c r="J2110" s="138"/>
      <c r="K2110" s="132"/>
      <c r="L2110" s="133"/>
    </row>
    <row r="2111" spans="1:14" x14ac:dyDescent="0.2">
      <c r="A2111" s="623" t="str">
        <f>'A IV.A'!$A$72</f>
        <v>3.4.1</v>
      </c>
      <c r="B2111" s="624"/>
      <c r="C2111" s="626" t="str">
        <f>'A IV.A'!$B$72</f>
        <v xml:space="preserve">REATERRO E APILOAMENTO MANUAL DE SOLO </v>
      </c>
      <c r="D2111" s="627"/>
      <c r="E2111" s="627"/>
      <c r="F2111" s="627"/>
      <c r="G2111" s="627"/>
      <c r="H2111" s="627"/>
      <c r="I2111" s="628"/>
      <c r="J2111" s="629" t="str">
        <f>'A IV.A'!$C$72</f>
        <v>M3</v>
      </c>
      <c r="K2111" s="630" t="str">
        <f>VLOOKUP(A2111,'A IV.A'!$A$14:$M$233,2,FALSE)</f>
        <v xml:space="preserve">REATERRO E APILOAMENTO MANUAL DE SOLO </v>
      </c>
      <c r="L2111" s="631" t="str">
        <f>IF(C2111=K2111,"sim","nao")</f>
        <v>sim</v>
      </c>
      <c r="M2111" s="631" t="str">
        <f>VLOOKUP(A2111,'A IV.A'!$A$14:$M$233,3,FALSE)</f>
        <v>M3</v>
      </c>
      <c r="N2111" s="631" t="str">
        <f>IF(J2111=M2111,"sim","nao")</f>
        <v>sim</v>
      </c>
    </row>
    <row r="2112" spans="1:14" x14ac:dyDescent="0.2">
      <c r="A2112" s="625"/>
      <c r="B2112" s="624"/>
      <c r="C2112" s="626"/>
      <c r="D2112" s="627"/>
      <c r="E2112" s="627"/>
      <c r="F2112" s="627"/>
      <c r="G2112" s="627"/>
      <c r="H2112" s="627"/>
      <c r="I2112" s="628"/>
      <c r="J2112" s="629"/>
      <c r="K2112" s="630"/>
      <c r="L2112" s="631"/>
      <c r="M2112" s="631"/>
      <c r="N2112" s="631"/>
    </row>
    <row r="2113" spans="1:14" x14ac:dyDescent="0.2">
      <c r="A2113" s="139"/>
      <c r="B2113" s="140"/>
      <c r="C2113" s="141"/>
      <c r="D2113" s="142"/>
      <c r="E2113" s="142"/>
      <c r="F2113" s="142"/>
      <c r="G2113" s="142"/>
      <c r="H2113" s="142"/>
      <c r="I2113" s="143"/>
      <c r="J2113" s="144"/>
      <c r="K2113" s="132"/>
      <c r="L2113" s="133"/>
    </row>
    <row r="2114" spans="1:14" x14ac:dyDescent="0.2">
      <c r="A2114" s="158"/>
      <c r="B2114" s="188"/>
      <c r="C2114" s="189"/>
      <c r="D2114" s="165"/>
      <c r="E2114" s="165"/>
      <c r="F2114" s="165"/>
      <c r="G2114" s="165"/>
      <c r="H2114" s="165"/>
      <c r="I2114" s="190"/>
      <c r="J2114" s="191"/>
      <c r="K2114" s="192"/>
      <c r="L2114" s="55"/>
      <c r="M2114" s="55"/>
      <c r="N2114" s="55"/>
    </row>
    <row r="2115" spans="1:14" x14ac:dyDescent="0.2">
      <c r="A2115" s="158"/>
      <c r="B2115" s="188"/>
      <c r="C2115" s="189"/>
      <c r="D2115" s="165"/>
      <c r="E2115" s="165"/>
      <c r="F2115" s="165"/>
      <c r="G2115" s="165"/>
      <c r="H2115" s="165"/>
      <c r="I2115" s="190"/>
      <c r="J2115" s="191"/>
      <c r="K2115" s="192"/>
      <c r="L2115" s="55"/>
      <c r="M2115" s="55"/>
      <c r="N2115" s="55"/>
    </row>
    <row r="2116" spans="1:14" x14ac:dyDescent="0.2">
      <c r="A2116" s="145"/>
      <c r="B2116" s="146"/>
      <c r="C2116" s="147"/>
      <c r="D2116" s="147"/>
      <c r="E2116" s="147"/>
      <c r="F2116" s="147"/>
      <c r="G2116" s="147"/>
      <c r="H2116" s="147"/>
      <c r="I2116" s="147"/>
      <c r="J2116" s="148"/>
      <c r="K2116" s="132"/>
      <c r="L2116" s="133"/>
    </row>
    <row r="2117" spans="1:14" x14ac:dyDescent="0.2">
      <c r="A2117" s="158"/>
      <c r="B2117" s="188"/>
      <c r="C2117" s="189"/>
      <c r="D2117" s="165"/>
      <c r="E2117" s="165"/>
      <c r="F2117" s="165"/>
      <c r="G2117" s="165"/>
      <c r="H2117" s="165"/>
      <c r="I2117" s="190"/>
      <c r="J2117" s="191"/>
      <c r="K2117" s="630"/>
      <c r="L2117" s="631"/>
      <c r="M2117" s="631"/>
      <c r="N2117" s="631"/>
    </row>
    <row r="2118" spans="1:14" x14ac:dyDescent="0.2">
      <c r="A2118" s="158"/>
      <c r="B2118" s="188"/>
      <c r="C2118" s="189"/>
      <c r="D2118" s="165"/>
      <c r="E2118" s="165"/>
      <c r="F2118" s="165"/>
      <c r="G2118" s="165"/>
      <c r="H2118" s="165"/>
      <c r="I2118" s="190"/>
      <c r="J2118" s="191"/>
      <c r="K2118" s="630"/>
      <c r="L2118" s="631"/>
      <c r="M2118" s="631"/>
      <c r="N2118" s="631"/>
    </row>
    <row r="2119" spans="1:14" x14ac:dyDescent="0.2">
      <c r="A2119" s="145"/>
      <c r="B2119" s="146"/>
      <c r="C2119" s="147"/>
      <c r="D2119" s="147"/>
      <c r="E2119" s="147"/>
      <c r="F2119" s="147"/>
      <c r="G2119" s="147"/>
      <c r="H2119" s="147"/>
      <c r="I2119" s="147"/>
      <c r="J2119" s="148"/>
      <c r="K2119" s="132"/>
      <c r="L2119" s="133"/>
    </row>
    <row r="2120" spans="1:14" x14ac:dyDescent="0.2">
      <c r="A2120" s="145"/>
      <c r="B2120" s="146"/>
      <c r="C2120" s="147"/>
      <c r="D2120" s="147"/>
      <c r="E2120" s="147"/>
      <c r="F2120" s="147"/>
      <c r="G2120" s="147"/>
      <c r="H2120" s="147"/>
      <c r="I2120" s="147"/>
      <c r="J2120" s="148"/>
      <c r="K2120" s="132"/>
      <c r="L2120" s="133"/>
    </row>
    <row r="2121" spans="1:14" x14ac:dyDescent="0.2">
      <c r="A2121" s="145"/>
      <c r="B2121" s="146"/>
      <c r="C2121" s="147"/>
      <c r="D2121" s="147"/>
      <c r="E2121" s="147"/>
      <c r="F2121" s="147"/>
      <c r="G2121" s="147"/>
      <c r="H2121" s="147"/>
      <c r="I2121" s="147"/>
      <c r="J2121" s="148"/>
      <c r="K2121" s="132"/>
      <c r="L2121" s="133"/>
    </row>
    <row r="2122" spans="1:14" x14ac:dyDescent="0.2">
      <c r="A2122" s="145"/>
      <c r="B2122" s="146"/>
      <c r="C2122" s="147"/>
      <c r="D2122" s="147"/>
      <c r="E2122" s="147"/>
      <c r="F2122" s="147"/>
      <c r="G2122" s="147"/>
      <c r="H2122" s="147"/>
      <c r="I2122" s="147"/>
      <c r="J2122" s="148"/>
      <c r="K2122" s="132"/>
      <c r="L2122" s="133"/>
    </row>
    <row r="2123" spans="1:14" x14ac:dyDescent="0.2">
      <c r="A2123" s="145"/>
      <c r="B2123" s="146"/>
      <c r="C2123" s="147"/>
      <c r="D2123" s="147"/>
      <c r="E2123" s="147"/>
      <c r="F2123" s="147"/>
      <c r="G2123" s="147"/>
      <c r="H2123" s="147"/>
      <c r="I2123" s="147"/>
      <c r="J2123" s="148"/>
      <c r="K2123" s="132"/>
      <c r="L2123" s="133"/>
    </row>
    <row r="2124" spans="1:14" x14ac:dyDescent="0.2">
      <c r="A2124" s="145"/>
      <c r="B2124" s="146"/>
      <c r="C2124" s="147"/>
      <c r="D2124" s="147"/>
      <c r="E2124" s="147"/>
      <c r="F2124" s="147"/>
      <c r="G2124" s="147"/>
      <c r="H2124" s="147"/>
      <c r="I2124" s="147"/>
      <c r="J2124" s="148"/>
      <c r="K2124" s="132"/>
      <c r="L2124" s="133"/>
    </row>
    <row r="2125" spans="1:14" x14ac:dyDescent="0.2">
      <c r="A2125" s="145"/>
      <c r="B2125" s="146"/>
      <c r="C2125" s="147"/>
      <c r="D2125" s="147"/>
      <c r="E2125" s="147"/>
      <c r="F2125" s="147"/>
      <c r="G2125" s="147"/>
      <c r="H2125" s="147"/>
      <c r="I2125" s="147"/>
      <c r="J2125" s="148"/>
      <c r="K2125" s="132"/>
      <c r="L2125" s="133"/>
    </row>
    <row r="2126" spans="1:14" x14ac:dyDescent="0.2">
      <c r="A2126" s="145"/>
      <c r="B2126" s="146"/>
      <c r="C2126" s="147"/>
      <c r="D2126" s="147"/>
      <c r="E2126" s="147"/>
      <c r="F2126" s="147"/>
      <c r="G2126" s="147"/>
      <c r="H2126" s="147"/>
      <c r="I2126" s="147"/>
      <c r="J2126" s="148"/>
      <c r="K2126" s="132"/>
      <c r="L2126" s="133"/>
    </row>
    <row r="2127" spans="1:14" x14ac:dyDescent="0.2">
      <c r="A2127" s="145"/>
      <c r="B2127" s="146"/>
      <c r="C2127" s="147"/>
      <c r="D2127" s="147"/>
      <c r="E2127" s="147"/>
      <c r="F2127" s="147"/>
      <c r="G2127" s="147"/>
      <c r="H2127" s="147"/>
      <c r="I2127" s="147"/>
      <c r="J2127" s="148"/>
      <c r="K2127" s="132"/>
      <c r="L2127" s="133"/>
    </row>
    <row r="2128" spans="1:14" x14ac:dyDescent="0.2">
      <c r="A2128" s="145"/>
      <c r="B2128" s="146"/>
      <c r="C2128" s="147"/>
      <c r="D2128" s="147"/>
      <c r="E2128" s="147"/>
      <c r="F2128" s="147"/>
      <c r="G2128" s="147"/>
      <c r="H2128" s="147"/>
      <c r="I2128" s="147"/>
      <c r="J2128" s="148"/>
      <c r="K2128" s="132"/>
      <c r="L2128" s="133"/>
    </row>
    <row r="2129" spans="1:12" x14ac:dyDescent="0.2">
      <c r="A2129" s="145"/>
      <c r="B2129" s="146"/>
      <c r="C2129" s="147"/>
      <c r="D2129" s="147"/>
      <c r="E2129" s="147"/>
      <c r="F2129" s="147"/>
      <c r="G2129" s="147"/>
      <c r="H2129" s="147"/>
      <c r="I2129" s="147"/>
      <c r="J2129" s="148"/>
      <c r="K2129" s="132"/>
      <c r="L2129" s="133"/>
    </row>
    <row r="2130" spans="1:12" x14ac:dyDescent="0.2">
      <c r="A2130" s="145"/>
      <c r="B2130" s="146"/>
      <c r="C2130" s="147"/>
      <c r="D2130" s="147"/>
      <c r="E2130" s="147"/>
      <c r="F2130" s="147"/>
      <c r="G2130" s="147"/>
      <c r="H2130" s="147"/>
      <c r="I2130" s="147"/>
      <c r="J2130" s="148"/>
      <c r="K2130" s="132"/>
      <c r="L2130" s="133"/>
    </row>
    <row r="2131" spans="1:12" x14ac:dyDescent="0.2">
      <c r="A2131" s="145"/>
      <c r="B2131" s="146"/>
      <c r="C2131" s="147"/>
      <c r="D2131" s="147"/>
      <c r="E2131" s="147"/>
      <c r="F2131" s="147"/>
      <c r="G2131" s="147"/>
      <c r="H2131" s="147"/>
      <c r="I2131" s="147"/>
      <c r="J2131" s="148"/>
      <c r="K2131" s="132"/>
      <c r="L2131" s="133"/>
    </row>
    <row r="2132" spans="1:12" ht="13.5" thickBot="1" x14ac:dyDescent="0.25">
      <c r="A2132" s="149"/>
      <c r="B2132" s="150"/>
      <c r="C2132" s="151"/>
      <c r="D2132" s="151"/>
      <c r="E2132" s="151"/>
      <c r="F2132" s="151"/>
      <c r="G2132" s="151"/>
      <c r="H2132" s="151"/>
      <c r="I2132" s="151"/>
      <c r="J2132" s="152"/>
      <c r="K2132" s="132"/>
      <c r="L2132" s="133"/>
    </row>
    <row r="2133" spans="1:12" ht="13.5" thickBot="1" x14ac:dyDescent="0.25">
      <c r="A2133" s="153"/>
      <c r="B2133" s="153"/>
      <c r="C2133" s="154"/>
      <c r="D2133" s="154"/>
      <c r="E2133" s="154"/>
      <c r="F2133" s="154"/>
      <c r="G2133" s="154"/>
      <c r="H2133" s="154"/>
      <c r="I2133" s="154"/>
      <c r="J2133" s="153"/>
      <c r="K2133" s="132"/>
      <c r="L2133" s="133"/>
    </row>
    <row r="2134" spans="1:12" ht="13.5" thickBot="1" x14ac:dyDescent="0.25">
      <c r="A2134" s="614" t="s">
        <v>62</v>
      </c>
      <c r="B2134" s="648"/>
      <c r="C2134" s="648"/>
      <c r="D2134" s="648"/>
      <c r="E2134" s="648"/>
      <c r="F2134" s="648"/>
      <c r="G2134" s="648"/>
      <c r="H2134" s="648"/>
      <c r="I2134" s="648"/>
      <c r="J2134" s="649"/>
      <c r="K2134" s="132"/>
      <c r="L2134" s="133"/>
    </row>
    <row r="2135" spans="1:12" x14ac:dyDescent="0.2">
      <c r="A2135" s="136"/>
      <c r="B2135" s="155"/>
      <c r="C2135" s="156"/>
      <c r="D2135" s="156"/>
      <c r="E2135" s="156"/>
      <c r="F2135" s="156"/>
      <c r="G2135" s="156"/>
      <c r="H2135" s="156"/>
      <c r="I2135" s="156"/>
      <c r="J2135" s="157"/>
      <c r="K2135" s="132"/>
      <c r="L2135" s="133"/>
    </row>
    <row r="2136" spans="1:12" ht="12.75" customHeight="1" x14ac:dyDescent="0.2">
      <c r="A2136" s="158" t="s">
        <v>63</v>
      </c>
      <c r="B2136" s="55"/>
      <c r="C2136" s="596" t="s">
        <v>543</v>
      </c>
      <c r="D2136" s="596"/>
      <c r="E2136" s="596"/>
      <c r="F2136" s="596"/>
      <c r="G2136" s="596"/>
      <c r="H2136" s="596"/>
      <c r="I2136" s="596"/>
      <c r="J2136" s="597"/>
      <c r="K2136" s="132"/>
      <c r="L2136" s="133"/>
    </row>
    <row r="2137" spans="1:12" x14ac:dyDescent="0.2">
      <c r="A2137" s="158"/>
      <c r="B2137" s="55"/>
      <c r="C2137" s="596"/>
      <c r="D2137" s="596"/>
      <c r="E2137" s="596"/>
      <c r="F2137" s="596"/>
      <c r="G2137" s="596"/>
      <c r="H2137" s="596"/>
      <c r="I2137" s="596"/>
      <c r="J2137" s="597"/>
      <c r="K2137" s="132"/>
      <c r="L2137" s="133"/>
    </row>
    <row r="2138" spans="1:12" x14ac:dyDescent="0.2">
      <c r="A2138" s="158"/>
      <c r="B2138" s="55"/>
      <c r="C2138" s="596"/>
      <c r="D2138" s="596"/>
      <c r="E2138" s="596"/>
      <c r="F2138" s="596"/>
      <c r="G2138" s="596"/>
      <c r="H2138" s="596"/>
      <c r="I2138" s="596"/>
      <c r="J2138" s="597"/>
      <c r="K2138" s="132"/>
      <c r="L2138" s="133"/>
    </row>
    <row r="2139" spans="1:12" x14ac:dyDescent="0.2">
      <c r="A2139" s="158"/>
      <c r="B2139" s="55"/>
      <c r="C2139" s="178"/>
      <c r="D2139" s="178"/>
      <c r="E2139" s="178"/>
      <c r="F2139" s="178"/>
      <c r="G2139" s="178"/>
      <c r="H2139" s="178"/>
      <c r="I2139" s="178"/>
      <c r="J2139" s="179"/>
      <c r="K2139" s="132"/>
      <c r="L2139" s="133"/>
    </row>
    <row r="2140" spans="1:12" x14ac:dyDescent="0.2">
      <c r="A2140" s="598" t="s">
        <v>64</v>
      </c>
      <c r="B2140" s="599"/>
      <c r="C2140" s="600" t="s">
        <v>542</v>
      </c>
      <c r="D2140" s="600"/>
      <c r="E2140" s="600"/>
      <c r="F2140" s="600"/>
      <c r="G2140" s="600"/>
      <c r="H2140" s="600"/>
      <c r="I2140" s="600"/>
      <c r="J2140" s="601"/>
      <c r="K2140" s="132"/>
      <c r="L2140" s="133"/>
    </row>
    <row r="2141" spans="1:12" x14ac:dyDescent="0.2">
      <c r="A2141" s="158"/>
      <c r="B2141" s="55"/>
      <c r="C2141" s="175"/>
      <c r="D2141" s="175"/>
      <c r="E2141" s="175"/>
      <c r="F2141" s="175"/>
      <c r="G2141" s="175"/>
      <c r="H2141" s="175"/>
      <c r="I2141" s="175"/>
      <c r="J2141" s="176"/>
      <c r="K2141" s="132"/>
      <c r="L2141" s="133"/>
    </row>
    <row r="2142" spans="1:12" x14ac:dyDescent="0.2">
      <c r="A2142" s="158"/>
      <c r="B2142" s="55"/>
      <c r="C2142" s="175"/>
      <c r="D2142" s="175"/>
      <c r="E2142" s="175"/>
      <c r="F2142" s="175"/>
      <c r="G2142" s="175"/>
      <c r="H2142" s="175"/>
      <c r="I2142" s="175"/>
      <c r="J2142" s="176"/>
      <c r="K2142" s="132"/>
      <c r="L2142" s="133"/>
    </row>
    <row r="2143" spans="1:12" x14ac:dyDescent="0.2">
      <c r="A2143" s="158"/>
      <c r="B2143" s="55"/>
      <c r="C2143" s="175"/>
      <c r="D2143" s="175"/>
      <c r="E2143" s="175"/>
      <c r="F2143" s="175"/>
      <c r="G2143" s="175"/>
      <c r="H2143" s="175"/>
      <c r="I2143" s="175"/>
      <c r="J2143" s="176"/>
      <c r="K2143" s="132"/>
      <c r="L2143" s="133"/>
    </row>
    <row r="2144" spans="1:12" x14ac:dyDescent="0.2">
      <c r="A2144" s="158"/>
      <c r="B2144" s="55"/>
      <c r="C2144" s="175"/>
      <c r="D2144" s="175"/>
      <c r="E2144" s="175"/>
      <c r="F2144" s="175"/>
      <c r="G2144" s="175"/>
      <c r="H2144" s="175"/>
      <c r="I2144" s="175"/>
      <c r="J2144" s="176"/>
      <c r="K2144" s="132"/>
      <c r="L2144" s="133"/>
    </row>
    <row r="2145" spans="1:12" x14ac:dyDescent="0.2">
      <c r="A2145" s="158"/>
      <c r="B2145" s="55"/>
      <c r="C2145" s="175"/>
      <c r="D2145" s="175"/>
      <c r="E2145" s="175"/>
      <c r="F2145" s="175"/>
      <c r="G2145" s="175"/>
      <c r="H2145" s="175"/>
      <c r="I2145" s="175"/>
      <c r="J2145" s="176"/>
      <c r="K2145" s="132"/>
      <c r="L2145" s="133"/>
    </row>
    <row r="2146" spans="1:12" x14ac:dyDescent="0.2">
      <c r="A2146" s="158"/>
      <c r="B2146" s="55"/>
      <c r="C2146" s="175"/>
      <c r="D2146" s="175"/>
      <c r="E2146" s="175"/>
      <c r="F2146" s="175"/>
      <c r="G2146" s="175"/>
      <c r="H2146" s="175"/>
      <c r="I2146" s="175"/>
      <c r="J2146" s="176"/>
      <c r="K2146" s="132"/>
      <c r="L2146" s="133"/>
    </row>
    <row r="2147" spans="1:12" x14ac:dyDescent="0.2">
      <c r="A2147" s="158"/>
      <c r="B2147" s="55"/>
      <c r="C2147" s="71"/>
      <c r="D2147" s="71"/>
      <c r="E2147" s="71"/>
      <c r="F2147" s="71"/>
      <c r="G2147" s="71"/>
      <c r="H2147" s="71"/>
      <c r="I2147" s="71"/>
      <c r="J2147" s="174"/>
      <c r="K2147" s="132"/>
      <c r="L2147" s="133"/>
    </row>
    <row r="2148" spans="1:12" x14ac:dyDescent="0.2">
      <c r="A2148" s="158"/>
      <c r="B2148" s="55"/>
      <c r="C2148" s="71"/>
      <c r="D2148" s="71"/>
      <c r="E2148" s="71"/>
      <c r="F2148" s="71"/>
      <c r="G2148" s="71"/>
      <c r="H2148" s="71"/>
      <c r="I2148" s="71"/>
      <c r="J2148" s="174"/>
      <c r="K2148" s="132"/>
      <c r="L2148" s="133"/>
    </row>
    <row r="2149" spans="1:12" x14ac:dyDescent="0.2">
      <c r="A2149" s="158"/>
      <c r="B2149" s="55"/>
      <c r="C2149" s="71"/>
      <c r="D2149" s="71"/>
      <c r="E2149" s="71"/>
      <c r="F2149" s="71"/>
      <c r="G2149" s="71"/>
      <c r="H2149" s="71"/>
      <c r="I2149" s="71"/>
      <c r="J2149" s="174"/>
      <c r="K2149" s="132"/>
      <c r="L2149" s="133"/>
    </row>
    <row r="2150" spans="1:12" x14ac:dyDescent="0.2">
      <c r="A2150" s="158"/>
      <c r="B2150" s="55"/>
      <c r="C2150" s="71"/>
      <c r="D2150" s="71"/>
      <c r="E2150" s="71"/>
      <c r="F2150" s="71"/>
      <c r="G2150" s="71"/>
      <c r="H2150" s="71"/>
      <c r="I2150" s="71"/>
      <c r="J2150" s="174"/>
      <c r="K2150" s="132"/>
      <c r="L2150" s="133"/>
    </row>
    <row r="2151" spans="1:12" x14ac:dyDescent="0.2">
      <c r="A2151" s="158"/>
      <c r="B2151" s="55"/>
      <c r="C2151" s="71"/>
      <c r="D2151" s="71"/>
      <c r="E2151" s="71"/>
      <c r="F2151" s="71"/>
      <c r="G2151" s="71"/>
      <c r="H2151" s="71"/>
      <c r="I2151" s="71"/>
      <c r="J2151" s="174"/>
      <c r="K2151" s="132"/>
      <c r="L2151" s="133"/>
    </row>
    <row r="2152" spans="1:12" x14ac:dyDescent="0.2">
      <c r="A2152" s="158"/>
      <c r="B2152" s="55"/>
      <c r="C2152" s="71"/>
      <c r="D2152" s="71"/>
      <c r="E2152" s="71"/>
      <c r="F2152" s="71"/>
      <c r="G2152" s="71"/>
      <c r="H2152" s="71"/>
      <c r="I2152" s="71"/>
      <c r="J2152" s="174"/>
      <c r="K2152" s="132"/>
      <c r="L2152" s="133"/>
    </row>
    <row r="2153" spans="1:12" x14ac:dyDescent="0.2">
      <c r="A2153" s="158"/>
      <c r="B2153" s="55"/>
      <c r="C2153" s="71"/>
      <c r="D2153" s="71"/>
      <c r="E2153" s="71"/>
      <c r="F2153" s="71"/>
      <c r="G2153" s="71"/>
      <c r="H2153" s="71"/>
      <c r="I2153" s="71"/>
      <c r="J2153" s="174"/>
      <c r="K2153" s="132"/>
      <c r="L2153" s="133"/>
    </row>
    <row r="2154" spans="1:12" x14ac:dyDescent="0.2">
      <c r="A2154" s="158"/>
      <c r="B2154" s="55"/>
      <c r="C2154" s="71"/>
      <c r="D2154" s="71"/>
      <c r="E2154" s="71"/>
      <c r="F2154" s="71"/>
      <c r="G2154" s="71"/>
      <c r="H2154" s="71"/>
      <c r="I2154" s="71"/>
      <c r="J2154" s="174"/>
      <c r="K2154" s="132"/>
      <c r="L2154" s="133"/>
    </row>
    <row r="2155" spans="1:12" x14ac:dyDescent="0.2">
      <c r="A2155" s="158"/>
      <c r="B2155" s="55"/>
      <c r="C2155" s="71"/>
      <c r="D2155" s="71"/>
      <c r="E2155" s="71"/>
      <c r="F2155" s="71"/>
      <c r="G2155" s="71"/>
      <c r="H2155" s="71"/>
      <c r="I2155" s="71"/>
      <c r="J2155" s="174"/>
      <c r="K2155" s="132"/>
      <c r="L2155" s="133"/>
    </row>
    <row r="2156" spans="1:12" x14ac:dyDescent="0.2">
      <c r="A2156" s="158"/>
      <c r="B2156" s="55"/>
      <c r="C2156" s="71"/>
      <c r="D2156" s="71"/>
      <c r="E2156" s="71"/>
      <c r="F2156" s="71"/>
      <c r="G2156" s="71"/>
      <c r="H2156" s="71"/>
      <c r="I2156" s="71"/>
      <c r="J2156" s="174"/>
      <c r="K2156" s="132"/>
      <c r="L2156" s="133"/>
    </row>
    <row r="2157" spans="1:12" x14ac:dyDescent="0.2">
      <c r="A2157" s="158"/>
      <c r="B2157" s="55"/>
      <c r="C2157" s="175"/>
      <c r="D2157" s="175"/>
      <c r="E2157" s="172"/>
      <c r="F2157" s="172"/>
      <c r="G2157" s="172"/>
      <c r="H2157" s="172"/>
      <c r="I2157" s="172"/>
      <c r="J2157" s="173"/>
      <c r="K2157" s="132"/>
      <c r="L2157" s="133"/>
    </row>
    <row r="2158" spans="1:12" ht="13.5" thickBot="1" x14ac:dyDescent="0.25">
      <c r="A2158" s="149"/>
      <c r="B2158" s="167"/>
      <c r="C2158" s="151"/>
      <c r="D2158" s="151"/>
      <c r="E2158" s="151"/>
      <c r="F2158" s="151"/>
      <c r="G2158" s="151"/>
      <c r="H2158" s="151"/>
      <c r="I2158" s="151"/>
      <c r="J2158" s="168"/>
      <c r="K2158" s="132"/>
      <c r="L2158" s="133"/>
    </row>
    <row r="2159" spans="1:12" ht="15.75" x14ac:dyDescent="0.2">
      <c r="A2159" s="602" t="s">
        <v>4</v>
      </c>
      <c r="B2159" s="603"/>
      <c r="C2159" s="603" t="str">
        <f>'A IV.A'!$B$43</f>
        <v>FECHAMENTOS, PROTEÇÕES E ALVENARIAS EM GERAL</v>
      </c>
      <c r="D2159" s="603"/>
      <c r="E2159" s="603"/>
      <c r="F2159" s="603"/>
      <c r="G2159" s="603"/>
      <c r="H2159" s="603"/>
      <c r="I2159" s="603"/>
      <c r="J2159" s="604"/>
      <c r="K2159" s="132"/>
      <c r="L2159" s="133"/>
    </row>
    <row r="2160" spans="1:12" x14ac:dyDescent="0.2">
      <c r="A2160" s="609" t="str">
        <f>'A IV.A'!$A$43</f>
        <v>3.0</v>
      </c>
      <c r="B2160" s="610"/>
      <c r="C2160" s="605"/>
      <c r="D2160" s="605"/>
      <c r="E2160" s="605"/>
      <c r="F2160" s="605"/>
      <c r="G2160" s="605"/>
      <c r="H2160" s="605"/>
      <c r="I2160" s="605"/>
      <c r="J2160" s="606"/>
      <c r="K2160" s="132"/>
      <c r="L2160" s="133"/>
    </row>
    <row r="2161" spans="1:14" ht="13.5" thickBot="1" x14ac:dyDescent="0.25">
      <c r="A2161" s="611"/>
      <c r="B2161" s="612"/>
      <c r="C2161" s="607"/>
      <c r="D2161" s="607"/>
      <c r="E2161" s="607"/>
      <c r="F2161" s="607"/>
      <c r="G2161" s="607"/>
      <c r="H2161" s="607"/>
      <c r="I2161" s="607"/>
      <c r="J2161" s="608"/>
      <c r="K2161" s="132"/>
      <c r="L2161" s="133"/>
    </row>
    <row r="2162" spans="1:14" ht="13.5" thickBot="1" x14ac:dyDescent="0.25">
      <c r="A2162" s="169"/>
      <c r="B2162" s="169"/>
      <c r="C2162" s="613"/>
      <c r="D2162" s="613"/>
      <c r="E2162" s="613"/>
      <c r="F2162" s="613"/>
      <c r="G2162" s="613"/>
      <c r="H2162" s="613"/>
      <c r="I2162" s="613"/>
      <c r="J2162" s="169"/>
      <c r="K2162" s="132"/>
      <c r="L2162" s="133"/>
    </row>
    <row r="2163" spans="1:14" ht="13.5" thickBot="1" x14ac:dyDescent="0.25">
      <c r="A2163" s="614" t="s">
        <v>60</v>
      </c>
      <c r="B2163" s="615"/>
      <c r="C2163" s="616" t="s">
        <v>61</v>
      </c>
      <c r="D2163" s="617"/>
      <c r="E2163" s="617"/>
      <c r="F2163" s="617"/>
      <c r="G2163" s="617"/>
      <c r="H2163" s="617"/>
      <c r="I2163" s="618"/>
      <c r="J2163" s="260" t="s">
        <v>0</v>
      </c>
      <c r="K2163" s="132"/>
      <c r="L2163" s="133"/>
    </row>
    <row r="2164" spans="1:14" x14ac:dyDescent="0.2">
      <c r="A2164" s="136"/>
      <c r="B2164" s="137"/>
      <c r="C2164" s="619"/>
      <c r="D2164" s="620"/>
      <c r="E2164" s="621"/>
      <c r="F2164" s="621"/>
      <c r="G2164" s="621"/>
      <c r="H2164" s="621"/>
      <c r="I2164" s="622"/>
      <c r="J2164" s="138"/>
      <c r="K2164" s="132"/>
      <c r="L2164" s="133"/>
    </row>
    <row r="2165" spans="1:14" x14ac:dyDescent="0.2">
      <c r="A2165" s="623" t="str">
        <f>'A IV.A'!$A$73</f>
        <v>3.4.2</v>
      </c>
      <c r="B2165" s="624"/>
      <c r="C2165" s="626" t="str">
        <f>'A IV.A'!$B$73</f>
        <v xml:space="preserve">REATERRO MANUAL COM COMPACTAÇÃO MECANIZADA DE SOLO, SEM CONTROLE TECNOLÓGICO </v>
      </c>
      <c r="D2165" s="627"/>
      <c r="E2165" s="627"/>
      <c r="F2165" s="627"/>
      <c r="G2165" s="627"/>
      <c r="H2165" s="627"/>
      <c r="I2165" s="628"/>
      <c r="J2165" s="629" t="str">
        <f>'A IV.A'!$C$73</f>
        <v>M3</v>
      </c>
      <c r="K2165" s="630" t="str">
        <f>VLOOKUP(A2165,'A IV.A'!$A$14:$M$233,2,FALSE)</f>
        <v xml:space="preserve">REATERRO MANUAL COM COMPACTAÇÃO MECANIZADA DE SOLO, SEM CONTROLE TECNOLÓGICO </v>
      </c>
      <c r="L2165" s="631" t="str">
        <f>IF(C2165=K2165,"sim","nao")</f>
        <v>sim</v>
      </c>
      <c r="M2165" s="631" t="str">
        <f>VLOOKUP(A2165,'A IV.A'!$A$14:$M$233,3,FALSE)</f>
        <v>M3</v>
      </c>
      <c r="N2165" s="631" t="str">
        <f>IF(J2165=M2165,"sim","nao")</f>
        <v>sim</v>
      </c>
    </row>
    <row r="2166" spans="1:14" x14ac:dyDescent="0.2">
      <c r="A2166" s="625"/>
      <c r="B2166" s="624"/>
      <c r="C2166" s="626"/>
      <c r="D2166" s="627"/>
      <c r="E2166" s="627"/>
      <c r="F2166" s="627"/>
      <c r="G2166" s="627"/>
      <c r="H2166" s="627"/>
      <c r="I2166" s="628"/>
      <c r="J2166" s="629"/>
      <c r="K2166" s="630"/>
      <c r="L2166" s="631"/>
      <c r="M2166" s="631"/>
      <c r="N2166" s="631"/>
    </row>
    <row r="2167" spans="1:14" x14ac:dyDescent="0.2">
      <c r="A2167" s="139"/>
      <c r="B2167" s="140"/>
      <c r="C2167" s="141"/>
      <c r="D2167" s="142"/>
      <c r="E2167" s="142"/>
      <c r="F2167" s="142"/>
      <c r="G2167" s="142"/>
      <c r="H2167" s="142"/>
      <c r="I2167" s="143"/>
      <c r="J2167" s="144"/>
      <c r="K2167" s="132"/>
      <c r="L2167" s="133"/>
    </row>
    <row r="2168" spans="1:14" x14ac:dyDescent="0.2">
      <c r="A2168" s="158"/>
      <c r="B2168" s="188"/>
      <c r="C2168" s="189"/>
      <c r="D2168" s="165"/>
      <c r="E2168" s="165"/>
      <c r="F2168" s="165"/>
      <c r="G2168" s="165"/>
      <c r="H2168" s="165"/>
      <c r="I2168" s="190"/>
      <c r="J2168" s="191"/>
      <c r="K2168" s="192"/>
      <c r="L2168" s="55"/>
      <c r="M2168" s="55"/>
      <c r="N2168" s="55"/>
    </row>
    <row r="2169" spans="1:14" x14ac:dyDescent="0.2">
      <c r="A2169" s="158"/>
      <c r="B2169" s="188"/>
      <c r="C2169" s="189"/>
      <c r="D2169" s="165"/>
      <c r="E2169" s="165"/>
      <c r="F2169" s="165"/>
      <c r="G2169" s="165"/>
      <c r="H2169" s="165"/>
      <c r="I2169" s="190"/>
      <c r="J2169" s="191"/>
      <c r="K2169" s="192"/>
      <c r="L2169" s="55"/>
      <c r="M2169" s="55"/>
      <c r="N2169" s="55"/>
    </row>
    <row r="2170" spans="1:14" x14ac:dyDescent="0.2">
      <c r="A2170" s="145"/>
      <c r="B2170" s="146"/>
      <c r="C2170" s="147"/>
      <c r="D2170" s="147"/>
      <c r="E2170" s="147"/>
      <c r="F2170" s="147"/>
      <c r="G2170" s="147"/>
      <c r="H2170" s="147"/>
      <c r="I2170" s="147"/>
      <c r="J2170" s="148"/>
      <c r="K2170" s="132"/>
      <c r="L2170" s="133"/>
    </row>
    <row r="2171" spans="1:14" x14ac:dyDescent="0.2">
      <c r="A2171" s="158"/>
      <c r="B2171" s="188"/>
      <c r="C2171" s="189"/>
      <c r="D2171" s="165"/>
      <c r="E2171" s="165"/>
      <c r="F2171" s="165"/>
      <c r="G2171" s="165"/>
      <c r="H2171" s="165"/>
      <c r="I2171" s="190"/>
      <c r="J2171" s="191"/>
      <c r="K2171" s="630"/>
      <c r="L2171" s="631"/>
      <c r="M2171" s="631"/>
      <c r="N2171" s="631"/>
    </row>
    <row r="2172" spans="1:14" x14ac:dyDescent="0.2">
      <c r="A2172" s="158"/>
      <c r="B2172" s="188"/>
      <c r="C2172" s="189"/>
      <c r="D2172" s="165"/>
      <c r="E2172" s="165"/>
      <c r="F2172" s="165"/>
      <c r="G2172" s="165"/>
      <c r="H2172" s="165"/>
      <c r="I2172" s="190"/>
      <c r="J2172" s="191"/>
      <c r="K2172" s="630"/>
      <c r="L2172" s="631"/>
      <c r="M2172" s="631"/>
      <c r="N2172" s="631"/>
    </row>
    <row r="2173" spans="1:14" x14ac:dyDescent="0.2">
      <c r="A2173" s="145"/>
      <c r="B2173" s="146"/>
      <c r="C2173" s="147"/>
      <c r="D2173" s="147"/>
      <c r="E2173" s="147"/>
      <c r="F2173" s="147"/>
      <c r="G2173" s="147"/>
      <c r="H2173" s="147"/>
      <c r="I2173" s="147"/>
      <c r="J2173" s="148"/>
      <c r="K2173" s="132"/>
      <c r="L2173" s="133"/>
    </row>
    <row r="2174" spans="1:14" x14ac:dyDescent="0.2">
      <c r="A2174" s="145"/>
      <c r="B2174" s="146"/>
      <c r="C2174" s="147"/>
      <c r="D2174" s="147"/>
      <c r="E2174" s="147"/>
      <c r="F2174" s="147"/>
      <c r="G2174" s="147"/>
      <c r="H2174" s="147"/>
      <c r="I2174" s="147"/>
      <c r="J2174" s="148"/>
      <c r="K2174" s="132"/>
      <c r="L2174" s="133"/>
    </row>
    <row r="2175" spans="1:14" x14ac:dyDescent="0.2">
      <c r="A2175" s="145"/>
      <c r="B2175" s="146"/>
      <c r="C2175" s="147"/>
      <c r="D2175" s="147"/>
      <c r="E2175" s="147"/>
      <c r="F2175" s="147"/>
      <c r="G2175" s="147"/>
      <c r="H2175" s="147"/>
      <c r="I2175" s="147"/>
      <c r="J2175" s="148"/>
      <c r="K2175" s="132"/>
      <c r="L2175" s="133"/>
    </row>
    <row r="2176" spans="1:14" x14ac:dyDescent="0.2">
      <c r="A2176" s="145"/>
      <c r="B2176" s="146"/>
      <c r="C2176" s="147"/>
      <c r="D2176" s="147"/>
      <c r="E2176" s="147"/>
      <c r="F2176" s="147"/>
      <c r="G2176" s="147"/>
      <c r="H2176" s="147"/>
      <c r="I2176" s="147"/>
      <c r="J2176" s="148"/>
      <c r="K2176" s="132"/>
      <c r="L2176" s="133"/>
    </row>
    <row r="2177" spans="1:18" x14ac:dyDescent="0.2">
      <c r="A2177" s="145"/>
      <c r="B2177" s="146"/>
      <c r="C2177" s="147"/>
      <c r="D2177" s="147"/>
      <c r="E2177" s="147"/>
      <c r="F2177" s="147"/>
      <c r="G2177" s="147"/>
      <c r="H2177" s="147"/>
      <c r="I2177" s="147"/>
      <c r="J2177" s="148"/>
      <c r="K2177" s="132"/>
      <c r="L2177" s="133"/>
    </row>
    <row r="2178" spans="1:18" x14ac:dyDescent="0.2">
      <c r="A2178" s="145"/>
      <c r="B2178" s="146"/>
      <c r="C2178" s="147"/>
      <c r="D2178" s="147"/>
      <c r="E2178" s="147"/>
      <c r="F2178" s="147"/>
      <c r="G2178" s="147"/>
      <c r="H2178" s="147"/>
      <c r="I2178" s="147"/>
      <c r="J2178" s="148"/>
      <c r="K2178" s="132"/>
      <c r="L2178" s="133"/>
    </row>
    <row r="2179" spans="1:18" x14ac:dyDescent="0.2">
      <c r="A2179" s="145"/>
      <c r="B2179" s="146"/>
      <c r="C2179" s="147"/>
      <c r="D2179" s="147"/>
      <c r="E2179" s="147"/>
      <c r="F2179" s="147"/>
      <c r="G2179" s="147"/>
      <c r="H2179" s="147"/>
      <c r="I2179" s="147"/>
      <c r="J2179" s="148"/>
      <c r="K2179" s="132"/>
      <c r="L2179" s="133"/>
    </row>
    <row r="2180" spans="1:18" x14ac:dyDescent="0.2">
      <c r="A2180" s="145"/>
      <c r="B2180" s="146"/>
      <c r="C2180" s="147"/>
      <c r="D2180" s="147"/>
      <c r="E2180" s="147"/>
      <c r="F2180" s="147"/>
      <c r="G2180" s="147"/>
      <c r="H2180" s="147"/>
      <c r="I2180" s="147"/>
      <c r="J2180" s="148"/>
      <c r="K2180" s="132"/>
      <c r="L2180" s="133"/>
    </row>
    <row r="2181" spans="1:18" x14ac:dyDescent="0.2">
      <c r="A2181" s="145"/>
      <c r="B2181" s="146"/>
      <c r="C2181" s="147"/>
      <c r="D2181" s="147"/>
      <c r="E2181" s="147"/>
      <c r="F2181" s="147"/>
      <c r="G2181" s="147"/>
      <c r="H2181" s="147"/>
      <c r="I2181" s="147"/>
      <c r="J2181" s="148"/>
      <c r="K2181" s="132"/>
      <c r="L2181" s="133"/>
    </row>
    <row r="2182" spans="1:18" x14ac:dyDescent="0.2">
      <c r="A2182" s="145"/>
      <c r="B2182" s="146"/>
      <c r="C2182" s="147"/>
      <c r="D2182" s="147"/>
      <c r="E2182" s="147"/>
      <c r="F2182" s="147"/>
      <c r="G2182" s="147"/>
      <c r="H2182" s="147"/>
      <c r="I2182" s="147"/>
      <c r="J2182" s="148"/>
      <c r="K2182" s="132"/>
      <c r="L2182" s="133"/>
    </row>
    <row r="2183" spans="1:18" x14ac:dyDescent="0.2">
      <c r="A2183" s="145"/>
      <c r="B2183" s="146"/>
      <c r="C2183" s="147"/>
      <c r="D2183" s="147"/>
      <c r="E2183" s="147"/>
      <c r="F2183" s="147"/>
      <c r="G2183" s="147"/>
      <c r="H2183" s="147"/>
      <c r="I2183" s="147"/>
      <c r="J2183" s="148"/>
      <c r="K2183" s="132"/>
      <c r="L2183" s="133"/>
    </row>
    <row r="2184" spans="1:18" x14ac:dyDescent="0.2">
      <c r="A2184" s="145"/>
      <c r="B2184" s="146"/>
      <c r="C2184" s="147"/>
      <c r="D2184" s="147"/>
      <c r="E2184" s="147"/>
      <c r="F2184" s="147"/>
      <c r="G2184" s="147"/>
      <c r="H2184" s="147"/>
      <c r="I2184" s="147"/>
      <c r="J2184" s="148"/>
      <c r="K2184" s="132"/>
      <c r="L2184" s="133"/>
    </row>
    <row r="2185" spans="1:18" x14ac:dyDescent="0.2">
      <c r="A2185" s="145"/>
      <c r="B2185" s="146"/>
      <c r="C2185" s="147"/>
      <c r="D2185" s="147"/>
      <c r="E2185" s="147"/>
      <c r="F2185" s="147"/>
      <c r="G2185" s="147"/>
      <c r="H2185" s="147"/>
      <c r="I2185" s="147"/>
      <c r="J2185" s="148"/>
      <c r="K2185" s="132"/>
      <c r="L2185" s="133"/>
    </row>
    <row r="2186" spans="1:18" ht="13.5" thickBot="1" x14ac:dyDescent="0.25">
      <c r="A2186" s="149"/>
      <c r="B2186" s="150"/>
      <c r="C2186" s="151"/>
      <c r="D2186" s="151"/>
      <c r="E2186" s="151"/>
      <c r="F2186" s="151"/>
      <c r="G2186" s="151"/>
      <c r="H2186" s="151"/>
      <c r="I2186" s="151"/>
      <c r="J2186" s="152"/>
      <c r="K2186" s="132"/>
      <c r="L2186" s="133"/>
    </row>
    <row r="2187" spans="1:18" ht="13.5" thickBot="1" x14ac:dyDescent="0.25">
      <c r="A2187" s="153"/>
      <c r="B2187" s="153"/>
      <c r="C2187" s="154"/>
      <c r="D2187" s="154"/>
      <c r="E2187" s="154"/>
      <c r="F2187" s="154"/>
      <c r="G2187" s="154"/>
      <c r="H2187" s="154"/>
      <c r="I2187" s="154"/>
      <c r="J2187" s="153"/>
      <c r="K2187" s="132"/>
      <c r="L2187" s="133"/>
    </row>
    <row r="2188" spans="1:18" ht="13.5" thickBot="1" x14ac:dyDescent="0.25">
      <c r="A2188" s="614" t="s">
        <v>62</v>
      </c>
      <c r="B2188" s="648"/>
      <c r="C2188" s="648"/>
      <c r="D2188" s="648"/>
      <c r="E2188" s="648"/>
      <c r="F2188" s="648"/>
      <c r="G2188" s="648"/>
      <c r="H2188" s="648"/>
      <c r="I2188" s="648"/>
      <c r="J2188" s="649"/>
      <c r="K2188" s="132"/>
      <c r="L2188" s="133"/>
    </row>
    <row r="2189" spans="1:18" x14ac:dyDescent="0.2">
      <c r="A2189" s="136"/>
      <c r="B2189" s="155"/>
      <c r="C2189" s="156"/>
      <c r="D2189" s="156"/>
      <c r="E2189" s="156"/>
      <c r="F2189" s="156"/>
      <c r="G2189" s="156"/>
      <c r="H2189" s="156"/>
      <c r="I2189" s="156"/>
      <c r="J2189" s="157"/>
      <c r="K2189" s="132"/>
      <c r="L2189" s="133"/>
    </row>
    <row r="2190" spans="1:18" ht="12.75" customHeight="1" x14ac:dyDescent="0.2">
      <c r="A2190" s="158" t="s">
        <v>63</v>
      </c>
      <c r="B2190" s="55"/>
      <c r="C2190" s="596" t="s">
        <v>163</v>
      </c>
      <c r="D2190" s="596"/>
      <c r="E2190" s="596"/>
      <c r="F2190" s="596"/>
      <c r="G2190" s="596"/>
      <c r="H2190" s="596"/>
      <c r="I2190" s="596"/>
      <c r="J2190" s="597"/>
      <c r="K2190" s="319"/>
      <c r="L2190" s="56"/>
      <c r="M2190" s="655" t="s">
        <v>882</v>
      </c>
      <c r="N2190" s="655"/>
      <c r="O2190" s="655"/>
      <c r="P2190" s="655"/>
      <c r="Q2190" s="655"/>
      <c r="R2190" s="655"/>
    </row>
    <row r="2191" spans="1:18" x14ac:dyDescent="0.2">
      <c r="A2191" s="158"/>
      <c r="B2191" s="55"/>
      <c r="C2191" s="596"/>
      <c r="D2191" s="596"/>
      <c r="E2191" s="596"/>
      <c r="F2191" s="596"/>
      <c r="G2191" s="596"/>
      <c r="H2191" s="596"/>
      <c r="I2191" s="596"/>
      <c r="J2191" s="597"/>
      <c r="K2191" s="56"/>
      <c r="L2191" s="56"/>
      <c r="M2191" s="655"/>
      <c r="N2191" s="655"/>
      <c r="O2191" s="655"/>
      <c r="P2191" s="655"/>
      <c r="Q2191" s="655"/>
      <c r="R2191" s="655"/>
    </row>
    <row r="2192" spans="1:18" x14ac:dyDescent="0.2">
      <c r="A2192" s="158"/>
      <c r="B2192" s="55"/>
      <c r="C2192" s="596"/>
      <c r="D2192" s="596"/>
      <c r="E2192" s="596"/>
      <c r="F2192" s="596"/>
      <c r="G2192" s="596"/>
      <c r="H2192" s="596"/>
      <c r="I2192" s="596"/>
      <c r="J2192" s="597"/>
      <c r="K2192" s="56"/>
      <c r="L2192" s="56"/>
      <c r="M2192" s="655"/>
      <c r="N2192" s="655"/>
      <c r="O2192" s="655"/>
      <c r="P2192" s="655"/>
      <c r="Q2192" s="655"/>
      <c r="R2192" s="655"/>
    </row>
    <row r="2193" spans="1:18" x14ac:dyDescent="0.2">
      <c r="A2193" s="158"/>
      <c r="B2193" s="55"/>
      <c r="C2193" s="596"/>
      <c r="D2193" s="596"/>
      <c r="E2193" s="596"/>
      <c r="F2193" s="596"/>
      <c r="G2193" s="596"/>
      <c r="H2193" s="596"/>
      <c r="I2193" s="596"/>
      <c r="J2193" s="597"/>
      <c r="K2193" s="56"/>
      <c r="L2193" s="56"/>
      <c r="M2193" s="655"/>
      <c r="N2193" s="655"/>
      <c r="O2193" s="655"/>
      <c r="P2193" s="655"/>
      <c r="Q2193" s="655"/>
      <c r="R2193" s="655"/>
    </row>
    <row r="2194" spans="1:18" x14ac:dyDescent="0.2">
      <c r="A2194" s="158"/>
      <c r="B2194" s="55"/>
      <c r="C2194" s="596"/>
      <c r="D2194" s="596"/>
      <c r="E2194" s="596"/>
      <c r="F2194" s="596"/>
      <c r="G2194" s="596"/>
      <c r="H2194" s="596"/>
      <c r="I2194" s="596"/>
      <c r="J2194" s="597"/>
      <c r="K2194" s="56"/>
      <c r="L2194" s="56"/>
      <c r="M2194" s="655"/>
      <c r="N2194" s="655"/>
      <c r="O2194" s="655"/>
      <c r="P2194" s="655"/>
      <c r="Q2194" s="655"/>
      <c r="R2194" s="655"/>
    </row>
    <row r="2195" spans="1:18" x14ac:dyDescent="0.2">
      <c r="A2195" s="158"/>
      <c r="B2195" s="55"/>
      <c r="C2195" s="596"/>
      <c r="D2195" s="596"/>
      <c r="E2195" s="596"/>
      <c r="F2195" s="596"/>
      <c r="G2195" s="596"/>
      <c r="H2195" s="596"/>
      <c r="I2195" s="596"/>
      <c r="J2195" s="597"/>
      <c r="K2195" s="56"/>
      <c r="L2195" s="56"/>
      <c r="M2195" s="655"/>
      <c r="N2195" s="655"/>
      <c r="O2195" s="655"/>
      <c r="P2195" s="655"/>
      <c r="Q2195" s="655"/>
      <c r="R2195" s="655"/>
    </row>
    <row r="2196" spans="1:18" x14ac:dyDescent="0.2">
      <c r="A2196" s="158"/>
      <c r="B2196" s="55"/>
      <c r="C2196" s="71"/>
      <c r="D2196" s="71"/>
      <c r="E2196" s="71"/>
      <c r="F2196" s="71"/>
      <c r="G2196" s="71"/>
      <c r="H2196" s="71"/>
      <c r="I2196" s="71"/>
      <c r="J2196" s="174"/>
      <c r="K2196" s="132"/>
      <c r="L2196" s="133"/>
      <c r="M2196" s="56"/>
      <c r="N2196" s="56"/>
      <c r="O2196" s="56"/>
    </row>
    <row r="2197" spans="1:18" x14ac:dyDescent="0.2">
      <c r="A2197" s="598" t="s">
        <v>64</v>
      </c>
      <c r="B2197" s="599"/>
      <c r="C2197" s="600" t="s">
        <v>544</v>
      </c>
      <c r="D2197" s="600"/>
      <c r="E2197" s="600"/>
      <c r="F2197" s="600"/>
      <c r="G2197" s="600"/>
      <c r="H2197" s="600"/>
      <c r="I2197" s="600"/>
      <c r="J2197" s="601"/>
      <c r="K2197" s="132"/>
      <c r="L2197" s="133"/>
      <c r="M2197" s="56"/>
      <c r="N2197" s="56"/>
      <c r="O2197" s="56"/>
    </row>
    <row r="2198" spans="1:18" x14ac:dyDescent="0.2">
      <c r="A2198" s="158"/>
      <c r="B2198" s="55"/>
      <c r="C2198" s="71"/>
      <c r="D2198" s="71"/>
      <c r="E2198" s="71"/>
      <c r="F2198" s="71"/>
      <c r="G2198" s="71"/>
      <c r="H2198" s="71"/>
      <c r="I2198" s="71"/>
      <c r="J2198" s="174"/>
      <c r="K2198" s="132"/>
      <c r="L2198" s="133"/>
      <c r="M2198" s="56"/>
      <c r="N2198" s="56"/>
      <c r="O2198" s="56"/>
    </row>
    <row r="2199" spans="1:18" x14ac:dyDescent="0.2">
      <c r="A2199" s="158"/>
      <c r="B2199" s="55"/>
      <c r="C2199" s="71"/>
      <c r="D2199" s="71"/>
      <c r="E2199" s="71"/>
      <c r="F2199" s="71"/>
      <c r="G2199" s="71"/>
      <c r="H2199" s="71"/>
      <c r="I2199" s="71"/>
      <c r="J2199" s="174"/>
      <c r="K2199" s="132"/>
      <c r="L2199" s="133"/>
    </row>
    <row r="2200" spans="1:18" x14ac:dyDescent="0.2">
      <c r="A2200" s="158"/>
      <c r="B2200" s="55"/>
      <c r="C2200" s="71"/>
      <c r="D2200" s="71"/>
      <c r="E2200" s="71"/>
      <c r="F2200" s="71"/>
      <c r="G2200" s="71"/>
      <c r="H2200" s="71"/>
      <c r="I2200" s="71"/>
      <c r="J2200" s="174"/>
      <c r="K2200" s="132"/>
      <c r="L2200" s="133"/>
    </row>
    <row r="2201" spans="1:18" x14ac:dyDescent="0.2">
      <c r="A2201" s="158"/>
      <c r="B2201" s="55"/>
      <c r="C2201" s="71"/>
      <c r="D2201" s="71"/>
      <c r="E2201" s="71"/>
      <c r="F2201" s="71"/>
      <c r="G2201" s="71"/>
      <c r="H2201" s="71"/>
      <c r="I2201" s="71"/>
      <c r="J2201" s="174"/>
      <c r="K2201" s="132"/>
      <c r="L2201" s="133"/>
    </row>
    <row r="2202" spans="1:18" x14ac:dyDescent="0.2">
      <c r="A2202" s="158"/>
      <c r="B2202" s="55"/>
      <c r="C2202" s="175"/>
      <c r="D2202" s="175"/>
      <c r="E2202" s="175"/>
      <c r="F2202" s="175"/>
      <c r="G2202" s="175"/>
      <c r="H2202" s="175"/>
      <c r="I2202" s="175"/>
      <c r="J2202" s="176"/>
      <c r="K2202" s="132"/>
      <c r="L2202" s="133"/>
    </row>
    <row r="2203" spans="1:18" x14ac:dyDescent="0.2">
      <c r="J2203" s="315"/>
      <c r="K2203" s="132"/>
      <c r="L2203" s="133"/>
    </row>
    <row r="2204" spans="1:18" x14ac:dyDescent="0.2">
      <c r="A2204" s="158"/>
      <c r="B2204" s="55"/>
      <c r="C2204" s="71"/>
      <c r="D2204" s="71"/>
      <c r="E2204" s="71"/>
      <c r="F2204" s="71"/>
      <c r="G2204" s="71"/>
      <c r="H2204" s="71"/>
      <c r="I2204" s="71"/>
      <c r="J2204" s="174"/>
      <c r="K2204" s="132"/>
      <c r="L2204" s="133"/>
    </row>
    <row r="2205" spans="1:18" x14ac:dyDescent="0.2">
      <c r="A2205" s="158"/>
      <c r="B2205" s="55"/>
      <c r="C2205" s="71"/>
      <c r="D2205" s="71"/>
      <c r="E2205" s="71"/>
      <c r="F2205" s="71"/>
      <c r="G2205" s="71"/>
      <c r="H2205" s="71"/>
      <c r="I2205" s="71"/>
      <c r="J2205" s="174"/>
      <c r="K2205" s="132"/>
      <c r="L2205" s="133"/>
    </row>
    <row r="2206" spans="1:18" x14ac:dyDescent="0.2">
      <c r="A2206" s="158"/>
      <c r="B2206" s="55"/>
      <c r="C2206" s="71"/>
      <c r="D2206" s="71"/>
      <c r="E2206" s="71"/>
      <c r="F2206" s="71"/>
      <c r="G2206" s="71"/>
      <c r="H2206" s="71"/>
      <c r="I2206" s="71"/>
      <c r="J2206" s="174"/>
      <c r="K2206" s="132"/>
      <c r="L2206" s="133"/>
    </row>
    <row r="2207" spans="1:18" x14ac:dyDescent="0.2">
      <c r="A2207" s="158"/>
      <c r="B2207" s="55"/>
      <c r="C2207" s="175"/>
      <c r="D2207" s="175"/>
      <c r="E2207" s="172"/>
      <c r="F2207" s="172"/>
      <c r="G2207" s="172"/>
      <c r="H2207" s="172"/>
      <c r="I2207" s="172"/>
      <c r="J2207" s="173"/>
      <c r="K2207" s="132"/>
      <c r="L2207" s="133"/>
    </row>
    <row r="2208" spans="1:18" x14ac:dyDescent="0.2">
      <c r="A2208" s="158"/>
      <c r="B2208" s="55"/>
      <c r="C2208" s="175"/>
      <c r="D2208" s="175"/>
      <c r="E2208" s="172"/>
      <c r="F2208" s="172"/>
      <c r="G2208" s="172"/>
      <c r="H2208" s="172"/>
      <c r="I2208" s="172"/>
      <c r="J2208" s="173"/>
      <c r="K2208" s="132"/>
      <c r="L2208" s="133"/>
    </row>
    <row r="2209" spans="1:14" x14ac:dyDescent="0.2">
      <c r="A2209" s="158"/>
      <c r="B2209" s="55"/>
      <c r="C2209" s="175"/>
      <c r="D2209" s="175"/>
      <c r="E2209" s="172"/>
      <c r="F2209" s="172"/>
      <c r="G2209" s="172"/>
      <c r="H2209" s="172"/>
      <c r="I2209" s="172"/>
      <c r="J2209" s="173"/>
      <c r="K2209" s="132"/>
      <c r="L2209" s="133"/>
    </row>
    <row r="2210" spans="1:14" ht="13.5" thickBot="1" x14ac:dyDescent="0.25">
      <c r="A2210" s="149"/>
      <c r="B2210" s="167"/>
      <c r="C2210" s="151"/>
      <c r="D2210" s="151"/>
      <c r="E2210" s="151"/>
      <c r="F2210" s="151"/>
      <c r="G2210" s="151"/>
      <c r="H2210" s="151"/>
      <c r="I2210" s="151"/>
      <c r="J2210" s="168"/>
      <c r="K2210" s="132"/>
      <c r="L2210" s="133"/>
    </row>
    <row r="2211" spans="1:14" ht="15.75" x14ac:dyDescent="0.2">
      <c r="A2211" s="602" t="s">
        <v>4</v>
      </c>
      <c r="B2211" s="603"/>
      <c r="C2211" s="603" t="str">
        <f>'A IV.A'!$B$43</f>
        <v>FECHAMENTOS, PROTEÇÕES E ALVENARIAS EM GERAL</v>
      </c>
      <c r="D2211" s="603"/>
      <c r="E2211" s="603"/>
      <c r="F2211" s="603"/>
      <c r="G2211" s="603"/>
      <c r="H2211" s="603"/>
      <c r="I2211" s="603"/>
      <c r="J2211" s="604"/>
      <c r="K2211" s="132"/>
      <c r="L2211" s="133"/>
    </row>
    <row r="2212" spans="1:14" x14ac:dyDescent="0.2">
      <c r="A2212" s="609" t="str">
        <f>'A IV.A'!$A$43</f>
        <v>3.0</v>
      </c>
      <c r="B2212" s="610"/>
      <c r="C2212" s="605"/>
      <c r="D2212" s="605"/>
      <c r="E2212" s="605"/>
      <c r="F2212" s="605"/>
      <c r="G2212" s="605"/>
      <c r="H2212" s="605"/>
      <c r="I2212" s="605"/>
      <c r="J2212" s="606"/>
      <c r="K2212" s="132"/>
      <c r="L2212" s="133"/>
    </row>
    <row r="2213" spans="1:14" ht="13.5" thickBot="1" x14ac:dyDescent="0.25">
      <c r="A2213" s="611"/>
      <c r="B2213" s="612"/>
      <c r="C2213" s="607"/>
      <c r="D2213" s="607"/>
      <c r="E2213" s="607"/>
      <c r="F2213" s="607"/>
      <c r="G2213" s="607"/>
      <c r="H2213" s="607"/>
      <c r="I2213" s="607"/>
      <c r="J2213" s="608"/>
      <c r="K2213" s="132"/>
      <c r="L2213" s="133"/>
    </row>
    <row r="2214" spans="1:14" ht="13.5" thickBot="1" x14ac:dyDescent="0.25">
      <c r="A2214" s="169"/>
      <c r="B2214" s="169"/>
      <c r="C2214" s="613"/>
      <c r="D2214" s="613"/>
      <c r="E2214" s="613"/>
      <c r="F2214" s="613"/>
      <c r="G2214" s="613"/>
      <c r="H2214" s="613"/>
      <c r="I2214" s="613"/>
      <c r="J2214" s="169"/>
      <c r="K2214" s="132"/>
      <c r="L2214" s="133"/>
    </row>
    <row r="2215" spans="1:14" ht="13.5" thickBot="1" x14ac:dyDescent="0.25">
      <c r="A2215" s="614" t="s">
        <v>60</v>
      </c>
      <c r="B2215" s="615"/>
      <c r="C2215" s="616" t="s">
        <v>61</v>
      </c>
      <c r="D2215" s="617"/>
      <c r="E2215" s="617"/>
      <c r="F2215" s="617"/>
      <c r="G2215" s="617"/>
      <c r="H2215" s="617"/>
      <c r="I2215" s="618"/>
      <c r="J2215" s="260" t="s">
        <v>0</v>
      </c>
      <c r="K2215" s="132"/>
      <c r="L2215" s="133"/>
    </row>
    <row r="2216" spans="1:14" x14ac:dyDescent="0.2">
      <c r="A2216" s="136"/>
      <c r="B2216" s="137"/>
      <c r="C2216" s="619"/>
      <c r="D2216" s="620"/>
      <c r="E2216" s="621"/>
      <c r="F2216" s="621"/>
      <c r="G2216" s="621"/>
      <c r="H2216" s="621"/>
      <c r="I2216" s="622"/>
      <c r="J2216" s="138"/>
      <c r="K2216" s="132"/>
      <c r="L2216" s="133"/>
    </row>
    <row r="2217" spans="1:14" x14ac:dyDescent="0.2">
      <c r="A2217" s="623" t="str">
        <f>'A IV.A'!$A$74</f>
        <v>3.4.3</v>
      </c>
      <c r="B2217" s="624"/>
      <c r="C2217" s="626" t="str">
        <f>'A IV.A'!$B$74</f>
        <v xml:space="preserve">ESCAVAÇÃO MANUAL EM SOLO DE 1ª CATEGORIA COM PROFUNDIDADE ATÉ 1,50 M </v>
      </c>
      <c r="D2217" s="627"/>
      <c r="E2217" s="627"/>
      <c r="F2217" s="627"/>
      <c r="G2217" s="627"/>
      <c r="H2217" s="627"/>
      <c r="I2217" s="628"/>
      <c r="J2217" s="629" t="str">
        <f>'A IV.A'!$C$74</f>
        <v>M3</v>
      </c>
      <c r="K2217" s="630" t="str">
        <f>VLOOKUP(A2217,'A IV.A'!$A$14:$M$233,2,FALSE)</f>
        <v xml:space="preserve">ESCAVAÇÃO MANUAL EM SOLO DE 1ª CATEGORIA COM PROFUNDIDADE ATÉ 1,50 M </v>
      </c>
      <c r="L2217" s="631" t="str">
        <f>IF(C2217=K2217,"sim","nao")</f>
        <v>sim</v>
      </c>
      <c r="M2217" s="631" t="str">
        <f>VLOOKUP(A2217,'A IV.A'!$A$14:$M$233,3,FALSE)</f>
        <v>M3</v>
      </c>
      <c r="N2217" s="631" t="str">
        <f>IF(J2217=M2217,"sim","nao")</f>
        <v>sim</v>
      </c>
    </row>
    <row r="2218" spans="1:14" x14ac:dyDescent="0.2">
      <c r="A2218" s="625"/>
      <c r="B2218" s="624"/>
      <c r="C2218" s="626"/>
      <c r="D2218" s="627"/>
      <c r="E2218" s="627"/>
      <c r="F2218" s="627"/>
      <c r="G2218" s="627"/>
      <c r="H2218" s="627"/>
      <c r="I2218" s="628"/>
      <c r="J2218" s="629"/>
      <c r="K2218" s="630"/>
      <c r="L2218" s="631"/>
      <c r="M2218" s="631"/>
      <c r="N2218" s="631"/>
    </row>
    <row r="2219" spans="1:14" x14ac:dyDescent="0.2">
      <c r="A2219" s="139"/>
      <c r="B2219" s="140"/>
      <c r="C2219" s="141"/>
      <c r="D2219" s="142"/>
      <c r="E2219" s="142"/>
      <c r="F2219" s="142"/>
      <c r="G2219" s="142"/>
      <c r="H2219" s="142"/>
      <c r="I2219" s="143"/>
      <c r="J2219" s="144"/>
      <c r="K2219" s="132"/>
      <c r="L2219" s="133"/>
    </row>
    <row r="2220" spans="1:14" x14ac:dyDescent="0.2">
      <c r="A2220" s="623" t="str">
        <f>'A IV.A'!A75</f>
        <v>3.4.4</v>
      </c>
      <c r="B2220" s="624"/>
      <c r="C2220" s="626" t="str">
        <f>'A IV.A'!B75</f>
        <v xml:space="preserve">ESCAVAÇÃO MANUAL EM SOLO DE 1ª CATEGORIA COM PROFUNDIDADE ACIMA DE 1,50 M </v>
      </c>
      <c r="D2220" s="627"/>
      <c r="E2220" s="627"/>
      <c r="F2220" s="627"/>
      <c r="G2220" s="627"/>
      <c r="H2220" s="627"/>
      <c r="I2220" s="628"/>
      <c r="J2220" s="629" t="str">
        <f>'A IV.A'!C75</f>
        <v>M3</v>
      </c>
      <c r="K2220" s="630" t="str">
        <f>VLOOKUP(A2220,'A IV.A'!$A$14:$M$233,2,FALSE)</f>
        <v xml:space="preserve">ESCAVAÇÃO MANUAL EM SOLO DE 1ª CATEGORIA COM PROFUNDIDADE ACIMA DE 1,50 M </v>
      </c>
      <c r="L2220" s="631" t="str">
        <f>IF(C2220=K2220,"sim","nao")</f>
        <v>sim</v>
      </c>
      <c r="M2220" s="631" t="str">
        <f>VLOOKUP(A2220,'A IV.A'!$A$14:$M$233,3,FALSE)</f>
        <v>M3</v>
      </c>
      <c r="N2220" s="631" t="str">
        <f>IF(J2220=M2220,"sim","nao")</f>
        <v>sim</v>
      </c>
    </row>
    <row r="2221" spans="1:14" x14ac:dyDescent="0.2">
      <c r="A2221" s="625"/>
      <c r="B2221" s="624"/>
      <c r="C2221" s="626"/>
      <c r="D2221" s="627"/>
      <c r="E2221" s="627"/>
      <c r="F2221" s="627"/>
      <c r="G2221" s="627"/>
      <c r="H2221" s="627"/>
      <c r="I2221" s="628"/>
      <c r="J2221" s="629"/>
      <c r="K2221" s="630"/>
      <c r="L2221" s="631"/>
      <c r="M2221" s="631"/>
      <c r="N2221" s="631"/>
    </row>
    <row r="2222" spans="1:14" x14ac:dyDescent="0.2">
      <c r="A2222" s="145"/>
      <c r="B2222" s="146"/>
      <c r="C2222" s="147"/>
      <c r="D2222" s="147"/>
      <c r="E2222" s="147"/>
      <c r="F2222" s="147"/>
      <c r="G2222" s="147"/>
      <c r="H2222" s="147"/>
      <c r="I2222" s="147"/>
      <c r="J2222" s="148"/>
      <c r="K2222" s="132"/>
      <c r="L2222" s="133"/>
    </row>
    <row r="2223" spans="1:14" x14ac:dyDescent="0.2">
      <c r="A2223" s="158"/>
      <c r="B2223" s="188"/>
      <c r="C2223" s="189"/>
      <c r="D2223" s="165"/>
      <c r="E2223" s="165"/>
      <c r="F2223" s="165"/>
      <c r="G2223" s="165"/>
      <c r="H2223" s="165"/>
      <c r="I2223" s="190"/>
      <c r="J2223" s="191"/>
      <c r="K2223" s="630"/>
      <c r="L2223" s="631"/>
      <c r="M2223" s="631"/>
      <c r="N2223" s="631"/>
    </row>
    <row r="2224" spans="1:14" x14ac:dyDescent="0.2">
      <c r="A2224" s="158"/>
      <c r="B2224" s="188"/>
      <c r="C2224" s="189"/>
      <c r="D2224" s="165"/>
      <c r="E2224" s="165"/>
      <c r="F2224" s="165"/>
      <c r="G2224" s="165"/>
      <c r="H2224" s="165"/>
      <c r="I2224" s="190"/>
      <c r="J2224" s="191"/>
      <c r="K2224" s="630"/>
      <c r="L2224" s="631"/>
      <c r="M2224" s="631"/>
      <c r="N2224" s="631"/>
    </row>
    <row r="2225" spans="1:12" x14ac:dyDescent="0.2">
      <c r="A2225" s="145"/>
      <c r="B2225" s="146"/>
      <c r="C2225" s="147"/>
      <c r="D2225" s="147"/>
      <c r="E2225" s="147"/>
      <c r="F2225" s="147"/>
      <c r="G2225" s="147"/>
      <c r="H2225" s="147"/>
      <c r="I2225" s="147"/>
      <c r="J2225" s="148"/>
      <c r="K2225" s="132"/>
      <c r="L2225" s="133"/>
    </row>
    <row r="2226" spans="1:12" x14ac:dyDescent="0.2">
      <c r="A2226" s="145"/>
      <c r="B2226" s="146"/>
      <c r="C2226" s="147"/>
      <c r="D2226" s="147"/>
      <c r="E2226" s="147"/>
      <c r="F2226" s="147"/>
      <c r="G2226" s="147"/>
      <c r="H2226" s="147"/>
      <c r="I2226" s="147"/>
      <c r="J2226" s="148"/>
      <c r="K2226" s="132"/>
      <c r="L2226" s="133"/>
    </row>
    <row r="2227" spans="1:12" x14ac:dyDescent="0.2">
      <c r="A2227" s="145"/>
      <c r="B2227" s="146"/>
      <c r="C2227" s="147"/>
      <c r="D2227" s="147"/>
      <c r="E2227" s="147"/>
      <c r="F2227" s="147"/>
      <c r="G2227" s="147"/>
      <c r="H2227" s="147"/>
      <c r="I2227" s="147"/>
      <c r="J2227" s="148"/>
      <c r="K2227" s="132"/>
      <c r="L2227" s="133"/>
    </row>
    <row r="2228" spans="1:12" x14ac:dyDescent="0.2">
      <c r="A2228" s="145"/>
      <c r="B2228" s="146"/>
      <c r="C2228" s="147"/>
      <c r="D2228" s="147"/>
      <c r="E2228" s="147"/>
      <c r="F2228" s="147"/>
      <c r="G2228" s="147"/>
      <c r="H2228" s="147"/>
      <c r="I2228" s="147"/>
      <c r="J2228" s="148"/>
      <c r="K2228" s="132"/>
      <c r="L2228" s="133"/>
    </row>
    <row r="2229" spans="1:12" x14ac:dyDescent="0.2">
      <c r="A2229" s="145"/>
      <c r="B2229" s="146"/>
      <c r="C2229" s="147"/>
      <c r="D2229" s="147"/>
      <c r="E2229" s="147"/>
      <c r="F2229" s="147"/>
      <c r="G2229" s="147"/>
      <c r="H2229" s="147"/>
      <c r="I2229" s="147"/>
      <c r="J2229" s="148"/>
      <c r="K2229" s="132"/>
      <c r="L2229" s="133"/>
    </row>
    <row r="2230" spans="1:12" x14ac:dyDescent="0.2">
      <c r="A2230" s="145"/>
      <c r="B2230" s="146"/>
      <c r="C2230" s="147"/>
      <c r="D2230" s="147"/>
      <c r="E2230" s="147"/>
      <c r="F2230" s="147"/>
      <c r="G2230" s="147"/>
      <c r="H2230" s="147"/>
      <c r="I2230" s="147"/>
      <c r="J2230" s="148"/>
      <c r="K2230" s="132"/>
      <c r="L2230" s="133"/>
    </row>
    <row r="2231" spans="1:12" x14ac:dyDescent="0.2">
      <c r="A2231" s="145"/>
      <c r="B2231" s="146"/>
      <c r="C2231" s="147"/>
      <c r="D2231" s="147"/>
      <c r="E2231" s="147"/>
      <c r="F2231" s="147"/>
      <c r="G2231" s="147"/>
      <c r="H2231" s="147"/>
      <c r="I2231" s="147"/>
      <c r="J2231" s="148"/>
      <c r="K2231" s="132"/>
      <c r="L2231" s="133"/>
    </row>
    <row r="2232" spans="1:12" x14ac:dyDescent="0.2">
      <c r="A2232" s="145"/>
      <c r="B2232" s="146"/>
      <c r="C2232" s="147"/>
      <c r="D2232" s="147"/>
      <c r="E2232" s="147"/>
      <c r="F2232" s="147"/>
      <c r="G2232" s="147"/>
      <c r="H2232" s="147"/>
      <c r="I2232" s="147"/>
      <c r="J2232" s="148"/>
      <c r="K2232" s="132"/>
      <c r="L2232" s="133"/>
    </row>
    <row r="2233" spans="1:12" x14ac:dyDescent="0.2">
      <c r="A2233" s="145"/>
      <c r="B2233" s="146"/>
      <c r="C2233" s="147"/>
      <c r="D2233" s="147"/>
      <c r="E2233" s="147"/>
      <c r="F2233" s="147"/>
      <c r="G2233" s="147"/>
      <c r="H2233" s="147"/>
      <c r="I2233" s="147"/>
      <c r="J2233" s="148"/>
      <c r="K2233" s="132"/>
      <c r="L2233" s="133"/>
    </row>
    <row r="2234" spans="1:12" x14ac:dyDescent="0.2">
      <c r="A2234" s="145"/>
      <c r="B2234" s="146"/>
      <c r="C2234" s="147"/>
      <c r="D2234" s="147"/>
      <c r="E2234" s="147"/>
      <c r="F2234" s="147"/>
      <c r="G2234" s="147"/>
      <c r="H2234" s="147"/>
      <c r="I2234" s="147"/>
      <c r="J2234" s="148"/>
      <c r="K2234" s="132"/>
      <c r="L2234" s="133"/>
    </row>
    <row r="2235" spans="1:12" x14ac:dyDescent="0.2">
      <c r="A2235" s="145"/>
      <c r="B2235" s="146"/>
      <c r="C2235" s="147"/>
      <c r="D2235" s="147"/>
      <c r="E2235" s="147"/>
      <c r="F2235" s="147"/>
      <c r="G2235" s="147"/>
      <c r="H2235" s="147"/>
      <c r="I2235" s="147"/>
      <c r="J2235" s="148"/>
      <c r="K2235" s="132"/>
      <c r="L2235" s="133"/>
    </row>
    <row r="2236" spans="1:12" x14ac:dyDescent="0.2">
      <c r="A2236" s="145"/>
      <c r="B2236" s="146"/>
      <c r="C2236" s="147"/>
      <c r="D2236" s="147"/>
      <c r="E2236" s="147"/>
      <c r="F2236" s="147"/>
      <c r="G2236" s="147"/>
      <c r="H2236" s="147"/>
      <c r="I2236" s="147"/>
      <c r="J2236" s="148"/>
      <c r="K2236" s="132"/>
      <c r="L2236" s="133"/>
    </row>
    <row r="2237" spans="1:12" x14ac:dyDescent="0.2">
      <c r="A2237" s="145"/>
      <c r="B2237" s="146"/>
      <c r="C2237" s="147"/>
      <c r="D2237" s="147"/>
      <c r="E2237" s="147"/>
      <c r="F2237" s="147"/>
      <c r="G2237" s="147"/>
      <c r="H2237" s="147"/>
      <c r="I2237" s="147"/>
      <c r="J2237" s="148"/>
      <c r="K2237" s="132"/>
      <c r="L2237" s="133"/>
    </row>
    <row r="2238" spans="1:12" ht="13.5" thickBot="1" x14ac:dyDescent="0.25">
      <c r="A2238" s="149"/>
      <c r="B2238" s="150"/>
      <c r="C2238" s="151"/>
      <c r="D2238" s="151"/>
      <c r="E2238" s="151"/>
      <c r="F2238" s="151"/>
      <c r="G2238" s="151"/>
      <c r="H2238" s="151"/>
      <c r="I2238" s="151"/>
      <c r="J2238" s="152"/>
      <c r="K2238" s="132"/>
      <c r="L2238" s="133"/>
    </row>
    <row r="2239" spans="1:12" ht="13.5" thickBot="1" x14ac:dyDescent="0.25">
      <c r="A2239" s="153"/>
      <c r="B2239" s="153"/>
      <c r="C2239" s="154"/>
      <c r="D2239" s="154"/>
      <c r="E2239" s="154"/>
      <c r="F2239" s="154"/>
      <c r="G2239" s="154"/>
      <c r="H2239" s="154"/>
      <c r="I2239" s="154"/>
      <c r="J2239" s="153"/>
      <c r="K2239" s="132"/>
      <c r="L2239" s="133"/>
    </row>
    <row r="2240" spans="1:12" ht="13.5" thickBot="1" x14ac:dyDescent="0.25">
      <c r="A2240" s="614" t="s">
        <v>62</v>
      </c>
      <c r="B2240" s="648"/>
      <c r="C2240" s="648"/>
      <c r="D2240" s="648"/>
      <c r="E2240" s="648"/>
      <c r="F2240" s="648"/>
      <c r="G2240" s="648"/>
      <c r="H2240" s="648"/>
      <c r="I2240" s="648"/>
      <c r="J2240" s="649"/>
      <c r="K2240" s="132"/>
      <c r="L2240" s="133"/>
    </row>
    <row r="2241" spans="1:12" x14ac:dyDescent="0.2">
      <c r="A2241" s="136"/>
      <c r="B2241" s="155"/>
      <c r="C2241" s="156"/>
      <c r="D2241" s="156"/>
      <c r="E2241" s="156"/>
      <c r="F2241" s="156"/>
      <c r="G2241" s="156"/>
      <c r="H2241" s="156"/>
      <c r="I2241" s="156"/>
      <c r="J2241" s="157"/>
      <c r="K2241" s="132"/>
      <c r="L2241" s="133"/>
    </row>
    <row r="2242" spans="1:12" ht="12.75" customHeight="1" x14ac:dyDescent="0.2">
      <c r="A2242" s="158" t="s">
        <v>63</v>
      </c>
      <c r="B2242" s="55"/>
      <c r="C2242" s="596" t="s">
        <v>546</v>
      </c>
      <c r="D2242" s="596"/>
      <c r="E2242" s="596"/>
      <c r="F2242" s="596"/>
      <c r="G2242" s="596"/>
      <c r="H2242" s="596"/>
      <c r="I2242" s="596"/>
      <c r="J2242" s="597"/>
      <c r="K2242" s="132"/>
      <c r="L2242" s="133"/>
    </row>
    <row r="2243" spans="1:12" x14ac:dyDescent="0.2">
      <c r="A2243" s="158"/>
      <c r="B2243" s="55"/>
      <c r="C2243" s="596"/>
      <c r="D2243" s="596"/>
      <c r="E2243" s="596"/>
      <c r="F2243" s="596"/>
      <c r="G2243" s="596"/>
      <c r="H2243" s="596"/>
      <c r="I2243" s="596"/>
      <c r="J2243" s="597"/>
      <c r="K2243" s="132"/>
      <c r="L2243" s="133"/>
    </row>
    <row r="2244" spans="1:12" x14ac:dyDescent="0.2">
      <c r="A2244" s="158"/>
      <c r="B2244" s="55"/>
      <c r="C2244" s="175"/>
      <c r="D2244" s="175"/>
      <c r="E2244" s="175"/>
      <c r="F2244" s="175"/>
      <c r="G2244" s="175"/>
      <c r="H2244" s="175"/>
      <c r="I2244" s="175"/>
      <c r="J2244" s="176"/>
      <c r="K2244" s="132"/>
      <c r="L2244" s="133"/>
    </row>
    <row r="2245" spans="1:12" x14ac:dyDescent="0.2">
      <c r="A2245" s="598" t="s">
        <v>64</v>
      </c>
      <c r="B2245" s="638"/>
      <c r="C2245" s="634" t="s">
        <v>547</v>
      </c>
      <c r="D2245" s="634"/>
      <c r="E2245" s="634"/>
      <c r="F2245" s="634"/>
      <c r="G2245" s="634"/>
      <c r="H2245" s="634"/>
      <c r="I2245" s="634"/>
      <c r="J2245" s="635"/>
      <c r="K2245" s="132"/>
      <c r="L2245" s="133"/>
    </row>
    <row r="2246" spans="1:12" x14ac:dyDescent="0.2">
      <c r="A2246" s="158"/>
      <c r="B2246" s="55"/>
      <c r="C2246" s="175"/>
      <c r="D2246" s="175"/>
      <c r="E2246" s="175"/>
      <c r="F2246" s="175"/>
      <c r="G2246" s="175"/>
      <c r="H2246" s="175"/>
      <c r="I2246" s="175"/>
      <c r="J2246" s="176"/>
      <c r="K2246" s="132"/>
      <c r="L2246" s="133"/>
    </row>
    <row r="2247" spans="1:12" x14ac:dyDescent="0.2">
      <c r="A2247" s="158" t="s">
        <v>157</v>
      </c>
      <c r="B2247" s="55"/>
      <c r="C2247" s="652" t="s">
        <v>158</v>
      </c>
      <c r="D2247" s="652"/>
      <c r="E2247" s="652"/>
      <c r="F2247" s="652"/>
      <c r="G2247" s="652"/>
      <c r="H2247" s="652"/>
      <c r="I2247" s="652"/>
      <c r="J2247" s="653"/>
      <c r="K2247" s="132"/>
      <c r="L2247" s="133"/>
    </row>
    <row r="2248" spans="1:12" ht="12.75" customHeight="1" x14ac:dyDescent="0.2">
      <c r="A2248" s="158"/>
      <c r="B2248" s="55"/>
      <c r="C2248" s="652" t="s">
        <v>553</v>
      </c>
      <c r="D2248" s="652"/>
      <c r="E2248" s="652"/>
      <c r="F2248" s="652"/>
      <c r="G2248" s="652"/>
      <c r="H2248" s="652"/>
      <c r="I2248" s="652"/>
      <c r="J2248" s="653"/>
      <c r="K2248" s="132"/>
      <c r="L2248" s="133"/>
    </row>
    <row r="2249" spans="1:12" x14ac:dyDescent="0.2">
      <c r="A2249" s="158"/>
      <c r="B2249" s="55"/>
      <c r="C2249" s="652"/>
      <c r="D2249" s="652"/>
      <c r="E2249" s="652"/>
      <c r="F2249" s="652"/>
      <c r="G2249" s="652"/>
      <c r="H2249" s="652"/>
      <c r="I2249" s="652"/>
      <c r="J2249" s="653"/>
      <c r="K2249" s="132"/>
      <c r="L2249" s="133"/>
    </row>
    <row r="2250" spans="1:12" x14ac:dyDescent="0.2">
      <c r="A2250" s="158"/>
      <c r="B2250" s="55"/>
      <c r="C2250" s="657" t="s">
        <v>548</v>
      </c>
      <c r="D2250" s="657"/>
      <c r="E2250" s="657"/>
      <c r="F2250" s="657"/>
      <c r="G2250" s="657"/>
      <c r="H2250" s="657"/>
      <c r="I2250" s="657"/>
      <c r="J2250" s="717"/>
      <c r="K2250" s="132"/>
      <c r="L2250" s="133"/>
    </row>
    <row r="2251" spans="1:12" x14ac:dyDescent="0.2">
      <c r="A2251" s="158"/>
      <c r="B2251" s="55"/>
      <c r="C2251" s="634" t="s">
        <v>549</v>
      </c>
      <c r="D2251" s="634"/>
      <c r="E2251" s="634"/>
      <c r="F2251" s="634"/>
      <c r="G2251" s="634"/>
      <c r="H2251" s="634"/>
      <c r="I2251" s="634"/>
      <c r="J2251" s="635"/>
      <c r="K2251" s="132"/>
      <c r="L2251" s="133"/>
    </row>
    <row r="2252" spans="1:12" x14ac:dyDescent="0.2">
      <c r="A2252" s="158"/>
      <c r="B2252" s="202"/>
      <c r="C2252" s="175"/>
      <c r="D2252" s="175"/>
      <c r="E2252" s="175"/>
      <c r="F2252" s="175"/>
      <c r="G2252" s="175"/>
      <c r="H2252" s="175"/>
      <c r="I2252" s="175"/>
      <c r="J2252" s="176"/>
      <c r="K2252" s="132"/>
      <c r="L2252" s="133"/>
    </row>
    <row r="2253" spans="1:12" x14ac:dyDescent="0.2">
      <c r="A2253" s="158"/>
      <c r="B2253" s="55"/>
      <c r="C2253" s="71"/>
      <c r="D2253" s="71"/>
      <c r="E2253" s="71"/>
      <c r="F2253" s="71"/>
      <c r="G2253" s="71"/>
      <c r="H2253" s="71"/>
      <c r="I2253" s="71"/>
      <c r="J2253" s="174"/>
      <c r="K2253" s="132"/>
      <c r="L2253" s="133"/>
    </row>
    <row r="2254" spans="1:12" x14ac:dyDescent="0.2">
      <c r="A2254" s="158"/>
      <c r="B2254" s="55"/>
      <c r="C2254" s="71"/>
      <c r="D2254" s="71"/>
      <c r="E2254" s="71"/>
      <c r="F2254" s="71"/>
      <c r="G2254" s="71"/>
      <c r="H2254" s="71"/>
      <c r="I2254" s="71"/>
      <c r="J2254" s="174"/>
      <c r="K2254" s="132"/>
      <c r="L2254" s="133"/>
    </row>
    <row r="2255" spans="1:12" x14ac:dyDescent="0.2">
      <c r="A2255" s="158"/>
      <c r="B2255" s="55"/>
      <c r="C2255" s="71"/>
      <c r="D2255" s="71"/>
      <c r="E2255" s="71"/>
      <c r="F2255" s="71"/>
      <c r="G2255" s="71"/>
      <c r="H2255" s="71"/>
      <c r="I2255" s="71"/>
      <c r="J2255" s="174"/>
      <c r="K2255" s="132"/>
      <c r="L2255" s="133"/>
    </row>
    <row r="2256" spans="1:12" x14ac:dyDescent="0.2">
      <c r="A2256" s="158"/>
      <c r="B2256" s="55"/>
      <c r="C2256" s="71"/>
      <c r="D2256" s="71"/>
      <c r="E2256" s="71"/>
      <c r="F2256" s="71"/>
      <c r="G2256" s="71"/>
      <c r="H2256" s="71"/>
      <c r="I2256" s="71"/>
      <c r="J2256" s="174"/>
      <c r="K2256" s="132"/>
      <c r="L2256" s="133"/>
    </row>
    <row r="2257" spans="1:14" x14ac:dyDescent="0.2">
      <c r="A2257" s="158"/>
      <c r="B2257" s="55"/>
      <c r="C2257" s="71"/>
      <c r="D2257" s="71"/>
      <c r="E2257" s="71"/>
      <c r="F2257" s="71"/>
      <c r="G2257" s="71"/>
      <c r="H2257" s="71"/>
      <c r="I2257" s="71"/>
      <c r="J2257" s="174"/>
      <c r="K2257" s="132"/>
      <c r="L2257" s="133"/>
    </row>
    <row r="2258" spans="1:14" x14ac:dyDescent="0.2">
      <c r="A2258" s="158"/>
      <c r="B2258" s="55"/>
      <c r="C2258" s="71"/>
      <c r="D2258" s="71"/>
      <c r="E2258" s="71"/>
      <c r="F2258" s="71"/>
      <c r="G2258" s="71"/>
      <c r="H2258" s="71"/>
      <c r="I2258" s="71"/>
      <c r="J2258" s="174"/>
      <c r="K2258" s="132"/>
      <c r="L2258" s="133"/>
    </row>
    <row r="2259" spans="1:14" x14ac:dyDescent="0.2">
      <c r="A2259" s="158"/>
      <c r="B2259" s="55"/>
      <c r="C2259" s="71"/>
      <c r="D2259" s="71"/>
      <c r="E2259" s="71"/>
      <c r="F2259" s="71"/>
      <c r="G2259" s="71"/>
      <c r="H2259" s="71"/>
      <c r="I2259" s="71"/>
      <c r="J2259" s="174"/>
      <c r="K2259" s="132"/>
      <c r="L2259" s="133"/>
    </row>
    <row r="2260" spans="1:14" x14ac:dyDescent="0.2">
      <c r="A2260" s="158"/>
      <c r="B2260" s="55"/>
      <c r="C2260" s="71"/>
      <c r="D2260" s="71"/>
      <c r="E2260" s="71"/>
      <c r="F2260" s="71"/>
      <c r="G2260" s="71"/>
      <c r="H2260" s="71"/>
      <c r="I2260" s="71"/>
      <c r="J2260" s="174"/>
      <c r="K2260" s="132"/>
      <c r="L2260" s="133"/>
    </row>
    <row r="2261" spans="1:14" x14ac:dyDescent="0.2">
      <c r="A2261" s="158"/>
      <c r="B2261" s="55"/>
      <c r="C2261" s="175"/>
      <c r="D2261" s="175"/>
      <c r="E2261" s="172"/>
      <c r="F2261" s="172"/>
      <c r="G2261" s="172"/>
      <c r="H2261" s="172"/>
      <c r="I2261" s="172"/>
      <c r="J2261" s="173"/>
      <c r="K2261" s="132"/>
      <c r="L2261" s="133"/>
    </row>
    <row r="2262" spans="1:14" x14ac:dyDescent="0.2">
      <c r="A2262" s="158"/>
      <c r="B2262" s="55"/>
      <c r="C2262" s="175"/>
      <c r="D2262" s="175"/>
      <c r="E2262" s="172"/>
      <c r="F2262" s="172"/>
      <c r="G2262" s="172"/>
      <c r="H2262" s="172"/>
      <c r="I2262" s="172"/>
      <c r="J2262" s="173"/>
      <c r="K2262" s="132"/>
      <c r="L2262" s="133"/>
    </row>
    <row r="2263" spans="1:14" x14ac:dyDescent="0.2">
      <c r="A2263" s="158"/>
      <c r="B2263" s="55"/>
      <c r="C2263" s="175"/>
      <c r="D2263" s="175"/>
      <c r="E2263" s="172"/>
      <c r="F2263" s="172"/>
      <c r="G2263" s="172"/>
      <c r="H2263" s="172"/>
      <c r="I2263" s="172"/>
      <c r="J2263" s="173"/>
      <c r="K2263" s="132"/>
      <c r="L2263" s="133"/>
    </row>
    <row r="2264" spans="1:14" ht="13.5" thickBot="1" x14ac:dyDescent="0.25">
      <c r="A2264" s="149"/>
      <c r="B2264" s="167"/>
      <c r="C2264" s="151"/>
      <c r="D2264" s="151"/>
      <c r="E2264" s="151"/>
      <c r="F2264" s="151"/>
      <c r="G2264" s="151"/>
      <c r="H2264" s="151"/>
      <c r="I2264" s="151"/>
      <c r="J2264" s="168"/>
      <c r="K2264" s="132"/>
      <c r="L2264" s="133"/>
    </row>
    <row r="2265" spans="1:14" ht="15.75" x14ac:dyDescent="0.2">
      <c r="A2265" s="602" t="s">
        <v>4</v>
      </c>
      <c r="B2265" s="603"/>
      <c r="C2265" s="603" t="str">
        <f>'A IV.A'!$B$43</f>
        <v>FECHAMENTOS, PROTEÇÕES E ALVENARIAS EM GERAL</v>
      </c>
      <c r="D2265" s="603"/>
      <c r="E2265" s="603"/>
      <c r="F2265" s="603"/>
      <c r="G2265" s="603"/>
      <c r="H2265" s="603"/>
      <c r="I2265" s="603"/>
      <c r="J2265" s="604"/>
      <c r="K2265" s="132"/>
      <c r="L2265" s="133"/>
    </row>
    <row r="2266" spans="1:14" x14ac:dyDescent="0.2">
      <c r="A2266" s="609" t="str">
        <f>'A IV.A'!$A$43</f>
        <v>3.0</v>
      </c>
      <c r="B2266" s="610"/>
      <c r="C2266" s="605"/>
      <c r="D2266" s="605"/>
      <c r="E2266" s="605"/>
      <c r="F2266" s="605"/>
      <c r="G2266" s="605"/>
      <c r="H2266" s="605"/>
      <c r="I2266" s="605"/>
      <c r="J2266" s="606"/>
      <c r="K2266" s="132"/>
      <c r="L2266" s="133"/>
    </row>
    <row r="2267" spans="1:14" ht="13.5" thickBot="1" x14ac:dyDescent="0.25">
      <c r="A2267" s="611"/>
      <c r="B2267" s="612"/>
      <c r="C2267" s="607"/>
      <c r="D2267" s="607"/>
      <c r="E2267" s="607"/>
      <c r="F2267" s="607"/>
      <c r="G2267" s="607"/>
      <c r="H2267" s="607"/>
      <c r="I2267" s="607"/>
      <c r="J2267" s="608"/>
      <c r="K2267" s="132"/>
      <c r="L2267" s="133"/>
    </row>
    <row r="2268" spans="1:14" ht="13.5" thickBot="1" x14ac:dyDescent="0.25">
      <c r="A2268" s="169"/>
      <c r="B2268" s="169"/>
      <c r="C2268" s="613"/>
      <c r="D2268" s="613"/>
      <c r="E2268" s="613"/>
      <c r="F2268" s="613"/>
      <c r="G2268" s="613"/>
      <c r="H2268" s="613"/>
      <c r="I2268" s="613"/>
      <c r="J2268" s="169"/>
      <c r="K2268" s="132"/>
      <c r="L2268" s="133"/>
    </row>
    <row r="2269" spans="1:14" ht="13.5" thickBot="1" x14ac:dyDescent="0.25">
      <c r="A2269" s="614" t="s">
        <v>60</v>
      </c>
      <c r="B2269" s="615"/>
      <c r="C2269" s="616" t="s">
        <v>61</v>
      </c>
      <c r="D2269" s="617"/>
      <c r="E2269" s="617"/>
      <c r="F2269" s="617"/>
      <c r="G2269" s="617"/>
      <c r="H2269" s="617"/>
      <c r="I2269" s="618"/>
      <c r="J2269" s="260" t="s">
        <v>0</v>
      </c>
      <c r="K2269" s="132"/>
      <c r="L2269" s="133"/>
    </row>
    <row r="2270" spans="1:14" x14ac:dyDescent="0.2">
      <c r="A2270" s="136"/>
      <c r="B2270" s="137"/>
      <c r="C2270" s="619"/>
      <c r="D2270" s="620"/>
      <c r="E2270" s="621"/>
      <c r="F2270" s="621"/>
      <c r="G2270" s="621"/>
      <c r="H2270" s="621"/>
      <c r="I2270" s="622"/>
      <c r="J2270" s="138"/>
      <c r="K2270" s="132"/>
      <c r="L2270" s="133"/>
    </row>
    <row r="2271" spans="1:14" x14ac:dyDescent="0.2">
      <c r="A2271" s="623" t="str">
        <f>'A IV.A'!A76</f>
        <v>3.4.5</v>
      </c>
      <c r="B2271" s="624"/>
      <c r="C2271" s="626" t="str">
        <f>'A IV.A'!B76</f>
        <v xml:space="preserve">ESCAVAÇÃO MECANIZADA DE  VALA EM SOLO DE 1ª CATEGORIA COM PROFUNDIDADE ATÉ 2,0M </v>
      </c>
      <c r="D2271" s="627"/>
      <c r="E2271" s="627"/>
      <c r="F2271" s="627"/>
      <c r="G2271" s="627"/>
      <c r="H2271" s="627"/>
      <c r="I2271" s="628"/>
      <c r="J2271" s="629" t="str">
        <f>'A IV.A'!C76</f>
        <v>M3</v>
      </c>
      <c r="K2271" s="630" t="str">
        <f>VLOOKUP(A2271,'A IV.A'!$A$14:$M$233,2,FALSE)</f>
        <v xml:space="preserve">ESCAVAÇÃO MECANIZADA DE  VALA EM SOLO DE 1ª CATEGORIA COM PROFUNDIDADE ATÉ 2,0M </v>
      </c>
      <c r="L2271" s="631" t="str">
        <f>IF(C2271=K2271,"sim","nao")</f>
        <v>sim</v>
      </c>
      <c r="M2271" s="631" t="str">
        <f>VLOOKUP(A2271,'A IV.A'!$A$14:$M$233,3,FALSE)</f>
        <v>M3</v>
      </c>
      <c r="N2271" s="631" t="str">
        <f>IF(J2271=M2271,"sim","nao")</f>
        <v>sim</v>
      </c>
    </row>
    <row r="2272" spans="1:14" x14ac:dyDescent="0.2">
      <c r="A2272" s="625"/>
      <c r="B2272" s="624"/>
      <c r="C2272" s="626"/>
      <c r="D2272" s="627"/>
      <c r="E2272" s="627"/>
      <c r="F2272" s="627"/>
      <c r="G2272" s="627"/>
      <c r="H2272" s="627"/>
      <c r="I2272" s="628"/>
      <c r="J2272" s="629"/>
      <c r="K2272" s="630"/>
      <c r="L2272" s="631"/>
      <c r="M2272" s="631"/>
      <c r="N2272" s="631"/>
    </row>
    <row r="2273" spans="1:14" x14ac:dyDescent="0.2">
      <c r="A2273" s="139"/>
      <c r="B2273" s="140"/>
      <c r="C2273" s="141"/>
      <c r="D2273" s="142"/>
      <c r="E2273" s="142"/>
      <c r="F2273" s="142"/>
      <c r="G2273" s="142"/>
      <c r="H2273" s="142"/>
      <c r="I2273" s="143"/>
      <c r="J2273" s="144"/>
      <c r="K2273" s="132"/>
      <c r="L2273" s="133"/>
    </row>
    <row r="2274" spans="1:14" x14ac:dyDescent="0.2">
      <c r="A2274" s="623"/>
      <c r="B2274" s="624"/>
      <c r="C2274" s="626"/>
      <c r="D2274" s="627"/>
      <c r="E2274" s="627"/>
      <c r="F2274" s="627"/>
      <c r="G2274" s="627"/>
      <c r="H2274" s="627"/>
      <c r="I2274" s="628"/>
      <c r="J2274" s="629"/>
      <c r="K2274" s="630"/>
      <c r="L2274" s="631"/>
      <c r="M2274" s="631"/>
      <c r="N2274" s="631"/>
    </row>
    <row r="2275" spans="1:14" x14ac:dyDescent="0.2">
      <c r="A2275" s="625"/>
      <c r="B2275" s="624"/>
      <c r="C2275" s="626"/>
      <c r="D2275" s="627"/>
      <c r="E2275" s="627"/>
      <c r="F2275" s="627"/>
      <c r="G2275" s="627"/>
      <c r="H2275" s="627"/>
      <c r="I2275" s="628"/>
      <c r="J2275" s="629"/>
      <c r="K2275" s="630"/>
      <c r="L2275" s="631"/>
      <c r="M2275" s="631"/>
      <c r="N2275" s="631"/>
    </row>
    <row r="2276" spans="1:14" x14ac:dyDescent="0.2">
      <c r="A2276" s="145"/>
      <c r="B2276" s="146"/>
      <c r="C2276" s="147"/>
      <c r="D2276" s="147"/>
      <c r="E2276" s="147"/>
      <c r="F2276" s="147"/>
      <c r="G2276" s="147"/>
      <c r="H2276" s="147"/>
      <c r="I2276" s="147"/>
      <c r="J2276" s="148"/>
      <c r="K2276" s="132"/>
      <c r="L2276" s="133"/>
    </row>
    <row r="2277" spans="1:14" x14ac:dyDescent="0.2">
      <c r="A2277" s="158"/>
      <c r="B2277" s="188"/>
      <c r="C2277" s="189"/>
      <c r="D2277" s="165"/>
      <c r="E2277" s="165"/>
      <c r="F2277" s="165"/>
      <c r="G2277" s="165"/>
      <c r="H2277" s="165"/>
      <c r="I2277" s="190"/>
      <c r="J2277" s="191"/>
      <c r="K2277" s="630"/>
      <c r="L2277" s="631"/>
      <c r="M2277" s="631"/>
      <c r="N2277" s="631"/>
    </row>
    <row r="2278" spans="1:14" x14ac:dyDescent="0.2">
      <c r="A2278" s="158"/>
      <c r="B2278" s="188"/>
      <c r="C2278" s="189"/>
      <c r="D2278" s="165"/>
      <c r="E2278" s="165"/>
      <c r="F2278" s="165"/>
      <c r="G2278" s="165"/>
      <c r="H2278" s="165"/>
      <c r="I2278" s="190"/>
      <c r="J2278" s="191"/>
      <c r="K2278" s="630"/>
      <c r="L2278" s="631"/>
      <c r="M2278" s="631"/>
      <c r="N2278" s="631"/>
    </row>
    <row r="2279" spans="1:14" x14ac:dyDescent="0.2">
      <c r="A2279" s="145"/>
      <c r="B2279" s="146"/>
      <c r="C2279" s="147"/>
      <c r="D2279" s="147"/>
      <c r="E2279" s="147"/>
      <c r="F2279" s="147"/>
      <c r="G2279" s="147"/>
      <c r="H2279" s="147"/>
      <c r="I2279" s="147"/>
      <c r="J2279" s="148"/>
      <c r="K2279" s="132"/>
      <c r="L2279" s="133"/>
    </row>
    <row r="2280" spans="1:14" x14ac:dyDescent="0.2">
      <c r="A2280" s="145"/>
      <c r="B2280" s="146"/>
      <c r="C2280" s="147"/>
      <c r="D2280" s="147"/>
      <c r="E2280" s="147"/>
      <c r="F2280" s="147"/>
      <c r="G2280" s="147"/>
      <c r="H2280" s="147"/>
      <c r="I2280" s="147"/>
      <c r="J2280" s="148"/>
      <c r="K2280" s="132"/>
      <c r="L2280" s="133"/>
    </row>
    <row r="2281" spans="1:14" x14ac:dyDescent="0.2">
      <c r="A2281" s="145"/>
      <c r="B2281" s="146"/>
      <c r="C2281" s="147"/>
      <c r="D2281" s="147"/>
      <c r="E2281" s="147"/>
      <c r="F2281" s="147"/>
      <c r="G2281" s="147"/>
      <c r="H2281" s="147"/>
      <c r="I2281" s="147"/>
      <c r="J2281" s="148"/>
      <c r="K2281" s="132"/>
      <c r="L2281" s="133"/>
    </row>
    <row r="2282" spans="1:14" x14ac:dyDescent="0.2">
      <c r="A2282" s="145"/>
      <c r="B2282" s="146"/>
      <c r="C2282" s="147"/>
      <c r="D2282" s="147"/>
      <c r="E2282" s="147"/>
      <c r="F2282" s="147"/>
      <c r="G2282" s="147"/>
      <c r="H2282" s="147"/>
      <c r="I2282" s="147"/>
      <c r="J2282" s="148"/>
      <c r="K2282" s="132"/>
      <c r="L2282" s="133"/>
    </row>
    <row r="2283" spans="1:14" x14ac:dyDescent="0.2">
      <c r="A2283" s="145"/>
      <c r="B2283" s="146"/>
      <c r="C2283" s="147"/>
      <c r="D2283" s="147"/>
      <c r="E2283" s="147"/>
      <c r="F2283" s="147"/>
      <c r="G2283" s="147"/>
      <c r="H2283" s="147"/>
      <c r="I2283" s="147"/>
      <c r="J2283" s="148"/>
      <c r="K2283" s="132"/>
      <c r="L2283" s="133"/>
    </row>
    <row r="2284" spans="1:14" x14ac:dyDescent="0.2">
      <c r="A2284" s="145"/>
      <c r="B2284" s="146"/>
      <c r="C2284" s="147"/>
      <c r="D2284" s="147"/>
      <c r="E2284" s="147"/>
      <c r="F2284" s="147"/>
      <c r="G2284" s="147"/>
      <c r="H2284" s="147"/>
      <c r="I2284" s="147"/>
      <c r="J2284" s="148"/>
      <c r="K2284" s="132"/>
      <c r="L2284" s="133"/>
    </row>
    <row r="2285" spans="1:14" x14ac:dyDescent="0.2">
      <c r="A2285" s="145"/>
      <c r="B2285" s="146"/>
      <c r="C2285" s="147"/>
      <c r="D2285" s="147"/>
      <c r="E2285" s="147"/>
      <c r="F2285" s="147"/>
      <c r="G2285" s="147"/>
      <c r="H2285" s="147"/>
      <c r="I2285" s="147"/>
      <c r="J2285" s="148"/>
      <c r="K2285" s="132"/>
      <c r="L2285" s="133"/>
    </row>
    <row r="2286" spans="1:14" x14ac:dyDescent="0.2">
      <c r="A2286" s="145"/>
      <c r="B2286" s="146"/>
      <c r="C2286" s="147"/>
      <c r="D2286" s="147"/>
      <c r="E2286" s="147"/>
      <c r="F2286" s="147"/>
      <c r="G2286" s="147"/>
      <c r="H2286" s="147"/>
      <c r="I2286" s="147"/>
      <c r="J2286" s="148"/>
      <c r="K2286" s="132"/>
      <c r="L2286" s="133"/>
    </row>
    <row r="2287" spans="1:14" x14ac:dyDescent="0.2">
      <c r="A2287" s="145"/>
      <c r="B2287" s="146"/>
      <c r="C2287" s="147"/>
      <c r="D2287" s="147"/>
      <c r="E2287" s="147"/>
      <c r="F2287" s="147"/>
      <c r="G2287" s="147"/>
      <c r="H2287" s="147"/>
      <c r="I2287" s="147"/>
      <c r="J2287" s="148"/>
      <c r="K2287" s="132"/>
      <c r="L2287" s="133"/>
    </row>
    <row r="2288" spans="1:14" x14ac:dyDescent="0.2">
      <c r="A2288" s="145"/>
      <c r="B2288" s="146"/>
      <c r="C2288" s="147"/>
      <c r="D2288" s="147"/>
      <c r="E2288" s="147"/>
      <c r="F2288" s="147"/>
      <c r="G2288" s="147"/>
      <c r="H2288" s="147"/>
      <c r="I2288" s="147"/>
      <c r="J2288" s="148"/>
      <c r="K2288" s="132"/>
      <c r="L2288" s="133"/>
    </row>
    <row r="2289" spans="1:12" x14ac:dyDescent="0.2">
      <c r="A2289" s="145"/>
      <c r="B2289" s="146"/>
      <c r="C2289" s="147"/>
      <c r="D2289" s="147"/>
      <c r="E2289" s="147"/>
      <c r="F2289" s="147"/>
      <c r="G2289" s="147"/>
      <c r="H2289" s="147"/>
      <c r="I2289" s="147"/>
      <c r="J2289" s="148"/>
      <c r="K2289" s="132"/>
      <c r="L2289" s="133"/>
    </row>
    <row r="2290" spans="1:12" x14ac:dyDescent="0.2">
      <c r="A2290" s="145"/>
      <c r="B2290" s="146"/>
      <c r="C2290" s="147"/>
      <c r="D2290" s="147"/>
      <c r="E2290" s="147"/>
      <c r="F2290" s="147"/>
      <c r="G2290" s="147"/>
      <c r="H2290" s="147"/>
      <c r="I2290" s="147"/>
      <c r="J2290" s="148"/>
      <c r="K2290" s="132"/>
      <c r="L2290" s="133"/>
    </row>
    <row r="2291" spans="1:12" x14ac:dyDescent="0.2">
      <c r="A2291" s="145"/>
      <c r="B2291" s="146"/>
      <c r="C2291" s="147"/>
      <c r="D2291" s="147"/>
      <c r="E2291" s="147"/>
      <c r="F2291" s="147"/>
      <c r="G2291" s="147"/>
      <c r="H2291" s="147"/>
      <c r="I2291" s="147"/>
      <c r="J2291" s="148"/>
      <c r="K2291" s="132"/>
      <c r="L2291" s="133"/>
    </row>
    <row r="2292" spans="1:12" ht="13.5" thickBot="1" x14ac:dyDescent="0.25">
      <c r="A2292" s="149"/>
      <c r="B2292" s="150"/>
      <c r="C2292" s="151"/>
      <c r="D2292" s="151"/>
      <c r="E2292" s="151"/>
      <c r="F2292" s="151"/>
      <c r="G2292" s="151"/>
      <c r="H2292" s="151"/>
      <c r="I2292" s="151"/>
      <c r="J2292" s="152"/>
      <c r="K2292" s="132"/>
      <c r="L2292" s="133"/>
    </row>
    <row r="2293" spans="1:12" ht="13.5" thickBot="1" x14ac:dyDescent="0.25">
      <c r="A2293" s="153"/>
      <c r="B2293" s="153"/>
      <c r="C2293" s="154"/>
      <c r="D2293" s="154"/>
      <c r="E2293" s="154"/>
      <c r="F2293" s="154"/>
      <c r="G2293" s="154"/>
      <c r="H2293" s="154"/>
      <c r="I2293" s="154"/>
      <c r="J2293" s="153"/>
      <c r="K2293" s="132"/>
      <c r="L2293" s="133"/>
    </row>
    <row r="2294" spans="1:12" ht="13.5" thickBot="1" x14ac:dyDescent="0.25">
      <c r="A2294" s="614" t="s">
        <v>62</v>
      </c>
      <c r="B2294" s="648"/>
      <c r="C2294" s="648"/>
      <c r="D2294" s="648"/>
      <c r="E2294" s="648"/>
      <c r="F2294" s="648"/>
      <c r="G2294" s="648"/>
      <c r="H2294" s="648"/>
      <c r="I2294" s="648"/>
      <c r="J2294" s="649"/>
      <c r="K2294" s="132"/>
      <c r="L2294" s="133"/>
    </row>
    <row r="2295" spans="1:12" x14ac:dyDescent="0.2">
      <c r="A2295" s="136"/>
      <c r="B2295" s="155"/>
      <c r="C2295" s="156"/>
      <c r="D2295" s="156"/>
      <c r="E2295" s="156"/>
      <c r="F2295" s="156"/>
      <c r="G2295" s="156"/>
      <c r="H2295" s="156"/>
      <c r="I2295" s="156"/>
      <c r="J2295" s="157"/>
      <c r="K2295" s="132"/>
      <c r="L2295" s="133"/>
    </row>
    <row r="2296" spans="1:12" ht="12.75" customHeight="1" x14ac:dyDescent="0.2">
      <c r="A2296" s="158" t="s">
        <v>63</v>
      </c>
      <c r="B2296" s="55"/>
      <c r="C2296" s="596" t="s">
        <v>551</v>
      </c>
      <c r="D2296" s="596"/>
      <c r="E2296" s="596"/>
      <c r="F2296" s="596"/>
      <c r="G2296" s="596"/>
      <c r="H2296" s="596"/>
      <c r="I2296" s="596"/>
      <c r="J2296" s="597"/>
      <c r="K2296" s="132"/>
      <c r="L2296" s="133"/>
    </row>
    <row r="2297" spans="1:12" x14ac:dyDescent="0.2">
      <c r="A2297" s="158"/>
      <c r="B2297" s="55"/>
      <c r="C2297" s="596"/>
      <c r="D2297" s="596"/>
      <c r="E2297" s="596"/>
      <c r="F2297" s="596"/>
      <c r="G2297" s="596"/>
      <c r="H2297" s="596"/>
      <c r="I2297" s="596"/>
      <c r="J2297" s="597"/>
      <c r="K2297" s="132"/>
      <c r="L2297" s="133"/>
    </row>
    <row r="2298" spans="1:12" x14ac:dyDescent="0.2">
      <c r="A2298" s="158"/>
      <c r="B2298" s="55"/>
      <c r="C2298" s="596"/>
      <c r="D2298" s="596"/>
      <c r="E2298" s="596"/>
      <c r="F2298" s="596"/>
      <c r="G2298" s="596"/>
      <c r="H2298" s="596"/>
      <c r="I2298" s="596"/>
      <c r="J2298" s="597"/>
      <c r="K2298" s="132"/>
      <c r="L2298" s="133"/>
    </row>
    <row r="2299" spans="1:12" x14ac:dyDescent="0.2">
      <c r="A2299" s="139"/>
      <c r="B2299" s="56"/>
      <c r="C2299" s="596"/>
      <c r="D2299" s="596"/>
      <c r="E2299" s="596"/>
      <c r="F2299" s="596"/>
      <c r="G2299" s="596"/>
      <c r="H2299" s="596"/>
      <c r="I2299" s="596"/>
      <c r="J2299" s="597"/>
      <c r="K2299" s="132"/>
      <c r="L2299" s="133"/>
    </row>
    <row r="2300" spans="1:12" x14ac:dyDescent="0.2">
      <c r="A2300" s="139"/>
      <c r="B2300" s="56"/>
      <c r="C2300" s="56"/>
      <c r="D2300" s="56"/>
      <c r="E2300" s="56"/>
      <c r="F2300" s="56"/>
      <c r="G2300" s="56"/>
      <c r="H2300" s="56"/>
      <c r="I2300" s="56"/>
      <c r="J2300" s="314"/>
      <c r="K2300" s="132"/>
      <c r="L2300" s="133"/>
    </row>
    <row r="2301" spans="1:12" ht="12.75" customHeight="1" x14ac:dyDescent="0.2">
      <c r="A2301" s="598" t="s">
        <v>64</v>
      </c>
      <c r="B2301" s="638"/>
      <c r="C2301" s="634" t="s">
        <v>547</v>
      </c>
      <c r="D2301" s="634"/>
      <c r="E2301" s="634"/>
      <c r="F2301" s="634"/>
      <c r="G2301" s="634"/>
      <c r="H2301" s="634"/>
      <c r="I2301" s="634"/>
      <c r="J2301" s="635"/>
      <c r="K2301" s="132"/>
      <c r="L2301" s="133"/>
    </row>
    <row r="2302" spans="1:12" ht="12.75" customHeight="1" x14ac:dyDescent="0.2">
      <c r="A2302" s="158"/>
      <c r="B2302" s="55"/>
      <c r="C2302" s="175"/>
      <c r="D2302" s="175"/>
      <c r="E2302" s="175"/>
      <c r="F2302" s="175"/>
      <c r="G2302" s="175"/>
      <c r="H2302" s="175"/>
      <c r="I2302" s="175"/>
      <c r="J2302" s="176"/>
      <c r="K2302" s="132"/>
      <c r="L2302" s="133"/>
    </row>
    <row r="2303" spans="1:12" x14ac:dyDescent="0.2">
      <c r="A2303" s="158" t="s">
        <v>157</v>
      </c>
      <c r="B2303" s="55"/>
      <c r="C2303" s="662" t="s">
        <v>552</v>
      </c>
      <c r="D2303" s="662"/>
      <c r="E2303" s="662"/>
      <c r="F2303" s="662"/>
      <c r="G2303" s="662"/>
      <c r="H2303" s="662"/>
      <c r="I2303" s="662"/>
      <c r="J2303" s="663"/>
      <c r="K2303" s="132"/>
      <c r="L2303" s="133"/>
    </row>
    <row r="2304" spans="1:12" ht="12.75" customHeight="1" x14ac:dyDescent="0.2">
      <c r="A2304" s="158"/>
      <c r="B2304" s="55"/>
      <c r="C2304" s="652" t="s">
        <v>553</v>
      </c>
      <c r="D2304" s="652"/>
      <c r="E2304" s="652"/>
      <c r="F2304" s="652"/>
      <c r="G2304" s="652"/>
      <c r="H2304" s="652"/>
      <c r="I2304" s="652"/>
      <c r="J2304" s="653"/>
      <c r="K2304" s="132"/>
      <c r="L2304" s="133"/>
    </row>
    <row r="2305" spans="1:12" x14ac:dyDescent="0.2">
      <c r="A2305" s="158"/>
      <c r="B2305" s="55"/>
      <c r="C2305" s="652"/>
      <c r="D2305" s="652"/>
      <c r="E2305" s="652"/>
      <c r="F2305" s="652"/>
      <c r="G2305" s="652"/>
      <c r="H2305" s="652"/>
      <c r="I2305" s="652"/>
      <c r="J2305" s="653"/>
      <c r="K2305" s="132"/>
      <c r="L2305" s="133"/>
    </row>
    <row r="2306" spans="1:12" ht="12.75" customHeight="1" x14ac:dyDescent="0.2">
      <c r="A2306" s="158"/>
      <c r="B2306" s="55"/>
      <c r="C2306" s="171" t="s">
        <v>548</v>
      </c>
      <c r="D2306" s="171"/>
      <c r="E2306" s="171"/>
      <c r="F2306" s="171"/>
      <c r="G2306" s="171"/>
      <c r="H2306" s="171"/>
      <c r="I2306" s="171"/>
      <c r="J2306" s="303"/>
      <c r="K2306" s="132"/>
      <c r="L2306" s="133"/>
    </row>
    <row r="2307" spans="1:12" x14ac:dyDescent="0.2">
      <c r="A2307" s="158"/>
      <c r="B2307" s="55"/>
      <c r="C2307" s="634" t="s">
        <v>549</v>
      </c>
      <c r="D2307" s="634"/>
      <c r="E2307" s="634"/>
      <c r="F2307" s="634"/>
      <c r="G2307" s="634"/>
      <c r="H2307" s="634"/>
      <c r="I2307" s="634"/>
      <c r="J2307" s="635"/>
      <c r="K2307" s="132"/>
      <c r="L2307" s="133"/>
    </row>
    <row r="2308" spans="1:12" x14ac:dyDescent="0.2">
      <c r="A2308" s="158"/>
      <c r="B2308" s="55"/>
      <c r="C2308" s="71"/>
      <c r="D2308" s="71"/>
      <c r="E2308" s="71"/>
      <c r="F2308" s="71"/>
      <c r="G2308" s="71"/>
      <c r="H2308" s="71"/>
      <c r="I2308" s="71"/>
      <c r="J2308" s="174"/>
      <c r="K2308" s="132"/>
      <c r="L2308" s="133"/>
    </row>
    <row r="2309" spans="1:12" x14ac:dyDescent="0.2">
      <c r="A2309" s="158"/>
      <c r="B2309" s="55"/>
      <c r="C2309" s="71"/>
      <c r="D2309" s="71"/>
      <c r="E2309" s="71"/>
      <c r="F2309" s="71"/>
      <c r="G2309" s="71"/>
      <c r="H2309" s="71"/>
      <c r="I2309" s="71"/>
      <c r="J2309" s="174"/>
      <c r="K2309" s="132"/>
      <c r="L2309" s="133"/>
    </row>
    <row r="2310" spans="1:12" x14ac:dyDescent="0.2">
      <c r="A2310" s="158"/>
      <c r="B2310" s="55"/>
      <c r="C2310" s="71"/>
      <c r="D2310" s="71"/>
      <c r="E2310" s="71"/>
      <c r="F2310" s="71"/>
      <c r="G2310" s="71"/>
      <c r="H2310" s="71"/>
      <c r="I2310" s="71"/>
      <c r="J2310" s="174"/>
      <c r="K2310" s="132"/>
      <c r="L2310" s="133"/>
    </row>
    <row r="2311" spans="1:12" x14ac:dyDescent="0.2">
      <c r="A2311" s="158"/>
      <c r="B2311" s="55"/>
      <c r="C2311" s="71"/>
      <c r="D2311" s="71"/>
      <c r="E2311" s="71"/>
      <c r="F2311" s="71"/>
      <c r="G2311" s="71"/>
      <c r="H2311" s="71"/>
      <c r="I2311" s="71"/>
      <c r="J2311" s="174"/>
      <c r="K2311" s="132"/>
      <c r="L2311" s="133"/>
    </row>
    <row r="2312" spans="1:12" x14ac:dyDescent="0.2">
      <c r="A2312" s="158"/>
      <c r="B2312" s="55"/>
      <c r="C2312" s="71"/>
      <c r="D2312" s="71"/>
      <c r="E2312" s="71"/>
      <c r="F2312" s="71"/>
      <c r="G2312" s="71"/>
      <c r="H2312" s="71"/>
      <c r="I2312" s="71"/>
      <c r="J2312" s="174"/>
      <c r="K2312" s="132"/>
      <c r="L2312" s="133"/>
    </row>
    <row r="2313" spans="1:12" x14ac:dyDescent="0.2">
      <c r="A2313" s="158"/>
      <c r="B2313" s="55"/>
      <c r="C2313" s="71"/>
      <c r="D2313" s="71"/>
      <c r="E2313" s="71"/>
      <c r="F2313" s="71"/>
      <c r="G2313" s="71"/>
      <c r="H2313" s="71"/>
      <c r="I2313" s="71"/>
      <c r="J2313" s="174"/>
      <c r="K2313" s="132"/>
      <c r="L2313" s="133"/>
    </row>
    <row r="2314" spans="1:12" x14ac:dyDescent="0.2">
      <c r="A2314" s="158"/>
      <c r="B2314" s="55"/>
      <c r="C2314" s="71"/>
      <c r="D2314" s="71"/>
      <c r="E2314" s="71"/>
      <c r="F2314" s="71"/>
      <c r="G2314" s="71"/>
      <c r="H2314" s="71"/>
      <c r="I2314" s="71"/>
      <c r="J2314" s="174"/>
      <c r="K2314" s="132"/>
      <c r="L2314" s="133"/>
    </row>
    <row r="2315" spans="1:12" x14ac:dyDescent="0.2">
      <c r="A2315" s="158"/>
      <c r="B2315" s="55"/>
      <c r="C2315" s="175"/>
      <c r="D2315" s="175"/>
      <c r="E2315" s="172"/>
      <c r="F2315" s="172"/>
      <c r="G2315" s="172"/>
      <c r="H2315" s="172"/>
      <c r="I2315" s="172"/>
      <c r="J2315" s="173"/>
      <c r="K2315" s="132"/>
      <c r="L2315" s="133"/>
    </row>
    <row r="2316" spans="1:12" x14ac:dyDescent="0.2">
      <c r="A2316" s="158"/>
      <c r="B2316" s="55"/>
      <c r="C2316" s="175"/>
      <c r="D2316" s="175"/>
      <c r="E2316" s="172"/>
      <c r="F2316" s="172"/>
      <c r="G2316" s="172"/>
      <c r="H2316" s="172"/>
      <c r="I2316" s="172"/>
      <c r="J2316" s="173"/>
      <c r="K2316" s="132"/>
      <c r="L2316" s="133"/>
    </row>
    <row r="2317" spans="1:12" x14ac:dyDescent="0.2">
      <c r="A2317" s="158"/>
      <c r="B2317" s="55"/>
      <c r="C2317" s="175"/>
      <c r="D2317" s="175"/>
      <c r="E2317" s="172"/>
      <c r="F2317" s="172"/>
      <c r="G2317" s="172"/>
      <c r="H2317" s="172"/>
      <c r="I2317" s="172"/>
      <c r="J2317" s="173"/>
      <c r="K2317" s="132"/>
      <c r="L2317" s="133"/>
    </row>
    <row r="2318" spans="1:12" ht="13.5" thickBot="1" x14ac:dyDescent="0.25">
      <c r="A2318" s="149"/>
      <c r="B2318" s="167"/>
      <c r="C2318" s="151"/>
      <c r="D2318" s="151"/>
      <c r="E2318" s="151"/>
      <c r="F2318" s="151"/>
      <c r="G2318" s="151"/>
      <c r="H2318" s="151"/>
      <c r="I2318" s="151"/>
      <c r="J2318" s="168"/>
      <c r="K2318" s="132"/>
      <c r="L2318" s="133"/>
    </row>
    <row r="2319" spans="1:12" ht="15.75" x14ac:dyDescent="0.2">
      <c r="A2319" s="602" t="s">
        <v>4</v>
      </c>
      <c r="B2319" s="603"/>
      <c r="C2319" s="603" t="str">
        <f>'A IV.A'!$B$43</f>
        <v>FECHAMENTOS, PROTEÇÕES E ALVENARIAS EM GERAL</v>
      </c>
      <c r="D2319" s="603"/>
      <c r="E2319" s="603"/>
      <c r="F2319" s="603"/>
      <c r="G2319" s="603"/>
      <c r="H2319" s="603"/>
      <c r="I2319" s="603"/>
      <c r="J2319" s="604"/>
      <c r="K2319" s="132"/>
      <c r="L2319" s="133"/>
    </row>
    <row r="2320" spans="1:12" x14ac:dyDescent="0.2">
      <c r="A2320" s="609" t="str">
        <f>'A IV.A'!$A$43</f>
        <v>3.0</v>
      </c>
      <c r="B2320" s="610"/>
      <c r="C2320" s="605"/>
      <c r="D2320" s="605"/>
      <c r="E2320" s="605"/>
      <c r="F2320" s="605"/>
      <c r="G2320" s="605"/>
      <c r="H2320" s="605"/>
      <c r="I2320" s="605"/>
      <c r="J2320" s="606"/>
      <c r="K2320" s="132"/>
      <c r="L2320" s="133"/>
    </row>
    <row r="2321" spans="1:14" ht="13.5" thickBot="1" x14ac:dyDescent="0.25">
      <c r="A2321" s="611"/>
      <c r="B2321" s="612"/>
      <c r="C2321" s="607"/>
      <c r="D2321" s="607"/>
      <c r="E2321" s="607"/>
      <c r="F2321" s="607"/>
      <c r="G2321" s="607"/>
      <c r="H2321" s="607"/>
      <c r="I2321" s="607"/>
      <c r="J2321" s="608"/>
      <c r="K2321" s="132"/>
      <c r="L2321" s="133"/>
    </row>
    <row r="2322" spans="1:14" ht="13.5" thickBot="1" x14ac:dyDescent="0.25">
      <c r="A2322" s="169"/>
      <c r="B2322" s="169"/>
      <c r="C2322" s="613"/>
      <c r="D2322" s="613"/>
      <c r="E2322" s="613"/>
      <c r="F2322" s="613"/>
      <c r="G2322" s="613"/>
      <c r="H2322" s="613"/>
      <c r="I2322" s="613"/>
      <c r="J2322" s="169"/>
      <c r="K2322" s="132"/>
      <c r="L2322" s="133"/>
    </row>
    <row r="2323" spans="1:14" ht="13.5" thickBot="1" x14ac:dyDescent="0.25">
      <c r="A2323" s="614" t="s">
        <v>60</v>
      </c>
      <c r="B2323" s="615"/>
      <c r="C2323" s="616" t="s">
        <v>61</v>
      </c>
      <c r="D2323" s="617"/>
      <c r="E2323" s="617"/>
      <c r="F2323" s="617"/>
      <c r="G2323" s="617"/>
      <c r="H2323" s="617"/>
      <c r="I2323" s="618"/>
      <c r="J2323" s="260" t="s">
        <v>0</v>
      </c>
      <c r="K2323" s="132"/>
      <c r="L2323" s="133"/>
    </row>
    <row r="2324" spans="1:14" x14ac:dyDescent="0.2">
      <c r="A2324" s="136"/>
      <c r="B2324" s="137"/>
      <c r="C2324" s="619"/>
      <c r="D2324" s="620"/>
      <c r="E2324" s="621"/>
      <c r="F2324" s="621"/>
      <c r="G2324" s="621"/>
      <c r="H2324" s="621"/>
      <c r="I2324" s="622"/>
      <c r="J2324" s="138"/>
      <c r="K2324" s="132"/>
      <c r="L2324" s="133"/>
    </row>
    <row r="2325" spans="1:14" x14ac:dyDescent="0.2">
      <c r="A2325" s="623" t="str">
        <f>'A IV.A'!$A$77</f>
        <v>3.4.8</v>
      </c>
      <c r="B2325" s="624"/>
      <c r="C2325" s="626" t="str">
        <f>'A IV.A'!$B$77</f>
        <v>LANÇAMENTO, ESPALHAMENTO E ACOMODAÇÃO MECANIZADA DE BRITA PARA COBERTURA DE PÁTIO</v>
      </c>
      <c r="D2325" s="627"/>
      <c r="E2325" s="627"/>
      <c r="F2325" s="627"/>
      <c r="G2325" s="627"/>
      <c r="H2325" s="627"/>
      <c r="I2325" s="628"/>
      <c r="J2325" s="629" t="str">
        <f>'A IV.A'!$C$77</f>
        <v>M3</v>
      </c>
      <c r="K2325" s="630" t="str">
        <f>VLOOKUP(A2325,'A IV.A'!$A$14:$M$233,2,FALSE)</f>
        <v>LANÇAMENTO, ESPALHAMENTO E ACOMODAÇÃO MECANIZADA DE BRITA PARA COBERTURA DE PÁTIO</v>
      </c>
      <c r="L2325" s="631" t="str">
        <f>IF(C2325=K2325,"sim","nao")</f>
        <v>sim</v>
      </c>
      <c r="M2325" s="631" t="str">
        <f>VLOOKUP(A2325,'A IV.A'!$A$14:$M$233,3,FALSE)</f>
        <v>M3</v>
      </c>
      <c r="N2325" s="631" t="str">
        <f>IF(J2325=M2325,"sim","nao")</f>
        <v>sim</v>
      </c>
    </row>
    <row r="2326" spans="1:14" x14ac:dyDescent="0.2">
      <c r="A2326" s="625"/>
      <c r="B2326" s="624"/>
      <c r="C2326" s="626"/>
      <c r="D2326" s="627"/>
      <c r="E2326" s="627"/>
      <c r="F2326" s="627"/>
      <c r="G2326" s="627"/>
      <c r="H2326" s="627"/>
      <c r="I2326" s="628"/>
      <c r="J2326" s="629"/>
      <c r="K2326" s="630"/>
      <c r="L2326" s="631"/>
      <c r="M2326" s="631"/>
      <c r="N2326" s="631"/>
    </row>
    <row r="2327" spans="1:14" x14ac:dyDescent="0.2">
      <c r="A2327" s="139"/>
      <c r="B2327" s="140"/>
      <c r="C2327" s="141"/>
      <c r="D2327" s="142"/>
      <c r="E2327" s="142"/>
      <c r="F2327" s="142"/>
      <c r="G2327" s="142"/>
      <c r="H2327" s="142"/>
      <c r="I2327" s="143"/>
      <c r="J2327" s="144"/>
      <c r="K2327" s="132"/>
      <c r="L2327" s="133"/>
    </row>
    <row r="2328" spans="1:14" x14ac:dyDescent="0.2">
      <c r="A2328" s="158"/>
      <c r="B2328" s="188"/>
      <c r="C2328" s="189"/>
      <c r="D2328" s="165"/>
      <c r="E2328" s="165"/>
      <c r="F2328" s="165"/>
      <c r="G2328" s="165"/>
      <c r="H2328" s="165"/>
      <c r="I2328" s="190"/>
      <c r="J2328" s="191"/>
      <c r="K2328" s="192"/>
      <c r="L2328" s="55"/>
      <c r="M2328" s="55"/>
      <c r="N2328" s="55"/>
    </row>
    <row r="2329" spans="1:14" x14ac:dyDescent="0.2">
      <c r="A2329" s="158"/>
      <c r="B2329" s="188"/>
      <c r="C2329" s="189"/>
      <c r="D2329" s="165"/>
      <c r="E2329" s="165"/>
      <c r="F2329" s="165"/>
      <c r="G2329" s="165"/>
      <c r="H2329" s="165"/>
      <c r="I2329" s="190"/>
      <c r="J2329" s="191"/>
      <c r="K2329" s="192"/>
      <c r="L2329" s="55"/>
      <c r="M2329" s="55"/>
      <c r="N2329" s="55"/>
    </row>
    <row r="2330" spans="1:14" x14ac:dyDescent="0.2">
      <c r="A2330" s="145"/>
      <c r="B2330" s="146"/>
      <c r="C2330" s="147"/>
      <c r="D2330" s="147"/>
      <c r="E2330" s="147"/>
      <c r="F2330" s="147"/>
      <c r="G2330" s="147"/>
      <c r="H2330" s="147"/>
      <c r="I2330" s="147"/>
      <c r="J2330" s="148"/>
      <c r="K2330" s="132"/>
      <c r="L2330" s="133"/>
    </row>
    <row r="2331" spans="1:14" x14ac:dyDescent="0.2">
      <c r="A2331" s="158"/>
      <c r="B2331" s="188"/>
      <c r="C2331" s="189"/>
      <c r="D2331" s="165"/>
      <c r="E2331" s="165"/>
      <c r="F2331" s="165"/>
      <c r="G2331" s="165"/>
      <c r="H2331" s="165"/>
      <c r="I2331" s="190"/>
      <c r="J2331" s="191"/>
      <c r="K2331" s="630"/>
      <c r="L2331" s="631"/>
      <c r="M2331" s="631"/>
      <c r="N2331" s="631"/>
    </row>
    <row r="2332" spans="1:14" x14ac:dyDescent="0.2">
      <c r="A2332" s="158"/>
      <c r="B2332" s="188"/>
      <c r="C2332" s="189"/>
      <c r="D2332" s="165"/>
      <c r="E2332" s="165"/>
      <c r="F2332" s="165"/>
      <c r="G2332" s="165"/>
      <c r="H2332" s="165"/>
      <c r="I2332" s="190"/>
      <c r="J2332" s="191"/>
      <c r="K2332" s="630"/>
      <c r="L2332" s="631"/>
      <c r="M2332" s="631"/>
      <c r="N2332" s="631"/>
    </row>
    <row r="2333" spans="1:14" x14ac:dyDescent="0.2">
      <c r="A2333" s="145"/>
      <c r="B2333" s="146"/>
      <c r="C2333" s="147"/>
      <c r="D2333" s="147"/>
      <c r="E2333" s="147"/>
      <c r="F2333" s="147"/>
      <c r="G2333" s="147"/>
      <c r="H2333" s="147"/>
      <c r="I2333" s="147"/>
      <c r="J2333" s="148"/>
      <c r="K2333" s="132"/>
      <c r="L2333" s="133"/>
    </row>
    <row r="2334" spans="1:14" x14ac:dyDescent="0.2">
      <c r="A2334" s="145"/>
      <c r="B2334" s="146"/>
      <c r="C2334" s="147"/>
      <c r="D2334" s="147"/>
      <c r="E2334" s="147"/>
      <c r="F2334" s="147"/>
      <c r="G2334" s="147"/>
      <c r="H2334" s="147"/>
      <c r="I2334" s="147"/>
      <c r="J2334" s="148"/>
      <c r="K2334" s="132"/>
      <c r="L2334" s="133"/>
    </row>
    <row r="2335" spans="1:14" x14ac:dyDescent="0.2">
      <c r="A2335" s="145"/>
      <c r="B2335" s="146"/>
      <c r="C2335" s="147"/>
      <c r="D2335" s="147"/>
      <c r="E2335" s="147"/>
      <c r="F2335" s="147"/>
      <c r="G2335" s="147"/>
      <c r="H2335" s="147"/>
      <c r="I2335" s="147"/>
      <c r="J2335" s="148"/>
      <c r="K2335" s="132"/>
      <c r="L2335" s="133"/>
    </row>
    <row r="2336" spans="1:14" x14ac:dyDescent="0.2">
      <c r="A2336" s="145"/>
      <c r="B2336" s="146"/>
      <c r="C2336" s="147"/>
      <c r="D2336" s="147"/>
      <c r="E2336" s="147"/>
      <c r="F2336" s="147"/>
      <c r="G2336" s="147"/>
      <c r="H2336" s="147"/>
      <c r="I2336" s="147"/>
      <c r="J2336" s="148"/>
      <c r="K2336" s="132"/>
      <c r="L2336" s="133"/>
    </row>
    <row r="2337" spans="1:12" x14ac:dyDescent="0.2">
      <c r="A2337" s="145"/>
      <c r="B2337" s="146"/>
      <c r="C2337" s="147"/>
      <c r="D2337" s="147"/>
      <c r="E2337" s="147"/>
      <c r="F2337" s="147"/>
      <c r="G2337" s="147"/>
      <c r="H2337" s="147"/>
      <c r="I2337" s="147"/>
      <c r="J2337" s="148"/>
      <c r="K2337" s="132"/>
      <c r="L2337" s="133"/>
    </row>
    <row r="2338" spans="1:12" x14ac:dyDescent="0.2">
      <c r="A2338" s="145"/>
      <c r="B2338" s="146"/>
      <c r="C2338" s="147"/>
      <c r="D2338" s="147"/>
      <c r="E2338" s="147"/>
      <c r="F2338" s="147"/>
      <c r="G2338" s="147"/>
      <c r="H2338" s="147"/>
      <c r="I2338" s="147"/>
      <c r="J2338" s="148"/>
      <c r="K2338" s="132"/>
      <c r="L2338" s="133"/>
    </row>
    <row r="2339" spans="1:12" x14ac:dyDescent="0.2">
      <c r="A2339" s="145"/>
      <c r="B2339" s="146"/>
      <c r="C2339" s="147"/>
      <c r="D2339" s="147"/>
      <c r="E2339" s="147"/>
      <c r="F2339" s="147"/>
      <c r="G2339" s="147"/>
      <c r="H2339" s="147"/>
      <c r="I2339" s="147"/>
      <c r="J2339" s="148"/>
      <c r="K2339" s="132"/>
      <c r="L2339" s="133"/>
    </row>
    <row r="2340" spans="1:12" x14ac:dyDescent="0.2">
      <c r="A2340" s="145"/>
      <c r="B2340" s="146"/>
      <c r="C2340" s="147"/>
      <c r="D2340" s="147"/>
      <c r="E2340" s="147"/>
      <c r="F2340" s="147"/>
      <c r="G2340" s="147"/>
      <c r="H2340" s="147"/>
      <c r="I2340" s="147"/>
      <c r="J2340" s="148"/>
      <c r="K2340" s="132"/>
      <c r="L2340" s="133"/>
    </row>
    <row r="2341" spans="1:12" x14ac:dyDescent="0.2">
      <c r="A2341" s="145"/>
      <c r="B2341" s="146"/>
      <c r="C2341" s="147"/>
      <c r="D2341" s="147"/>
      <c r="E2341" s="147"/>
      <c r="F2341" s="147"/>
      <c r="G2341" s="147"/>
      <c r="H2341" s="147"/>
      <c r="I2341" s="147"/>
      <c r="J2341" s="148"/>
      <c r="K2341" s="132"/>
      <c r="L2341" s="133"/>
    </row>
    <row r="2342" spans="1:12" x14ac:dyDescent="0.2">
      <c r="A2342" s="145"/>
      <c r="B2342" s="146"/>
      <c r="C2342" s="147"/>
      <c r="D2342" s="147"/>
      <c r="E2342" s="147"/>
      <c r="F2342" s="147"/>
      <c r="G2342" s="147"/>
      <c r="H2342" s="147"/>
      <c r="I2342" s="147"/>
      <c r="J2342" s="148"/>
      <c r="K2342" s="132"/>
      <c r="L2342" s="133"/>
    </row>
    <row r="2343" spans="1:12" x14ac:dyDescent="0.2">
      <c r="A2343" s="145"/>
      <c r="B2343" s="146"/>
      <c r="C2343" s="147"/>
      <c r="D2343" s="147"/>
      <c r="E2343" s="147"/>
      <c r="F2343" s="147"/>
      <c r="G2343" s="147"/>
      <c r="H2343" s="147"/>
      <c r="I2343" s="147"/>
      <c r="J2343" s="148"/>
      <c r="K2343" s="132"/>
      <c r="L2343" s="133"/>
    </row>
    <row r="2344" spans="1:12" x14ac:dyDescent="0.2">
      <c r="A2344" s="145"/>
      <c r="B2344" s="146"/>
      <c r="C2344" s="147"/>
      <c r="D2344" s="147"/>
      <c r="E2344" s="147"/>
      <c r="F2344" s="147"/>
      <c r="G2344" s="147"/>
      <c r="H2344" s="147"/>
      <c r="I2344" s="147"/>
      <c r="J2344" s="148"/>
      <c r="K2344" s="132"/>
      <c r="L2344" s="133"/>
    </row>
    <row r="2345" spans="1:12" x14ac:dyDescent="0.2">
      <c r="A2345" s="145"/>
      <c r="B2345" s="146"/>
      <c r="C2345" s="147"/>
      <c r="D2345" s="147"/>
      <c r="E2345" s="147"/>
      <c r="F2345" s="147"/>
      <c r="G2345" s="147"/>
      <c r="H2345" s="147"/>
      <c r="I2345" s="147"/>
      <c r="J2345" s="148"/>
      <c r="K2345" s="132"/>
      <c r="L2345" s="133"/>
    </row>
    <row r="2346" spans="1:12" ht="13.5" thickBot="1" x14ac:dyDescent="0.25">
      <c r="A2346" s="149"/>
      <c r="B2346" s="150"/>
      <c r="C2346" s="151"/>
      <c r="D2346" s="151"/>
      <c r="E2346" s="151"/>
      <c r="F2346" s="151"/>
      <c r="G2346" s="151"/>
      <c r="H2346" s="151"/>
      <c r="I2346" s="151"/>
      <c r="J2346" s="152"/>
      <c r="K2346" s="132"/>
      <c r="L2346" s="133"/>
    </row>
    <row r="2347" spans="1:12" ht="13.5" thickBot="1" x14ac:dyDescent="0.25">
      <c r="A2347" s="153"/>
      <c r="B2347" s="153"/>
      <c r="C2347" s="154"/>
      <c r="D2347" s="154"/>
      <c r="E2347" s="154"/>
      <c r="F2347" s="154"/>
      <c r="G2347" s="154"/>
      <c r="H2347" s="154"/>
      <c r="I2347" s="154"/>
      <c r="J2347" s="153"/>
      <c r="K2347" s="132"/>
      <c r="L2347" s="133"/>
    </row>
    <row r="2348" spans="1:12" ht="13.5" thickBot="1" x14ac:dyDescent="0.25">
      <c r="A2348" s="614" t="s">
        <v>62</v>
      </c>
      <c r="B2348" s="648"/>
      <c r="C2348" s="648"/>
      <c r="D2348" s="648"/>
      <c r="E2348" s="648"/>
      <c r="F2348" s="648"/>
      <c r="G2348" s="648"/>
      <c r="H2348" s="648"/>
      <c r="I2348" s="648"/>
      <c r="J2348" s="649"/>
      <c r="K2348" s="132"/>
      <c r="L2348" s="133"/>
    </row>
    <row r="2349" spans="1:12" x14ac:dyDescent="0.2">
      <c r="A2349" s="136"/>
      <c r="B2349" s="155"/>
      <c r="C2349" s="156"/>
      <c r="D2349" s="156"/>
      <c r="E2349" s="156"/>
      <c r="F2349" s="156"/>
      <c r="G2349" s="156"/>
      <c r="H2349" s="156"/>
      <c r="I2349" s="156"/>
      <c r="J2349" s="157"/>
      <c r="K2349" s="132"/>
      <c r="L2349" s="133"/>
    </row>
    <row r="2350" spans="1:12" ht="12.75" customHeight="1" x14ac:dyDescent="0.2">
      <c r="A2350" s="677" t="s">
        <v>63</v>
      </c>
      <c r="B2350" s="662"/>
      <c r="C2350" s="596" t="s">
        <v>1062</v>
      </c>
      <c r="D2350" s="596"/>
      <c r="E2350" s="596"/>
      <c r="F2350" s="596"/>
      <c r="G2350" s="596"/>
      <c r="H2350" s="596"/>
      <c r="I2350" s="596"/>
      <c r="J2350" s="597"/>
      <c r="K2350" s="132"/>
      <c r="L2350" s="133"/>
    </row>
    <row r="2351" spans="1:12" x14ac:dyDescent="0.2">
      <c r="A2351" s="213"/>
      <c r="B2351" s="214"/>
      <c r="C2351" s="596"/>
      <c r="D2351" s="596"/>
      <c r="E2351" s="596"/>
      <c r="F2351" s="596"/>
      <c r="G2351" s="596"/>
      <c r="H2351" s="596"/>
      <c r="I2351" s="596"/>
      <c r="J2351" s="597"/>
      <c r="K2351" s="132"/>
      <c r="L2351" s="133"/>
    </row>
    <row r="2352" spans="1:12" x14ac:dyDescent="0.2">
      <c r="A2352" s="158"/>
      <c r="B2352" s="55"/>
      <c r="C2352" s="596"/>
      <c r="D2352" s="596"/>
      <c r="E2352" s="596"/>
      <c r="F2352" s="596"/>
      <c r="G2352" s="596"/>
      <c r="H2352" s="596"/>
      <c r="I2352" s="596"/>
      <c r="J2352" s="597"/>
      <c r="K2352" s="132"/>
      <c r="L2352" s="133"/>
    </row>
    <row r="2353" spans="1:12" x14ac:dyDescent="0.2">
      <c r="A2353" s="158"/>
      <c r="B2353" s="55"/>
      <c r="C2353" s="175"/>
      <c r="D2353" s="175"/>
      <c r="E2353" s="175"/>
      <c r="F2353" s="175"/>
      <c r="G2353" s="175"/>
      <c r="H2353" s="175"/>
      <c r="I2353" s="175"/>
      <c r="J2353" s="176"/>
      <c r="K2353" s="132"/>
      <c r="L2353" s="133"/>
    </row>
    <row r="2354" spans="1:12" x14ac:dyDescent="0.2">
      <c r="A2354" s="598" t="s">
        <v>64</v>
      </c>
      <c r="B2354" s="638"/>
      <c r="C2354" s="596" t="s">
        <v>555</v>
      </c>
      <c r="D2354" s="596"/>
      <c r="E2354" s="596"/>
      <c r="F2354" s="596"/>
      <c r="G2354" s="596"/>
      <c r="H2354" s="596"/>
      <c r="I2354" s="596"/>
      <c r="J2354" s="597"/>
      <c r="K2354" s="132"/>
      <c r="L2354" s="133"/>
    </row>
    <row r="2355" spans="1:12" x14ac:dyDescent="0.2">
      <c r="A2355" s="158"/>
      <c r="B2355" s="55"/>
      <c r="C2355" s="71"/>
      <c r="D2355" s="71"/>
      <c r="E2355" s="71"/>
      <c r="F2355" s="71"/>
      <c r="G2355" s="71"/>
      <c r="H2355" s="71"/>
      <c r="I2355" s="71"/>
      <c r="J2355" s="174"/>
      <c r="K2355" s="132"/>
      <c r="L2355" s="133"/>
    </row>
    <row r="2356" spans="1:12" x14ac:dyDescent="0.2">
      <c r="A2356" s="158"/>
      <c r="B2356" s="55"/>
      <c r="C2356" s="71"/>
      <c r="D2356" s="71"/>
      <c r="E2356" s="71"/>
      <c r="F2356" s="71"/>
      <c r="G2356" s="71"/>
      <c r="H2356" s="71"/>
      <c r="I2356" s="71"/>
      <c r="J2356" s="174"/>
      <c r="K2356" s="132"/>
      <c r="L2356" s="133"/>
    </row>
    <row r="2357" spans="1:12" x14ac:dyDescent="0.2">
      <c r="A2357" s="158"/>
      <c r="B2357" s="55"/>
      <c r="C2357" s="71"/>
      <c r="D2357" s="71"/>
      <c r="E2357" s="71"/>
      <c r="F2357" s="71"/>
      <c r="G2357" s="71"/>
      <c r="H2357" s="71"/>
      <c r="I2357" s="71"/>
      <c r="J2357" s="174"/>
      <c r="K2357" s="132"/>
      <c r="L2357" s="133"/>
    </row>
    <row r="2358" spans="1:12" ht="12.75" customHeight="1" x14ac:dyDescent="0.2">
      <c r="J2358" s="315"/>
      <c r="K2358" s="132"/>
      <c r="L2358" s="133"/>
    </row>
    <row r="2359" spans="1:12" x14ac:dyDescent="0.2">
      <c r="A2359" s="158"/>
      <c r="B2359" s="55"/>
      <c r="C2359" s="71"/>
      <c r="D2359" s="71"/>
      <c r="E2359" s="71"/>
      <c r="F2359" s="71"/>
      <c r="G2359" s="71"/>
      <c r="H2359" s="71"/>
      <c r="I2359" s="71"/>
      <c r="J2359" s="174"/>
      <c r="K2359" s="132"/>
      <c r="L2359" s="133"/>
    </row>
    <row r="2360" spans="1:12" x14ac:dyDescent="0.2">
      <c r="A2360" s="158"/>
      <c r="B2360" s="55"/>
      <c r="C2360" s="71"/>
      <c r="D2360" s="71"/>
      <c r="E2360" s="71"/>
      <c r="F2360" s="71"/>
      <c r="G2360" s="71"/>
      <c r="H2360" s="71"/>
      <c r="I2360" s="71"/>
      <c r="J2360" s="174"/>
      <c r="K2360" s="132"/>
      <c r="L2360" s="133"/>
    </row>
    <row r="2361" spans="1:12" x14ac:dyDescent="0.2">
      <c r="A2361" s="158"/>
      <c r="B2361" s="55"/>
      <c r="C2361" s="71"/>
      <c r="D2361" s="71"/>
      <c r="E2361" s="71"/>
      <c r="F2361" s="71"/>
      <c r="G2361" s="71"/>
      <c r="H2361" s="71"/>
      <c r="I2361" s="71"/>
      <c r="J2361" s="174"/>
      <c r="K2361" s="132"/>
      <c r="L2361" s="133"/>
    </row>
    <row r="2362" spans="1:12" x14ac:dyDescent="0.2">
      <c r="A2362" s="158"/>
      <c r="B2362" s="55"/>
      <c r="C2362" s="71"/>
      <c r="D2362" s="71"/>
      <c r="E2362" s="71"/>
      <c r="F2362" s="71"/>
      <c r="G2362" s="71"/>
      <c r="H2362" s="71"/>
      <c r="I2362" s="71"/>
      <c r="J2362" s="174"/>
      <c r="K2362" s="132"/>
      <c r="L2362" s="133"/>
    </row>
    <row r="2363" spans="1:12" x14ac:dyDescent="0.2">
      <c r="A2363" s="158"/>
      <c r="B2363" s="55"/>
      <c r="C2363" s="71"/>
      <c r="D2363" s="71"/>
      <c r="E2363" s="71"/>
      <c r="F2363" s="71"/>
      <c r="G2363" s="71"/>
      <c r="H2363" s="71"/>
      <c r="I2363" s="71"/>
      <c r="J2363" s="174"/>
      <c r="K2363" s="132"/>
      <c r="L2363" s="133"/>
    </row>
    <row r="2364" spans="1:12" x14ac:dyDescent="0.2">
      <c r="A2364" s="158"/>
      <c r="B2364" s="55"/>
      <c r="C2364" s="71"/>
      <c r="D2364" s="71"/>
      <c r="E2364" s="71"/>
      <c r="F2364" s="71"/>
      <c r="G2364" s="71"/>
      <c r="H2364" s="71"/>
      <c r="I2364" s="71"/>
      <c r="J2364" s="174"/>
      <c r="K2364" s="132"/>
      <c r="L2364" s="133"/>
    </row>
    <row r="2365" spans="1:12" x14ac:dyDescent="0.2">
      <c r="A2365" s="158"/>
      <c r="B2365" s="55"/>
      <c r="C2365" s="71"/>
      <c r="D2365" s="71"/>
      <c r="E2365" s="71"/>
      <c r="F2365" s="71"/>
      <c r="G2365" s="71"/>
      <c r="H2365" s="71"/>
      <c r="I2365" s="71"/>
      <c r="J2365" s="174"/>
      <c r="K2365" s="132"/>
      <c r="L2365" s="133"/>
    </row>
    <row r="2366" spans="1:12" x14ac:dyDescent="0.2">
      <c r="A2366" s="158"/>
      <c r="B2366" s="55"/>
      <c r="C2366" s="175"/>
      <c r="D2366" s="175"/>
      <c r="E2366" s="172"/>
      <c r="F2366" s="172"/>
      <c r="G2366" s="172"/>
      <c r="H2366" s="172"/>
      <c r="I2366" s="172"/>
      <c r="J2366" s="173"/>
      <c r="K2366" s="132"/>
      <c r="L2366" s="133"/>
    </row>
    <row r="2367" spans="1:12" x14ac:dyDescent="0.2">
      <c r="A2367" s="158"/>
      <c r="B2367" s="55"/>
      <c r="C2367" s="175"/>
      <c r="D2367" s="175"/>
      <c r="E2367" s="172"/>
      <c r="F2367" s="172"/>
      <c r="G2367" s="172"/>
      <c r="H2367" s="172"/>
      <c r="I2367" s="172"/>
      <c r="J2367" s="173"/>
      <c r="K2367" s="132"/>
      <c r="L2367" s="133"/>
    </row>
    <row r="2368" spans="1:12" x14ac:dyDescent="0.2">
      <c r="A2368" s="158"/>
      <c r="B2368" s="55"/>
      <c r="C2368" s="175"/>
      <c r="D2368" s="175"/>
      <c r="E2368" s="172"/>
      <c r="F2368" s="172"/>
      <c r="G2368" s="172"/>
      <c r="H2368" s="172"/>
      <c r="I2368" s="172"/>
      <c r="J2368" s="173"/>
      <c r="K2368" s="132"/>
      <c r="L2368" s="133"/>
    </row>
    <row r="2369" spans="1:14" x14ac:dyDescent="0.2">
      <c r="A2369" s="158"/>
      <c r="B2369" s="55"/>
      <c r="C2369" s="175"/>
      <c r="D2369" s="175"/>
      <c r="E2369" s="175"/>
      <c r="F2369" s="175"/>
      <c r="G2369" s="175"/>
      <c r="H2369" s="175"/>
      <c r="I2369" s="175"/>
      <c r="J2369" s="176"/>
      <c r="K2369" s="132"/>
      <c r="L2369" s="133"/>
    </row>
    <row r="2370" spans="1:14" x14ac:dyDescent="0.2">
      <c r="A2370" s="158"/>
      <c r="B2370" s="55"/>
      <c r="C2370" s="175"/>
      <c r="D2370" s="175"/>
      <c r="E2370" s="175"/>
      <c r="F2370" s="175"/>
      <c r="G2370" s="175"/>
      <c r="H2370" s="175"/>
      <c r="I2370" s="175"/>
      <c r="J2370" s="176"/>
      <c r="K2370" s="132"/>
      <c r="L2370" s="133"/>
    </row>
    <row r="2371" spans="1:14" x14ac:dyDescent="0.2">
      <c r="A2371" s="158"/>
      <c r="B2371" s="55"/>
      <c r="C2371" s="175"/>
      <c r="D2371" s="175"/>
      <c r="E2371" s="175"/>
      <c r="F2371" s="175"/>
      <c r="G2371" s="175"/>
      <c r="H2371" s="175"/>
      <c r="I2371" s="175"/>
      <c r="J2371" s="176"/>
      <c r="K2371" s="132"/>
      <c r="L2371" s="133"/>
    </row>
    <row r="2372" spans="1:14" ht="13.5" thickBot="1" x14ac:dyDescent="0.25">
      <c r="A2372" s="149"/>
      <c r="B2372" s="167"/>
      <c r="C2372" s="151"/>
      <c r="D2372" s="151"/>
      <c r="E2372" s="151"/>
      <c r="F2372" s="151"/>
      <c r="G2372" s="151"/>
      <c r="H2372" s="151"/>
      <c r="I2372" s="151"/>
      <c r="J2372" s="168"/>
      <c r="K2372" s="132"/>
      <c r="L2372" s="133"/>
    </row>
    <row r="2373" spans="1:14" ht="15.75" x14ac:dyDescent="0.2">
      <c r="A2373" s="602" t="s">
        <v>4</v>
      </c>
      <c r="B2373" s="603"/>
      <c r="C2373" s="603" t="str">
        <f>'A IV.A'!$B$43</f>
        <v>FECHAMENTOS, PROTEÇÕES E ALVENARIAS EM GERAL</v>
      </c>
      <c r="D2373" s="603"/>
      <c r="E2373" s="603"/>
      <c r="F2373" s="603"/>
      <c r="G2373" s="603"/>
      <c r="H2373" s="603"/>
      <c r="I2373" s="603"/>
      <c r="J2373" s="604"/>
      <c r="K2373" s="132"/>
      <c r="L2373" s="133"/>
    </row>
    <row r="2374" spans="1:14" x14ac:dyDescent="0.2">
      <c r="A2374" s="609" t="str">
        <f>'A IV.A'!$A$43</f>
        <v>3.0</v>
      </c>
      <c r="B2374" s="610"/>
      <c r="C2374" s="605"/>
      <c r="D2374" s="605"/>
      <c r="E2374" s="605"/>
      <c r="F2374" s="605"/>
      <c r="G2374" s="605"/>
      <c r="H2374" s="605"/>
      <c r="I2374" s="605"/>
      <c r="J2374" s="606"/>
      <c r="K2374" s="132"/>
      <c r="L2374" s="133"/>
    </row>
    <row r="2375" spans="1:14" ht="13.5" thickBot="1" x14ac:dyDescent="0.25">
      <c r="A2375" s="611"/>
      <c r="B2375" s="612"/>
      <c r="C2375" s="607"/>
      <c r="D2375" s="607"/>
      <c r="E2375" s="607"/>
      <c r="F2375" s="607"/>
      <c r="G2375" s="607"/>
      <c r="H2375" s="607"/>
      <c r="I2375" s="607"/>
      <c r="J2375" s="608"/>
      <c r="K2375" s="132"/>
      <c r="L2375" s="133"/>
    </row>
    <row r="2376" spans="1:14" ht="13.5" thickBot="1" x14ac:dyDescent="0.25">
      <c r="A2376" s="169"/>
      <c r="B2376" s="169"/>
      <c r="C2376" s="613"/>
      <c r="D2376" s="613"/>
      <c r="E2376" s="613"/>
      <c r="F2376" s="613"/>
      <c r="G2376" s="613"/>
      <c r="H2376" s="613"/>
      <c r="I2376" s="613"/>
      <c r="J2376" s="169"/>
      <c r="K2376" s="132"/>
      <c r="L2376" s="133"/>
    </row>
    <row r="2377" spans="1:14" ht="13.5" thickBot="1" x14ac:dyDescent="0.25">
      <c r="A2377" s="614" t="s">
        <v>60</v>
      </c>
      <c r="B2377" s="615"/>
      <c r="C2377" s="616" t="s">
        <v>61</v>
      </c>
      <c r="D2377" s="617"/>
      <c r="E2377" s="617"/>
      <c r="F2377" s="617"/>
      <c r="G2377" s="617"/>
      <c r="H2377" s="617"/>
      <c r="I2377" s="618"/>
      <c r="J2377" s="260" t="s">
        <v>0</v>
      </c>
      <c r="K2377" s="132"/>
      <c r="L2377" s="133"/>
    </row>
    <row r="2378" spans="1:14" x14ac:dyDescent="0.2">
      <c r="A2378" s="136"/>
      <c r="B2378" s="137"/>
      <c r="C2378" s="619"/>
      <c r="D2378" s="620"/>
      <c r="E2378" s="621"/>
      <c r="F2378" s="621"/>
      <c r="G2378" s="621"/>
      <c r="H2378" s="621"/>
      <c r="I2378" s="622"/>
      <c r="J2378" s="138"/>
      <c r="K2378" s="132"/>
      <c r="L2378" s="133"/>
    </row>
    <row r="2379" spans="1:14" x14ac:dyDescent="0.2">
      <c r="A2379" s="623" t="str">
        <f>'A IV.A'!A78</f>
        <v>3.4.9</v>
      </c>
      <c r="B2379" s="624"/>
      <c r="C2379" s="626" t="str">
        <f>'A IV.A'!B78</f>
        <v>LASTRO DE BRITA APILOADO</v>
      </c>
      <c r="D2379" s="627"/>
      <c r="E2379" s="627"/>
      <c r="F2379" s="627"/>
      <c r="G2379" s="627"/>
      <c r="H2379" s="627"/>
      <c r="I2379" s="628"/>
      <c r="J2379" s="629" t="str">
        <f>'A IV.A'!$C$80</f>
        <v>M3</v>
      </c>
      <c r="K2379" s="630" t="str">
        <f>VLOOKUP(A2379,'A IV.A'!$A$14:$M$233,2,FALSE)</f>
        <v>LASTRO DE BRITA APILOADO</v>
      </c>
      <c r="L2379" s="631" t="str">
        <f>IF(C2379=K2379,"sim","nao")</f>
        <v>sim</v>
      </c>
      <c r="M2379" s="631" t="str">
        <f>VLOOKUP(A2379,'A IV.A'!$A$14:$M$233,3,FALSE)</f>
        <v>M3</v>
      </c>
      <c r="N2379" s="631" t="str">
        <f>IF(J2379=M2379,"sim","nao")</f>
        <v>sim</v>
      </c>
    </row>
    <row r="2380" spans="1:14" x14ac:dyDescent="0.2">
      <c r="A2380" s="625"/>
      <c r="B2380" s="624"/>
      <c r="C2380" s="626"/>
      <c r="D2380" s="627"/>
      <c r="E2380" s="627"/>
      <c r="F2380" s="627"/>
      <c r="G2380" s="627"/>
      <c r="H2380" s="627"/>
      <c r="I2380" s="628"/>
      <c r="J2380" s="629"/>
      <c r="K2380" s="630"/>
      <c r="L2380" s="631"/>
      <c r="M2380" s="631"/>
      <c r="N2380" s="631"/>
    </row>
    <row r="2381" spans="1:14" x14ac:dyDescent="0.2">
      <c r="A2381" s="139"/>
      <c r="B2381" s="140"/>
      <c r="C2381" s="141"/>
      <c r="D2381" s="142"/>
      <c r="E2381" s="142"/>
      <c r="F2381" s="142"/>
      <c r="G2381" s="142"/>
      <c r="H2381" s="142"/>
      <c r="I2381" s="143"/>
      <c r="J2381" s="144"/>
      <c r="K2381" s="56"/>
      <c r="L2381" s="56"/>
      <c r="M2381" s="56"/>
      <c r="N2381" s="56"/>
    </row>
    <row r="2382" spans="1:14" x14ac:dyDescent="0.2">
      <c r="A2382" s="199"/>
      <c r="B2382" s="188"/>
      <c r="C2382" s="189"/>
      <c r="D2382" s="165"/>
      <c r="E2382" s="165"/>
      <c r="F2382" s="165"/>
      <c r="G2382" s="165"/>
      <c r="H2382" s="165"/>
      <c r="I2382" s="190"/>
      <c r="J2382" s="191"/>
      <c r="K2382" s="132"/>
      <c r="L2382" s="133"/>
    </row>
    <row r="2383" spans="1:14" x14ac:dyDescent="0.2">
      <c r="A2383" s="158"/>
      <c r="B2383" s="188"/>
      <c r="C2383" s="189"/>
      <c r="D2383" s="165"/>
      <c r="E2383" s="165"/>
      <c r="F2383" s="165"/>
      <c r="G2383" s="165"/>
      <c r="H2383" s="165"/>
      <c r="I2383" s="190"/>
      <c r="J2383" s="191"/>
      <c r="K2383" s="132"/>
      <c r="L2383" s="133"/>
    </row>
    <row r="2384" spans="1:14" x14ac:dyDescent="0.2">
      <c r="A2384" s="145"/>
      <c r="B2384" s="146"/>
      <c r="C2384" s="147"/>
      <c r="D2384" s="147"/>
      <c r="E2384" s="147"/>
      <c r="F2384" s="147"/>
      <c r="G2384" s="147"/>
      <c r="H2384" s="147"/>
      <c r="I2384" s="147"/>
      <c r="J2384" s="148"/>
      <c r="K2384" s="132"/>
      <c r="L2384" s="133"/>
    </row>
    <row r="2385" spans="1:12" x14ac:dyDescent="0.2">
      <c r="A2385" s="199"/>
      <c r="B2385" s="188"/>
      <c r="C2385" s="189"/>
      <c r="D2385" s="165"/>
      <c r="E2385" s="165"/>
      <c r="F2385" s="165"/>
      <c r="G2385" s="165"/>
      <c r="H2385" s="165"/>
      <c r="I2385" s="190"/>
      <c r="J2385" s="191"/>
      <c r="K2385" s="132"/>
      <c r="L2385" s="133"/>
    </row>
    <row r="2386" spans="1:12" x14ac:dyDescent="0.2">
      <c r="A2386" s="158"/>
      <c r="B2386" s="188"/>
      <c r="C2386" s="189"/>
      <c r="D2386" s="165"/>
      <c r="E2386" s="165"/>
      <c r="F2386" s="165"/>
      <c r="G2386" s="165"/>
      <c r="H2386" s="165"/>
      <c r="I2386" s="190"/>
      <c r="J2386" s="191"/>
      <c r="K2386" s="132"/>
      <c r="L2386" s="133"/>
    </row>
    <row r="2387" spans="1:12" x14ac:dyDescent="0.2">
      <c r="A2387" s="145"/>
      <c r="B2387" s="146"/>
      <c r="C2387" s="147"/>
      <c r="D2387" s="147"/>
      <c r="E2387" s="147"/>
      <c r="F2387" s="147"/>
      <c r="G2387" s="147"/>
      <c r="H2387" s="147"/>
      <c r="I2387" s="147"/>
      <c r="J2387" s="148"/>
      <c r="K2387" s="132"/>
      <c r="L2387" s="133"/>
    </row>
    <row r="2388" spans="1:12" x14ac:dyDescent="0.2">
      <c r="A2388" s="145"/>
      <c r="B2388" s="146"/>
      <c r="C2388" s="147"/>
      <c r="D2388" s="147"/>
      <c r="E2388" s="147"/>
      <c r="F2388" s="147"/>
      <c r="G2388" s="147"/>
      <c r="H2388" s="147"/>
      <c r="I2388" s="147"/>
      <c r="J2388" s="148"/>
      <c r="K2388" s="132"/>
      <c r="L2388" s="133"/>
    </row>
    <row r="2389" spans="1:12" x14ac:dyDescent="0.2">
      <c r="A2389" s="145"/>
      <c r="B2389" s="146"/>
      <c r="C2389" s="147"/>
      <c r="D2389" s="147"/>
      <c r="E2389" s="147"/>
      <c r="F2389" s="147"/>
      <c r="G2389" s="147"/>
      <c r="H2389" s="147"/>
      <c r="I2389" s="147"/>
      <c r="J2389" s="148"/>
      <c r="K2389" s="132"/>
      <c r="L2389" s="133"/>
    </row>
    <row r="2390" spans="1:12" x14ac:dyDescent="0.2">
      <c r="A2390" s="145"/>
      <c r="B2390" s="146"/>
      <c r="C2390" s="147"/>
      <c r="D2390" s="147"/>
      <c r="E2390" s="147"/>
      <c r="F2390" s="147"/>
      <c r="G2390" s="147"/>
      <c r="H2390" s="147"/>
      <c r="I2390" s="147"/>
      <c r="J2390" s="148"/>
      <c r="K2390" s="132"/>
      <c r="L2390" s="133"/>
    </row>
    <row r="2391" spans="1:12" x14ac:dyDescent="0.2">
      <c r="A2391" s="145"/>
      <c r="B2391" s="146"/>
      <c r="C2391" s="147"/>
      <c r="D2391" s="147"/>
      <c r="E2391" s="147"/>
      <c r="F2391" s="147"/>
      <c r="G2391" s="147"/>
      <c r="H2391" s="147"/>
      <c r="I2391" s="147"/>
      <c r="J2391" s="148"/>
      <c r="K2391" s="132"/>
      <c r="L2391" s="133"/>
    </row>
    <row r="2392" spans="1:12" x14ac:dyDescent="0.2">
      <c r="A2392" s="145"/>
      <c r="B2392" s="146"/>
      <c r="C2392" s="147"/>
      <c r="D2392" s="147"/>
      <c r="E2392" s="147"/>
      <c r="F2392" s="147"/>
      <c r="G2392" s="147"/>
      <c r="H2392" s="147"/>
      <c r="I2392" s="147"/>
      <c r="J2392" s="148"/>
      <c r="K2392" s="132"/>
      <c r="L2392" s="133"/>
    </row>
    <row r="2393" spans="1:12" x14ac:dyDescent="0.2">
      <c r="A2393" s="145"/>
      <c r="B2393" s="146"/>
      <c r="C2393" s="147"/>
      <c r="D2393" s="147"/>
      <c r="E2393" s="147"/>
      <c r="F2393" s="147"/>
      <c r="G2393" s="147"/>
      <c r="H2393" s="147"/>
      <c r="I2393" s="147"/>
      <c r="J2393" s="148"/>
      <c r="K2393" s="132"/>
      <c r="L2393" s="133"/>
    </row>
    <row r="2394" spans="1:12" x14ac:dyDescent="0.2">
      <c r="A2394" s="145"/>
      <c r="B2394" s="146"/>
      <c r="C2394" s="147"/>
      <c r="D2394" s="147"/>
      <c r="E2394" s="147"/>
      <c r="F2394" s="147"/>
      <c r="G2394" s="147"/>
      <c r="H2394" s="147"/>
      <c r="I2394" s="147"/>
      <c r="J2394" s="148"/>
      <c r="K2394" s="132"/>
      <c r="L2394" s="133"/>
    </row>
    <row r="2395" spans="1:12" x14ac:dyDescent="0.2">
      <c r="A2395" s="145"/>
      <c r="B2395" s="146"/>
      <c r="C2395" s="147"/>
      <c r="D2395" s="147"/>
      <c r="E2395" s="147"/>
      <c r="F2395" s="147"/>
      <c r="G2395" s="147"/>
      <c r="H2395" s="147"/>
      <c r="I2395" s="147"/>
      <c r="J2395" s="148"/>
      <c r="K2395" s="132"/>
      <c r="L2395" s="133"/>
    </row>
    <row r="2396" spans="1:12" x14ac:dyDescent="0.2">
      <c r="A2396" s="145"/>
      <c r="B2396" s="146"/>
      <c r="C2396" s="147"/>
      <c r="D2396" s="147"/>
      <c r="E2396" s="147"/>
      <c r="F2396" s="147"/>
      <c r="G2396" s="147"/>
      <c r="H2396" s="147"/>
      <c r="I2396" s="147"/>
      <c r="J2396" s="148"/>
      <c r="K2396" s="132"/>
      <c r="L2396" s="133"/>
    </row>
    <row r="2397" spans="1:12" x14ac:dyDescent="0.2">
      <c r="A2397" s="145"/>
      <c r="B2397" s="146"/>
      <c r="C2397" s="147"/>
      <c r="D2397" s="147"/>
      <c r="E2397" s="147"/>
      <c r="F2397" s="147"/>
      <c r="G2397" s="147"/>
      <c r="H2397" s="147"/>
      <c r="I2397" s="147"/>
      <c r="J2397" s="148"/>
      <c r="K2397" s="132"/>
      <c r="L2397" s="133"/>
    </row>
    <row r="2398" spans="1:12" x14ac:dyDescent="0.2">
      <c r="A2398" s="145"/>
      <c r="B2398" s="146"/>
      <c r="C2398" s="147"/>
      <c r="D2398" s="147"/>
      <c r="E2398" s="147"/>
      <c r="F2398" s="147"/>
      <c r="G2398" s="147"/>
      <c r="H2398" s="147"/>
      <c r="I2398" s="147"/>
      <c r="J2398" s="148"/>
      <c r="K2398" s="132"/>
      <c r="L2398" s="133"/>
    </row>
    <row r="2399" spans="1:12" x14ac:dyDescent="0.2">
      <c r="A2399" s="145"/>
      <c r="B2399" s="146"/>
      <c r="C2399" s="147"/>
      <c r="D2399" s="147"/>
      <c r="E2399" s="147"/>
      <c r="F2399" s="147"/>
      <c r="G2399" s="147"/>
      <c r="H2399" s="147"/>
      <c r="I2399" s="147"/>
      <c r="J2399" s="148"/>
      <c r="K2399" s="132"/>
      <c r="L2399" s="133"/>
    </row>
    <row r="2400" spans="1:12" ht="13.5" thickBot="1" x14ac:dyDescent="0.25">
      <c r="A2400" s="149"/>
      <c r="B2400" s="150"/>
      <c r="C2400" s="151"/>
      <c r="D2400" s="151"/>
      <c r="E2400" s="151"/>
      <c r="F2400" s="151"/>
      <c r="G2400" s="151"/>
      <c r="H2400" s="151"/>
      <c r="I2400" s="151"/>
      <c r="J2400" s="152"/>
      <c r="K2400" s="132"/>
      <c r="L2400" s="133"/>
    </row>
    <row r="2401" spans="1:12" ht="13.5" thickBot="1" x14ac:dyDescent="0.25">
      <c r="A2401" s="153"/>
      <c r="B2401" s="153"/>
      <c r="C2401" s="154"/>
      <c r="D2401" s="154"/>
      <c r="E2401" s="154"/>
      <c r="F2401" s="154"/>
      <c r="G2401" s="154"/>
      <c r="H2401" s="154"/>
      <c r="I2401" s="154"/>
      <c r="J2401" s="153"/>
      <c r="K2401" s="132"/>
      <c r="L2401" s="133"/>
    </row>
    <row r="2402" spans="1:12" ht="13.5" thickBot="1" x14ac:dyDescent="0.25">
      <c r="A2402" s="614" t="s">
        <v>62</v>
      </c>
      <c r="B2402" s="648"/>
      <c r="C2402" s="648"/>
      <c r="D2402" s="648"/>
      <c r="E2402" s="648"/>
      <c r="F2402" s="648"/>
      <c r="G2402" s="648"/>
      <c r="H2402" s="648"/>
      <c r="I2402" s="648"/>
      <c r="J2402" s="649"/>
      <c r="K2402" s="132"/>
      <c r="L2402" s="133"/>
    </row>
    <row r="2403" spans="1:12" x14ac:dyDescent="0.2">
      <c r="A2403" s="136"/>
      <c r="B2403" s="155"/>
      <c r="C2403" s="156"/>
      <c r="D2403" s="156"/>
      <c r="E2403" s="156"/>
      <c r="F2403" s="156"/>
      <c r="G2403" s="156"/>
      <c r="H2403" s="156"/>
      <c r="I2403" s="156"/>
      <c r="J2403" s="157"/>
      <c r="K2403" s="132"/>
      <c r="L2403" s="133"/>
    </row>
    <row r="2404" spans="1:12" ht="12.75" customHeight="1" x14ac:dyDescent="0.2">
      <c r="A2404" s="677" t="s">
        <v>63</v>
      </c>
      <c r="B2404" s="662"/>
      <c r="C2404" s="596" t="s">
        <v>554</v>
      </c>
      <c r="D2404" s="596"/>
      <c r="E2404" s="596"/>
      <c r="F2404" s="596"/>
      <c r="G2404" s="596"/>
      <c r="H2404" s="596"/>
      <c r="I2404" s="596"/>
      <c r="J2404" s="597"/>
      <c r="K2404" s="132"/>
      <c r="L2404" s="133"/>
    </row>
    <row r="2405" spans="1:12" x14ac:dyDescent="0.2">
      <c r="A2405" s="213"/>
      <c r="B2405" s="214"/>
      <c r="C2405" s="596"/>
      <c r="D2405" s="596"/>
      <c r="E2405" s="596"/>
      <c r="F2405" s="596"/>
      <c r="G2405" s="596"/>
      <c r="H2405" s="596"/>
      <c r="I2405" s="596"/>
      <c r="J2405" s="597"/>
      <c r="K2405" s="132"/>
      <c r="L2405" s="133"/>
    </row>
    <row r="2406" spans="1:12" x14ac:dyDescent="0.2">
      <c r="A2406" s="158"/>
      <c r="B2406" s="55"/>
      <c r="C2406" s="596"/>
      <c r="D2406" s="596"/>
      <c r="E2406" s="596"/>
      <c r="F2406" s="596"/>
      <c r="G2406" s="596"/>
      <c r="H2406" s="596"/>
      <c r="I2406" s="596"/>
      <c r="J2406" s="597"/>
      <c r="K2406" s="132"/>
      <c r="L2406" s="133"/>
    </row>
    <row r="2407" spans="1:12" x14ac:dyDescent="0.2">
      <c r="A2407" s="158"/>
      <c r="B2407" s="55"/>
      <c r="C2407" s="175"/>
      <c r="D2407" s="175"/>
      <c r="E2407" s="175"/>
      <c r="F2407" s="175"/>
      <c r="G2407" s="175"/>
      <c r="H2407" s="175"/>
      <c r="I2407" s="175"/>
      <c r="J2407" s="176"/>
      <c r="K2407" s="132"/>
      <c r="L2407" s="133"/>
    </row>
    <row r="2408" spans="1:12" x14ac:dyDescent="0.2">
      <c r="A2408" s="598" t="s">
        <v>64</v>
      </c>
      <c r="B2408" s="638"/>
      <c r="C2408" s="596" t="s">
        <v>555</v>
      </c>
      <c r="D2408" s="596"/>
      <c r="E2408" s="596"/>
      <c r="F2408" s="596"/>
      <c r="G2408" s="596"/>
      <c r="H2408" s="596"/>
      <c r="I2408" s="596"/>
      <c r="J2408" s="597"/>
      <c r="K2408" s="132"/>
      <c r="L2408" s="133"/>
    </row>
    <row r="2409" spans="1:12" x14ac:dyDescent="0.2">
      <c r="A2409" s="158"/>
      <c r="B2409" s="55"/>
      <c r="C2409" s="71"/>
      <c r="D2409" s="71"/>
      <c r="E2409" s="71"/>
      <c r="F2409" s="71"/>
      <c r="G2409" s="71"/>
      <c r="H2409" s="71"/>
      <c r="I2409" s="71"/>
      <c r="J2409" s="174"/>
      <c r="K2409" s="132"/>
      <c r="L2409" s="133"/>
    </row>
    <row r="2410" spans="1:12" x14ac:dyDescent="0.2">
      <c r="A2410" s="158"/>
      <c r="B2410" s="55"/>
      <c r="C2410" s="71"/>
      <c r="D2410" s="71"/>
      <c r="E2410" s="71"/>
      <c r="F2410" s="71"/>
      <c r="G2410" s="71"/>
      <c r="H2410" s="71"/>
      <c r="I2410" s="71"/>
      <c r="J2410" s="174"/>
      <c r="K2410" s="132"/>
      <c r="L2410" s="133"/>
    </row>
    <row r="2411" spans="1:12" x14ac:dyDescent="0.2">
      <c r="A2411" s="158"/>
      <c r="B2411" s="55"/>
      <c r="C2411" s="71"/>
      <c r="D2411" s="71"/>
      <c r="E2411" s="71"/>
      <c r="F2411" s="71"/>
      <c r="G2411" s="71"/>
      <c r="H2411" s="71"/>
      <c r="I2411" s="71"/>
      <c r="J2411" s="174"/>
      <c r="K2411" s="132"/>
      <c r="L2411" s="133"/>
    </row>
    <row r="2412" spans="1:12" x14ac:dyDescent="0.2">
      <c r="J2412" s="315"/>
      <c r="K2412" s="132"/>
      <c r="L2412" s="133"/>
    </row>
    <row r="2413" spans="1:12" x14ac:dyDescent="0.2">
      <c r="A2413" s="158"/>
      <c r="B2413" s="55"/>
      <c r="C2413" s="71"/>
      <c r="D2413" s="71"/>
      <c r="E2413" s="71"/>
      <c r="F2413" s="71"/>
      <c r="G2413" s="71"/>
      <c r="H2413" s="71"/>
      <c r="I2413" s="71"/>
      <c r="J2413" s="174"/>
      <c r="K2413" s="132"/>
      <c r="L2413" s="133"/>
    </row>
    <row r="2414" spans="1:12" x14ac:dyDescent="0.2">
      <c r="A2414" s="158"/>
      <c r="B2414" s="55"/>
      <c r="C2414" s="71"/>
      <c r="D2414" s="71"/>
      <c r="E2414" s="71"/>
      <c r="F2414" s="71"/>
      <c r="G2414" s="71"/>
      <c r="H2414" s="71"/>
      <c r="I2414" s="71"/>
      <c r="J2414" s="174"/>
      <c r="K2414" s="132"/>
      <c r="L2414" s="133"/>
    </row>
    <row r="2415" spans="1:12" ht="12.75" customHeight="1" x14ac:dyDescent="0.2">
      <c r="A2415" s="158"/>
      <c r="B2415" s="55"/>
      <c r="C2415" s="71"/>
      <c r="D2415" s="71"/>
      <c r="E2415" s="71"/>
      <c r="F2415" s="71"/>
      <c r="G2415" s="71"/>
      <c r="H2415" s="71"/>
      <c r="I2415" s="71"/>
      <c r="J2415" s="174"/>
      <c r="K2415" s="132"/>
      <c r="L2415" s="133"/>
    </row>
    <row r="2416" spans="1:12" x14ac:dyDescent="0.2">
      <c r="A2416" s="158"/>
      <c r="B2416" s="55"/>
      <c r="C2416" s="71"/>
      <c r="D2416" s="71"/>
      <c r="E2416" s="71"/>
      <c r="F2416" s="71"/>
      <c r="G2416" s="71"/>
      <c r="H2416" s="71"/>
      <c r="I2416" s="71"/>
      <c r="J2416" s="174"/>
      <c r="K2416" s="132"/>
      <c r="L2416" s="133"/>
    </row>
    <row r="2417" spans="1:12" x14ac:dyDescent="0.2">
      <c r="A2417" s="158"/>
      <c r="B2417" s="55"/>
      <c r="C2417" s="71"/>
      <c r="D2417" s="71"/>
      <c r="E2417" s="71"/>
      <c r="F2417" s="71"/>
      <c r="G2417" s="71"/>
      <c r="H2417" s="71"/>
      <c r="I2417" s="71"/>
      <c r="J2417" s="174"/>
      <c r="K2417" s="132"/>
      <c r="L2417" s="133"/>
    </row>
    <row r="2418" spans="1:12" x14ac:dyDescent="0.2">
      <c r="A2418" s="158"/>
      <c r="B2418" s="55"/>
      <c r="C2418" s="71"/>
      <c r="D2418" s="71"/>
      <c r="E2418" s="71"/>
      <c r="F2418" s="71"/>
      <c r="G2418" s="71"/>
      <c r="H2418" s="71"/>
      <c r="I2418" s="71"/>
      <c r="J2418" s="174"/>
      <c r="K2418" s="132"/>
      <c r="L2418" s="133"/>
    </row>
    <row r="2419" spans="1:12" x14ac:dyDescent="0.2">
      <c r="A2419" s="158"/>
      <c r="B2419" s="55"/>
      <c r="C2419" s="71"/>
      <c r="D2419" s="71"/>
      <c r="E2419" s="71"/>
      <c r="F2419" s="71"/>
      <c r="G2419" s="71"/>
      <c r="H2419" s="71"/>
      <c r="I2419" s="71"/>
      <c r="J2419" s="174"/>
      <c r="K2419" s="132"/>
      <c r="L2419" s="133"/>
    </row>
    <row r="2420" spans="1:12" x14ac:dyDescent="0.2">
      <c r="C2420" s="175"/>
      <c r="D2420" s="175"/>
      <c r="E2420" s="175"/>
      <c r="F2420" s="175"/>
      <c r="G2420" s="175"/>
      <c r="H2420" s="175"/>
      <c r="I2420" s="175"/>
      <c r="J2420" s="176"/>
      <c r="K2420" s="132"/>
      <c r="L2420" s="133"/>
    </row>
    <row r="2421" spans="1:12" x14ac:dyDescent="0.2">
      <c r="J2421" s="315"/>
      <c r="K2421" s="132"/>
      <c r="L2421" s="133"/>
    </row>
    <row r="2422" spans="1:12" x14ac:dyDescent="0.2">
      <c r="A2422" s="158"/>
      <c r="B2422" s="55"/>
      <c r="C2422" s="71"/>
      <c r="D2422" s="71"/>
      <c r="E2422" s="71"/>
      <c r="F2422" s="71"/>
      <c r="G2422" s="71"/>
      <c r="H2422" s="71"/>
      <c r="I2422" s="71"/>
      <c r="J2422" s="174"/>
      <c r="K2422" s="132"/>
      <c r="L2422" s="133"/>
    </row>
    <row r="2423" spans="1:12" x14ac:dyDescent="0.2">
      <c r="A2423" s="158"/>
      <c r="B2423" s="55"/>
      <c r="C2423" s="71"/>
      <c r="D2423" s="71"/>
      <c r="E2423" s="71"/>
      <c r="F2423" s="71"/>
      <c r="G2423" s="71"/>
      <c r="H2423" s="71"/>
      <c r="I2423" s="71"/>
      <c r="J2423" s="174"/>
      <c r="K2423" s="132"/>
      <c r="L2423" s="133"/>
    </row>
    <row r="2424" spans="1:12" x14ac:dyDescent="0.2">
      <c r="A2424" s="158"/>
      <c r="B2424" s="55"/>
      <c r="C2424" s="175"/>
      <c r="D2424" s="175"/>
      <c r="E2424" s="172"/>
      <c r="F2424" s="172"/>
      <c r="G2424" s="172"/>
      <c r="H2424" s="172"/>
      <c r="I2424" s="172"/>
      <c r="J2424" s="173"/>
      <c r="K2424" s="132"/>
      <c r="L2424" s="133"/>
    </row>
    <row r="2425" spans="1:12" x14ac:dyDescent="0.2">
      <c r="A2425" s="158"/>
      <c r="B2425" s="55"/>
      <c r="C2425" s="175"/>
      <c r="D2425" s="175"/>
      <c r="E2425" s="172"/>
      <c r="F2425" s="172"/>
      <c r="G2425" s="172"/>
      <c r="H2425" s="172"/>
      <c r="I2425" s="172"/>
      <c r="J2425" s="173"/>
      <c r="K2425" s="132"/>
      <c r="L2425" s="133"/>
    </row>
    <row r="2426" spans="1:12" ht="13.5" thickBot="1" x14ac:dyDescent="0.25">
      <c r="A2426" s="149"/>
      <c r="B2426" s="167"/>
      <c r="C2426" s="151"/>
      <c r="D2426" s="151"/>
      <c r="E2426" s="151"/>
      <c r="F2426" s="151"/>
      <c r="G2426" s="151"/>
      <c r="H2426" s="151"/>
      <c r="I2426" s="151"/>
      <c r="J2426" s="168"/>
      <c r="K2426" s="132"/>
      <c r="L2426" s="133"/>
    </row>
    <row r="2427" spans="1:12" ht="15.75" x14ac:dyDescent="0.2">
      <c r="A2427" s="602" t="s">
        <v>4</v>
      </c>
      <c r="B2427" s="603"/>
      <c r="C2427" s="603" t="str">
        <f>'A IV.A'!$B$43</f>
        <v>FECHAMENTOS, PROTEÇÕES E ALVENARIAS EM GERAL</v>
      </c>
      <c r="D2427" s="603"/>
      <c r="E2427" s="603"/>
      <c r="F2427" s="603"/>
      <c r="G2427" s="603"/>
      <c r="H2427" s="603"/>
      <c r="I2427" s="603"/>
      <c r="J2427" s="604"/>
      <c r="K2427" s="132"/>
      <c r="L2427" s="133"/>
    </row>
    <row r="2428" spans="1:12" x14ac:dyDescent="0.2">
      <c r="A2428" s="609" t="str">
        <f>'A IV.A'!$A$43</f>
        <v>3.0</v>
      </c>
      <c r="B2428" s="610"/>
      <c r="C2428" s="605"/>
      <c r="D2428" s="605"/>
      <c r="E2428" s="605"/>
      <c r="F2428" s="605"/>
      <c r="G2428" s="605"/>
      <c r="H2428" s="605"/>
      <c r="I2428" s="605"/>
      <c r="J2428" s="606"/>
      <c r="K2428" s="132"/>
      <c r="L2428" s="133"/>
    </row>
    <row r="2429" spans="1:12" ht="13.5" thickBot="1" x14ac:dyDescent="0.25">
      <c r="A2429" s="611"/>
      <c r="B2429" s="612"/>
      <c r="C2429" s="607"/>
      <c r="D2429" s="607"/>
      <c r="E2429" s="607"/>
      <c r="F2429" s="607"/>
      <c r="G2429" s="607"/>
      <c r="H2429" s="607"/>
      <c r="I2429" s="607"/>
      <c r="J2429" s="608"/>
      <c r="K2429" s="132"/>
      <c r="L2429" s="133"/>
    </row>
    <row r="2430" spans="1:12" ht="13.5" thickBot="1" x14ac:dyDescent="0.25">
      <c r="A2430" s="169"/>
      <c r="B2430" s="169"/>
      <c r="C2430" s="613"/>
      <c r="D2430" s="613"/>
      <c r="E2430" s="613"/>
      <c r="F2430" s="613"/>
      <c r="G2430" s="613"/>
      <c r="H2430" s="613"/>
      <c r="I2430" s="613"/>
      <c r="J2430" s="169"/>
      <c r="K2430" s="132"/>
      <c r="L2430" s="133"/>
    </row>
    <row r="2431" spans="1:12" ht="13.5" thickBot="1" x14ac:dyDescent="0.25">
      <c r="A2431" s="614" t="s">
        <v>60</v>
      </c>
      <c r="B2431" s="615"/>
      <c r="C2431" s="616" t="s">
        <v>61</v>
      </c>
      <c r="D2431" s="617"/>
      <c r="E2431" s="617"/>
      <c r="F2431" s="617"/>
      <c r="G2431" s="617"/>
      <c r="H2431" s="617"/>
      <c r="I2431" s="618"/>
      <c r="J2431" s="260" t="s">
        <v>0</v>
      </c>
      <c r="K2431" s="132"/>
      <c r="L2431" s="133"/>
    </row>
    <row r="2432" spans="1:12" x14ac:dyDescent="0.2">
      <c r="A2432" s="136"/>
      <c r="B2432" s="137"/>
      <c r="C2432" s="619"/>
      <c r="D2432" s="620"/>
      <c r="E2432" s="621"/>
      <c r="F2432" s="621"/>
      <c r="G2432" s="621"/>
      <c r="H2432" s="621"/>
      <c r="I2432" s="622"/>
      <c r="J2432" s="138"/>
      <c r="K2432" s="132"/>
      <c r="L2432" s="133"/>
    </row>
    <row r="2433" spans="1:14" x14ac:dyDescent="0.2">
      <c r="A2433" s="623" t="str">
        <f>'A IV.A'!$A$80</f>
        <v>3.5.1</v>
      </c>
      <c r="B2433" s="624"/>
      <c r="C2433" s="626" t="str">
        <f>'A IV.A'!$B$80</f>
        <v xml:space="preserve">CONCRETO ESTRUTURAL USINADO, FCK=20 MPA </v>
      </c>
      <c r="D2433" s="627"/>
      <c r="E2433" s="627"/>
      <c r="F2433" s="627"/>
      <c r="G2433" s="627"/>
      <c r="H2433" s="627"/>
      <c r="I2433" s="628"/>
      <c r="J2433" s="629" t="str">
        <f>'A IV.A'!$C$80</f>
        <v>M3</v>
      </c>
      <c r="K2433" s="630" t="str">
        <f>VLOOKUP(A2433,'A IV.A'!$A$14:$M$233,2,FALSE)</f>
        <v xml:space="preserve">CONCRETO ESTRUTURAL USINADO, FCK=20 MPA </v>
      </c>
      <c r="L2433" s="631" t="str">
        <f>IF(C2433=K2433,"sim","nao")</f>
        <v>sim</v>
      </c>
      <c r="M2433" s="631" t="str">
        <f>VLOOKUP(A2433,'A IV.A'!$A$14:$M$233,3,FALSE)</f>
        <v>M3</v>
      </c>
      <c r="N2433" s="631" t="str">
        <f>IF(J2433=M2433,"sim","nao")</f>
        <v>sim</v>
      </c>
    </row>
    <row r="2434" spans="1:14" x14ac:dyDescent="0.2">
      <c r="A2434" s="625"/>
      <c r="B2434" s="624"/>
      <c r="C2434" s="626"/>
      <c r="D2434" s="627"/>
      <c r="E2434" s="627"/>
      <c r="F2434" s="627"/>
      <c r="G2434" s="627"/>
      <c r="H2434" s="627"/>
      <c r="I2434" s="628"/>
      <c r="J2434" s="629"/>
      <c r="K2434" s="630"/>
      <c r="L2434" s="631"/>
      <c r="M2434" s="631"/>
      <c r="N2434" s="631"/>
    </row>
    <row r="2435" spans="1:14" x14ac:dyDescent="0.2">
      <c r="A2435" s="139"/>
      <c r="B2435" s="140"/>
      <c r="C2435" s="141"/>
      <c r="D2435" s="142"/>
      <c r="E2435" s="142"/>
      <c r="F2435" s="142"/>
      <c r="G2435" s="142"/>
      <c r="H2435" s="142"/>
      <c r="I2435" s="143"/>
      <c r="J2435" s="144"/>
      <c r="K2435" s="132"/>
      <c r="L2435" s="133"/>
    </row>
    <row r="2436" spans="1:14" x14ac:dyDescent="0.2">
      <c r="A2436" s="199"/>
      <c r="B2436" s="188"/>
      <c r="C2436" s="189"/>
      <c r="D2436" s="165"/>
      <c r="E2436" s="165"/>
      <c r="F2436" s="165"/>
      <c r="G2436" s="165"/>
      <c r="H2436" s="165"/>
      <c r="I2436" s="190"/>
      <c r="J2436" s="191"/>
      <c r="K2436" s="630"/>
      <c r="L2436" s="631"/>
      <c r="M2436" s="631"/>
      <c r="N2436" s="631"/>
    </row>
    <row r="2437" spans="1:14" x14ac:dyDescent="0.2">
      <c r="A2437" s="158"/>
      <c r="B2437" s="188"/>
      <c r="C2437" s="189"/>
      <c r="D2437" s="165"/>
      <c r="E2437" s="165"/>
      <c r="F2437" s="165"/>
      <c r="G2437" s="165"/>
      <c r="H2437" s="165"/>
      <c r="I2437" s="190"/>
      <c r="J2437" s="191"/>
      <c r="K2437" s="630"/>
      <c r="L2437" s="631"/>
      <c r="M2437" s="631"/>
      <c r="N2437" s="631"/>
    </row>
    <row r="2438" spans="1:14" x14ac:dyDescent="0.2">
      <c r="A2438" s="145"/>
      <c r="B2438" s="146"/>
      <c r="C2438" s="147"/>
      <c r="D2438" s="147"/>
      <c r="E2438" s="147"/>
      <c r="F2438" s="147"/>
      <c r="G2438" s="147"/>
      <c r="H2438" s="147"/>
      <c r="I2438" s="147"/>
      <c r="J2438" s="148"/>
      <c r="K2438" s="132"/>
      <c r="L2438" s="133"/>
    </row>
    <row r="2439" spans="1:14" x14ac:dyDescent="0.2">
      <c r="A2439" s="199"/>
      <c r="B2439" s="188"/>
      <c r="C2439" s="189"/>
      <c r="D2439" s="165"/>
      <c r="E2439" s="165"/>
      <c r="F2439" s="165"/>
      <c r="G2439" s="165"/>
      <c r="H2439" s="165"/>
      <c r="I2439" s="190"/>
      <c r="J2439" s="191"/>
      <c r="K2439" s="630"/>
      <c r="L2439" s="631"/>
      <c r="M2439" s="631"/>
      <c r="N2439" s="631"/>
    </row>
    <row r="2440" spans="1:14" x14ac:dyDescent="0.2">
      <c r="A2440" s="158"/>
      <c r="B2440" s="188"/>
      <c r="C2440" s="189"/>
      <c r="D2440" s="165"/>
      <c r="E2440" s="165"/>
      <c r="F2440" s="165"/>
      <c r="G2440" s="165"/>
      <c r="H2440" s="165"/>
      <c r="I2440" s="190"/>
      <c r="J2440" s="191"/>
      <c r="K2440" s="630"/>
      <c r="L2440" s="631"/>
      <c r="M2440" s="631"/>
      <c r="N2440" s="631"/>
    </row>
    <row r="2441" spans="1:14" x14ac:dyDescent="0.2">
      <c r="A2441" s="145"/>
      <c r="B2441" s="146"/>
      <c r="C2441" s="147"/>
      <c r="D2441" s="147"/>
      <c r="E2441" s="147"/>
      <c r="F2441" s="147"/>
      <c r="G2441" s="147"/>
      <c r="H2441" s="147"/>
      <c r="I2441" s="147"/>
      <c r="J2441" s="148"/>
      <c r="K2441" s="132"/>
      <c r="L2441" s="133"/>
    </row>
    <row r="2442" spans="1:14" x14ac:dyDescent="0.2">
      <c r="A2442" s="145"/>
      <c r="B2442" s="146"/>
      <c r="C2442" s="147"/>
      <c r="D2442" s="147"/>
      <c r="E2442" s="147"/>
      <c r="F2442" s="147"/>
      <c r="G2442" s="147"/>
      <c r="H2442" s="147"/>
      <c r="I2442" s="147"/>
      <c r="J2442" s="148"/>
      <c r="K2442" s="132"/>
      <c r="L2442" s="133"/>
    </row>
    <row r="2443" spans="1:14" x14ac:dyDescent="0.2">
      <c r="A2443" s="145"/>
      <c r="B2443" s="146"/>
      <c r="C2443" s="147"/>
      <c r="D2443" s="147"/>
      <c r="E2443" s="147"/>
      <c r="F2443" s="147"/>
      <c r="G2443" s="147"/>
      <c r="H2443" s="147"/>
      <c r="I2443" s="147"/>
      <c r="J2443" s="148"/>
      <c r="K2443" s="132"/>
      <c r="L2443" s="133"/>
    </row>
    <row r="2444" spans="1:14" x14ac:dyDescent="0.2">
      <c r="A2444" s="145"/>
      <c r="B2444" s="146"/>
      <c r="C2444" s="147"/>
      <c r="D2444" s="147"/>
      <c r="E2444" s="147"/>
      <c r="F2444" s="147"/>
      <c r="G2444" s="147"/>
      <c r="H2444" s="147"/>
      <c r="I2444" s="147"/>
      <c r="J2444" s="148"/>
      <c r="K2444" s="132"/>
      <c r="L2444" s="133"/>
    </row>
    <row r="2445" spans="1:14" x14ac:dyDescent="0.2">
      <c r="A2445" s="145"/>
      <c r="B2445" s="146"/>
      <c r="C2445" s="147"/>
      <c r="D2445" s="147"/>
      <c r="E2445" s="147"/>
      <c r="F2445" s="147"/>
      <c r="G2445" s="147"/>
      <c r="H2445" s="147"/>
      <c r="I2445" s="147"/>
      <c r="J2445" s="148"/>
      <c r="K2445" s="132"/>
      <c r="L2445" s="133"/>
    </row>
    <row r="2446" spans="1:14" x14ac:dyDescent="0.2">
      <c r="A2446" s="145"/>
      <c r="B2446" s="146"/>
      <c r="C2446" s="147"/>
      <c r="D2446" s="147"/>
      <c r="E2446" s="147"/>
      <c r="F2446" s="147"/>
      <c r="G2446" s="147"/>
      <c r="H2446" s="147"/>
      <c r="I2446" s="147"/>
      <c r="J2446" s="148"/>
      <c r="K2446" s="132"/>
      <c r="L2446" s="133"/>
    </row>
    <row r="2447" spans="1:14" x14ac:dyDescent="0.2">
      <c r="A2447" s="145"/>
      <c r="B2447" s="146"/>
      <c r="C2447" s="147"/>
      <c r="D2447" s="147"/>
      <c r="E2447" s="147"/>
      <c r="F2447" s="147"/>
      <c r="G2447" s="147"/>
      <c r="H2447" s="147"/>
      <c r="I2447" s="147"/>
      <c r="J2447" s="148"/>
      <c r="K2447" s="132"/>
      <c r="L2447" s="133"/>
    </row>
    <row r="2448" spans="1:14" x14ac:dyDescent="0.2">
      <c r="A2448" s="145"/>
      <c r="B2448" s="146"/>
      <c r="C2448" s="147"/>
      <c r="D2448" s="147"/>
      <c r="E2448" s="147"/>
      <c r="F2448" s="147"/>
      <c r="G2448" s="147"/>
      <c r="H2448" s="147"/>
      <c r="I2448" s="147"/>
      <c r="J2448" s="148"/>
      <c r="K2448" s="132"/>
      <c r="L2448" s="133"/>
    </row>
    <row r="2449" spans="1:12" x14ac:dyDescent="0.2">
      <c r="A2449" s="145"/>
      <c r="B2449" s="146"/>
      <c r="C2449" s="147"/>
      <c r="D2449" s="147"/>
      <c r="E2449" s="147"/>
      <c r="F2449" s="147"/>
      <c r="G2449" s="147"/>
      <c r="H2449" s="147"/>
      <c r="I2449" s="147"/>
      <c r="J2449" s="148"/>
      <c r="K2449" s="132"/>
      <c r="L2449" s="133"/>
    </row>
    <row r="2450" spans="1:12" x14ac:dyDescent="0.2">
      <c r="A2450" s="145"/>
      <c r="B2450" s="146"/>
      <c r="C2450" s="147"/>
      <c r="D2450" s="147"/>
      <c r="E2450" s="147"/>
      <c r="F2450" s="147"/>
      <c r="G2450" s="147"/>
      <c r="H2450" s="147"/>
      <c r="I2450" s="147"/>
      <c r="J2450" s="148"/>
      <c r="K2450" s="132"/>
      <c r="L2450" s="133"/>
    </row>
    <row r="2451" spans="1:12" x14ac:dyDescent="0.2">
      <c r="A2451" s="145"/>
      <c r="B2451" s="146"/>
      <c r="C2451" s="147"/>
      <c r="D2451" s="147"/>
      <c r="E2451" s="147"/>
      <c r="F2451" s="147"/>
      <c r="G2451" s="147"/>
      <c r="H2451" s="147"/>
      <c r="I2451" s="147"/>
      <c r="J2451" s="148"/>
      <c r="K2451" s="132"/>
      <c r="L2451" s="133"/>
    </row>
    <row r="2452" spans="1:12" x14ac:dyDescent="0.2">
      <c r="A2452" s="145"/>
      <c r="B2452" s="146"/>
      <c r="C2452" s="147"/>
      <c r="D2452" s="147"/>
      <c r="E2452" s="147"/>
      <c r="F2452" s="147"/>
      <c r="G2452" s="147"/>
      <c r="H2452" s="147"/>
      <c r="I2452" s="147"/>
      <c r="J2452" s="148"/>
      <c r="K2452" s="132"/>
      <c r="L2452" s="133"/>
    </row>
    <row r="2453" spans="1:12" x14ac:dyDescent="0.2">
      <c r="A2453" s="145"/>
      <c r="B2453" s="146"/>
      <c r="C2453" s="147"/>
      <c r="D2453" s="147"/>
      <c r="E2453" s="147"/>
      <c r="F2453" s="147"/>
      <c r="G2453" s="147"/>
      <c r="H2453" s="147"/>
      <c r="I2453" s="147"/>
      <c r="J2453" s="148"/>
      <c r="K2453" s="132"/>
      <c r="L2453" s="133"/>
    </row>
    <row r="2454" spans="1:12" ht="13.5" thickBot="1" x14ac:dyDescent="0.25">
      <c r="A2454" s="149"/>
      <c r="B2454" s="150"/>
      <c r="C2454" s="151"/>
      <c r="D2454" s="151"/>
      <c r="E2454" s="151"/>
      <c r="F2454" s="151"/>
      <c r="G2454" s="151"/>
      <c r="H2454" s="151"/>
      <c r="I2454" s="151"/>
      <c r="J2454" s="152"/>
      <c r="K2454" s="132"/>
      <c r="L2454" s="133"/>
    </row>
    <row r="2455" spans="1:12" ht="13.5" thickBot="1" x14ac:dyDescent="0.25">
      <c r="A2455" s="153"/>
      <c r="B2455" s="153"/>
      <c r="C2455" s="154"/>
      <c r="D2455" s="154"/>
      <c r="E2455" s="154"/>
      <c r="F2455" s="154"/>
      <c r="G2455" s="154"/>
      <c r="H2455" s="154"/>
      <c r="I2455" s="154"/>
      <c r="J2455" s="153"/>
      <c r="K2455" s="132"/>
      <c r="L2455" s="133"/>
    </row>
    <row r="2456" spans="1:12" ht="13.5" thickBot="1" x14ac:dyDescent="0.25">
      <c r="A2456" s="614" t="s">
        <v>62</v>
      </c>
      <c r="B2456" s="648"/>
      <c r="C2456" s="648"/>
      <c r="D2456" s="648"/>
      <c r="E2456" s="648"/>
      <c r="F2456" s="648"/>
      <c r="G2456" s="648"/>
      <c r="H2456" s="648"/>
      <c r="I2456" s="648"/>
      <c r="J2456" s="649"/>
      <c r="K2456" s="132"/>
      <c r="L2456" s="133"/>
    </row>
    <row r="2457" spans="1:12" x14ac:dyDescent="0.2">
      <c r="A2457" s="136"/>
      <c r="B2457" s="155"/>
      <c r="C2457" s="156"/>
      <c r="D2457" s="156"/>
      <c r="E2457" s="156"/>
      <c r="F2457" s="156"/>
      <c r="G2457" s="156"/>
      <c r="H2457" s="156"/>
      <c r="I2457" s="156"/>
      <c r="J2457" s="157"/>
      <c r="K2457" s="132"/>
      <c r="L2457" s="133"/>
    </row>
    <row r="2458" spans="1:12" ht="12.75" customHeight="1" x14ac:dyDescent="0.2">
      <c r="A2458" s="158" t="s">
        <v>63</v>
      </c>
      <c r="B2458" s="55"/>
      <c r="C2458" s="596" t="s">
        <v>557</v>
      </c>
      <c r="D2458" s="596"/>
      <c r="E2458" s="596"/>
      <c r="F2458" s="596"/>
      <c r="G2458" s="596"/>
      <c r="H2458" s="596"/>
      <c r="I2458" s="596"/>
      <c r="J2458" s="597"/>
      <c r="K2458" s="132"/>
      <c r="L2458" s="133"/>
    </row>
    <row r="2459" spans="1:12" x14ac:dyDescent="0.2">
      <c r="A2459" s="158"/>
      <c r="B2459" s="55"/>
      <c r="C2459" s="596"/>
      <c r="D2459" s="596"/>
      <c r="E2459" s="596"/>
      <c r="F2459" s="596"/>
      <c r="G2459" s="596"/>
      <c r="H2459" s="596"/>
      <c r="I2459" s="596"/>
      <c r="J2459" s="597"/>
      <c r="K2459" s="132"/>
      <c r="L2459" s="133"/>
    </row>
    <row r="2460" spans="1:12" x14ac:dyDescent="0.2">
      <c r="A2460" s="158"/>
      <c r="B2460" s="55"/>
      <c r="C2460" s="596"/>
      <c r="D2460" s="596"/>
      <c r="E2460" s="596"/>
      <c r="F2460" s="596"/>
      <c r="G2460" s="596"/>
      <c r="H2460" s="596"/>
      <c r="I2460" s="596"/>
      <c r="J2460" s="597"/>
      <c r="K2460" s="132"/>
      <c r="L2460" s="133"/>
    </row>
    <row r="2461" spans="1:12" x14ac:dyDescent="0.2">
      <c r="A2461" s="158"/>
      <c r="B2461" s="55"/>
      <c r="C2461" s="596"/>
      <c r="D2461" s="596"/>
      <c r="E2461" s="596"/>
      <c r="F2461" s="596"/>
      <c r="G2461" s="596"/>
      <c r="H2461" s="596"/>
      <c r="I2461" s="596"/>
      <c r="J2461" s="597"/>
      <c r="K2461" s="132"/>
      <c r="L2461" s="133"/>
    </row>
    <row r="2462" spans="1:12" x14ac:dyDescent="0.2">
      <c r="A2462" s="158"/>
      <c r="B2462" s="55"/>
      <c r="C2462" s="596"/>
      <c r="D2462" s="596"/>
      <c r="E2462" s="596"/>
      <c r="F2462" s="596"/>
      <c r="G2462" s="596"/>
      <c r="H2462" s="596"/>
      <c r="I2462" s="596"/>
      <c r="J2462" s="597"/>
      <c r="K2462" s="132"/>
      <c r="L2462" s="133"/>
    </row>
    <row r="2463" spans="1:12" x14ac:dyDescent="0.2">
      <c r="A2463" s="158"/>
      <c r="B2463" s="55"/>
      <c r="C2463" s="596"/>
      <c r="D2463" s="596"/>
      <c r="E2463" s="596"/>
      <c r="F2463" s="596"/>
      <c r="G2463" s="596"/>
      <c r="H2463" s="596"/>
      <c r="I2463" s="596"/>
      <c r="J2463" s="597"/>
      <c r="K2463" s="132"/>
      <c r="L2463" s="133"/>
    </row>
    <row r="2464" spans="1:12" x14ac:dyDescent="0.2">
      <c r="A2464" s="158"/>
      <c r="B2464" s="55"/>
      <c r="C2464" s="596"/>
      <c r="D2464" s="596"/>
      <c r="E2464" s="596"/>
      <c r="F2464" s="596"/>
      <c r="G2464" s="596"/>
      <c r="H2464" s="596"/>
      <c r="I2464" s="596"/>
      <c r="J2464" s="597"/>
      <c r="K2464" s="132"/>
      <c r="L2464" s="133"/>
    </row>
    <row r="2465" spans="1:12" ht="12.75" customHeight="1" x14ac:dyDescent="0.2">
      <c r="A2465" s="158"/>
      <c r="B2465" s="55"/>
      <c r="C2465" s="596"/>
      <c r="D2465" s="596"/>
      <c r="E2465" s="596"/>
      <c r="F2465" s="596"/>
      <c r="G2465" s="596"/>
      <c r="H2465" s="596"/>
      <c r="I2465" s="596"/>
      <c r="J2465" s="597"/>
      <c r="K2465" s="132"/>
      <c r="L2465" s="133"/>
    </row>
    <row r="2466" spans="1:12" ht="12.75" customHeight="1" x14ac:dyDescent="0.2">
      <c r="C2466" s="596"/>
      <c r="D2466" s="596"/>
      <c r="E2466" s="596"/>
      <c r="F2466" s="596"/>
      <c r="G2466" s="596"/>
      <c r="H2466" s="596"/>
      <c r="I2466" s="596"/>
      <c r="J2466" s="597"/>
      <c r="K2466" s="132"/>
      <c r="L2466" s="133"/>
    </row>
    <row r="2467" spans="1:12" x14ac:dyDescent="0.2">
      <c r="C2467" s="596"/>
      <c r="D2467" s="596"/>
      <c r="E2467" s="596"/>
      <c r="F2467" s="596"/>
      <c r="G2467" s="596"/>
      <c r="H2467" s="596"/>
      <c r="I2467" s="596"/>
      <c r="J2467" s="597"/>
      <c r="K2467" s="132"/>
      <c r="L2467" s="133"/>
    </row>
    <row r="2468" spans="1:12" x14ac:dyDescent="0.2">
      <c r="J2468" s="315"/>
      <c r="K2468" s="132"/>
      <c r="L2468" s="133"/>
    </row>
    <row r="2469" spans="1:12" x14ac:dyDescent="0.2">
      <c r="A2469" s="677" t="s">
        <v>64</v>
      </c>
      <c r="B2469" s="662"/>
      <c r="C2469" s="596" t="s">
        <v>556</v>
      </c>
      <c r="D2469" s="596"/>
      <c r="E2469" s="596"/>
      <c r="F2469" s="596"/>
      <c r="G2469" s="596"/>
      <c r="H2469" s="596"/>
      <c r="I2469" s="596"/>
      <c r="J2469" s="597"/>
      <c r="K2469" s="132"/>
      <c r="L2469" s="133"/>
    </row>
    <row r="2470" spans="1:12" x14ac:dyDescent="0.2">
      <c r="A2470" s="203"/>
      <c r="B2470" s="159"/>
      <c r="C2470" s="596"/>
      <c r="D2470" s="596"/>
      <c r="E2470" s="596"/>
      <c r="F2470" s="596"/>
      <c r="G2470" s="596"/>
      <c r="H2470" s="596"/>
      <c r="I2470" s="596"/>
      <c r="J2470" s="597"/>
      <c r="K2470" s="132"/>
      <c r="L2470" s="133"/>
    </row>
    <row r="2471" spans="1:12" x14ac:dyDescent="0.2">
      <c r="A2471" s="158"/>
      <c r="B2471" s="55"/>
      <c r="C2471" s="71"/>
      <c r="D2471" s="71"/>
      <c r="E2471" s="71"/>
      <c r="F2471" s="71"/>
      <c r="G2471" s="71"/>
      <c r="H2471" s="71"/>
      <c r="I2471" s="71"/>
      <c r="J2471" s="174"/>
      <c r="K2471" s="132"/>
      <c r="L2471" s="133"/>
    </row>
    <row r="2472" spans="1:12" x14ac:dyDescent="0.2">
      <c r="A2472" s="158"/>
      <c r="B2472" s="55"/>
      <c r="C2472" s="71"/>
      <c r="D2472" s="71"/>
      <c r="E2472" s="71"/>
      <c r="F2472" s="71"/>
      <c r="G2472" s="71"/>
      <c r="H2472" s="71"/>
      <c r="I2472" s="71"/>
      <c r="J2472" s="174"/>
      <c r="K2472" s="132"/>
      <c r="L2472" s="133"/>
    </row>
    <row r="2473" spans="1:12" x14ac:dyDescent="0.2">
      <c r="A2473" s="158"/>
      <c r="B2473" s="55"/>
      <c r="C2473" s="71"/>
      <c r="D2473" s="71"/>
      <c r="E2473" s="71"/>
      <c r="F2473" s="71"/>
      <c r="G2473" s="71"/>
      <c r="H2473" s="71"/>
      <c r="I2473" s="71"/>
      <c r="J2473" s="174"/>
      <c r="K2473" s="132"/>
      <c r="L2473" s="133"/>
    </row>
    <row r="2474" spans="1:12" ht="12.75" customHeight="1" x14ac:dyDescent="0.2">
      <c r="C2474" s="175"/>
      <c r="D2474" s="175"/>
      <c r="E2474" s="175"/>
      <c r="F2474" s="175"/>
      <c r="G2474" s="175"/>
      <c r="H2474" s="175"/>
      <c r="I2474" s="175"/>
      <c r="J2474" s="176"/>
      <c r="K2474" s="132"/>
      <c r="L2474" s="133"/>
    </row>
    <row r="2475" spans="1:12" x14ac:dyDescent="0.2">
      <c r="J2475" s="315"/>
      <c r="K2475" s="132"/>
      <c r="L2475" s="133"/>
    </row>
    <row r="2476" spans="1:12" x14ac:dyDescent="0.2">
      <c r="A2476" s="158"/>
      <c r="B2476" s="55"/>
      <c r="C2476" s="71"/>
      <c r="D2476" s="71"/>
      <c r="E2476" s="71"/>
      <c r="F2476" s="71"/>
      <c r="G2476" s="71"/>
      <c r="H2476" s="71"/>
      <c r="I2476" s="71"/>
      <c r="J2476" s="174"/>
      <c r="K2476" s="132"/>
      <c r="L2476" s="133"/>
    </row>
    <row r="2477" spans="1:12" x14ac:dyDescent="0.2">
      <c r="A2477" s="158"/>
      <c r="B2477" s="55"/>
      <c r="C2477" s="71"/>
      <c r="D2477" s="71"/>
      <c r="E2477" s="71"/>
      <c r="F2477" s="71"/>
      <c r="G2477" s="71"/>
      <c r="H2477" s="71"/>
      <c r="I2477" s="71"/>
      <c r="J2477" s="174"/>
      <c r="K2477" s="132"/>
      <c r="L2477" s="133"/>
    </row>
    <row r="2478" spans="1:12" x14ac:dyDescent="0.2">
      <c r="A2478" s="158"/>
      <c r="B2478" s="55"/>
      <c r="C2478" s="175"/>
      <c r="D2478" s="175"/>
      <c r="E2478" s="172"/>
      <c r="F2478" s="172"/>
      <c r="G2478" s="172"/>
      <c r="H2478" s="172"/>
      <c r="I2478" s="172"/>
      <c r="J2478" s="173"/>
      <c r="K2478" s="132"/>
      <c r="L2478" s="133"/>
    </row>
    <row r="2479" spans="1:12" x14ac:dyDescent="0.2">
      <c r="A2479" s="158"/>
      <c r="B2479" s="55"/>
      <c r="C2479" s="175"/>
      <c r="D2479" s="175"/>
      <c r="E2479" s="172"/>
      <c r="F2479" s="172"/>
      <c r="G2479" s="172"/>
      <c r="H2479" s="172"/>
      <c r="I2479" s="172"/>
      <c r="J2479" s="173"/>
      <c r="K2479" s="132"/>
      <c r="L2479" s="133"/>
    </row>
    <row r="2480" spans="1:12" ht="13.5" thickBot="1" x14ac:dyDescent="0.25">
      <c r="A2480" s="149"/>
      <c r="B2480" s="167"/>
      <c r="C2480" s="151"/>
      <c r="D2480" s="151"/>
      <c r="E2480" s="151"/>
      <c r="F2480" s="151"/>
      <c r="G2480" s="151"/>
      <c r="H2480" s="151"/>
      <c r="I2480" s="151"/>
      <c r="J2480" s="168"/>
      <c r="K2480" s="132"/>
      <c r="L2480" s="133"/>
    </row>
    <row r="2481" spans="1:14" ht="15.75" x14ac:dyDescent="0.2">
      <c r="A2481" s="602" t="s">
        <v>4</v>
      </c>
      <c r="B2481" s="603"/>
      <c r="C2481" s="603" t="str">
        <f>'A IV.A'!$B$43</f>
        <v>FECHAMENTOS, PROTEÇÕES E ALVENARIAS EM GERAL</v>
      </c>
      <c r="D2481" s="603"/>
      <c r="E2481" s="603"/>
      <c r="F2481" s="603"/>
      <c r="G2481" s="603"/>
      <c r="H2481" s="603"/>
      <c r="I2481" s="603"/>
      <c r="J2481" s="604"/>
      <c r="K2481" s="132"/>
      <c r="L2481" s="133"/>
    </row>
    <row r="2482" spans="1:14" x14ac:dyDescent="0.2">
      <c r="A2482" s="609" t="str">
        <f>'A IV.A'!$A$43</f>
        <v>3.0</v>
      </c>
      <c r="B2482" s="610"/>
      <c r="C2482" s="605"/>
      <c r="D2482" s="605"/>
      <c r="E2482" s="605"/>
      <c r="F2482" s="605"/>
      <c r="G2482" s="605"/>
      <c r="H2482" s="605"/>
      <c r="I2482" s="605"/>
      <c r="J2482" s="606"/>
      <c r="K2482" s="132"/>
      <c r="L2482" s="133"/>
    </row>
    <row r="2483" spans="1:14" ht="13.5" thickBot="1" x14ac:dyDescent="0.25">
      <c r="A2483" s="611"/>
      <c r="B2483" s="612"/>
      <c r="C2483" s="607"/>
      <c r="D2483" s="607"/>
      <c r="E2483" s="607"/>
      <c r="F2483" s="607"/>
      <c r="G2483" s="607"/>
      <c r="H2483" s="607"/>
      <c r="I2483" s="607"/>
      <c r="J2483" s="608"/>
      <c r="K2483" s="132"/>
      <c r="L2483" s="133"/>
    </row>
    <row r="2484" spans="1:14" ht="13.5" thickBot="1" x14ac:dyDescent="0.25">
      <c r="A2484" s="169"/>
      <c r="B2484" s="169"/>
      <c r="C2484" s="613"/>
      <c r="D2484" s="613"/>
      <c r="E2484" s="613"/>
      <c r="F2484" s="613"/>
      <c r="G2484" s="613"/>
      <c r="H2484" s="613"/>
      <c r="I2484" s="613"/>
      <c r="J2484" s="169"/>
      <c r="K2484" s="132"/>
      <c r="L2484" s="133"/>
    </row>
    <row r="2485" spans="1:14" ht="13.5" thickBot="1" x14ac:dyDescent="0.25">
      <c r="A2485" s="614" t="s">
        <v>60</v>
      </c>
      <c r="B2485" s="615"/>
      <c r="C2485" s="616" t="s">
        <v>61</v>
      </c>
      <c r="D2485" s="617"/>
      <c r="E2485" s="617"/>
      <c r="F2485" s="617"/>
      <c r="G2485" s="617"/>
      <c r="H2485" s="617"/>
      <c r="I2485" s="618"/>
      <c r="J2485" s="260" t="s">
        <v>0</v>
      </c>
      <c r="K2485" s="132"/>
      <c r="L2485" s="133"/>
    </row>
    <row r="2486" spans="1:14" x14ac:dyDescent="0.2">
      <c r="A2486" s="136"/>
      <c r="B2486" s="137"/>
      <c r="C2486" s="619"/>
      <c r="D2486" s="620"/>
      <c r="E2486" s="621"/>
      <c r="F2486" s="621"/>
      <c r="G2486" s="621"/>
      <c r="H2486" s="621"/>
      <c r="I2486" s="622"/>
      <c r="J2486" s="138"/>
      <c r="K2486" s="132"/>
      <c r="L2486" s="133"/>
    </row>
    <row r="2487" spans="1:14" ht="12.75" customHeight="1" x14ac:dyDescent="0.2">
      <c r="A2487" s="623" t="str">
        <f>'A IV.A'!$A$81</f>
        <v>3.5.2</v>
      </c>
      <c r="B2487" s="636"/>
      <c r="C2487" s="626" t="str">
        <f>'A IV.A'!$B$81</f>
        <v xml:space="preserve">CALÇADAS E PISOS EM CONCRETO FCK=20 MPA, PREPARO MECÂNICO, ACABAMENTO CONVENCIONAL, INCLUSIVE PREPARO DE CAIXA </v>
      </c>
      <c r="D2487" s="627"/>
      <c r="E2487" s="627"/>
      <c r="F2487" s="627"/>
      <c r="G2487" s="627"/>
      <c r="H2487" s="627"/>
      <c r="I2487" s="628"/>
      <c r="J2487" s="629" t="str">
        <f>'A IV.A'!$C$81</f>
        <v>M3</v>
      </c>
      <c r="K2487" s="630" t="str">
        <f>VLOOKUP(A2487,'A IV.A'!$A$14:$M$233,2,FALSE)</f>
        <v xml:space="preserve">CALÇADAS E PISOS EM CONCRETO FCK=20 MPA, PREPARO MECÂNICO, ACABAMENTO CONVENCIONAL, INCLUSIVE PREPARO DE CAIXA </v>
      </c>
      <c r="L2487" s="631" t="str">
        <f>IF(C2487=K2487,"sim","nao")</f>
        <v>sim</v>
      </c>
      <c r="M2487" s="631" t="str">
        <f>VLOOKUP(A2487,'A IV.A'!$A$14:$M$233,3,FALSE)</f>
        <v>M3</v>
      </c>
      <c r="N2487" s="631" t="str">
        <f>IF(J2487=M2487,"sim","nao")</f>
        <v>sim</v>
      </c>
    </row>
    <row r="2488" spans="1:14" x14ac:dyDescent="0.2">
      <c r="A2488" s="623"/>
      <c r="B2488" s="636"/>
      <c r="C2488" s="626"/>
      <c r="D2488" s="627"/>
      <c r="E2488" s="627"/>
      <c r="F2488" s="627"/>
      <c r="G2488" s="627"/>
      <c r="H2488" s="627"/>
      <c r="I2488" s="628"/>
      <c r="J2488" s="629"/>
      <c r="K2488" s="630"/>
      <c r="L2488" s="631"/>
      <c r="M2488" s="631"/>
      <c r="N2488" s="631"/>
    </row>
    <row r="2489" spans="1:14" x14ac:dyDescent="0.2">
      <c r="A2489" s="623"/>
      <c r="B2489" s="636"/>
      <c r="C2489" s="626"/>
      <c r="D2489" s="627"/>
      <c r="E2489" s="627"/>
      <c r="F2489" s="627"/>
      <c r="G2489" s="627"/>
      <c r="H2489" s="627"/>
      <c r="I2489" s="628"/>
      <c r="J2489" s="629"/>
      <c r="K2489" s="132"/>
      <c r="L2489" s="133"/>
    </row>
    <row r="2490" spans="1:14" x14ac:dyDescent="0.2">
      <c r="A2490" s="158"/>
      <c r="B2490" s="188"/>
      <c r="C2490" s="189"/>
      <c r="D2490" s="165"/>
      <c r="E2490" s="165"/>
      <c r="F2490" s="165"/>
      <c r="G2490" s="165"/>
      <c r="H2490" s="165"/>
      <c r="I2490" s="190"/>
      <c r="J2490" s="191"/>
      <c r="K2490" s="192"/>
      <c r="L2490" s="55"/>
      <c r="M2490" s="55"/>
      <c r="N2490" s="55"/>
    </row>
    <row r="2491" spans="1:14" x14ac:dyDescent="0.2">
      <c r="A2491" s="158"/>
      <c r="B2491" s="188"/>
      <c r="C2491" s="189"/>
      <c r="D2491" s="165"/>
      <c r="E2491" s="165"/>
      <c r="F2491" s="165"/>
      <c r="G2491" s="165"/>
      <c r="H2491" s="165"/>
      <c r="I2491" s="190"/>
      <c r="J2491" s="191"/>
      <c r="K2491" s="192"/>
      <c r="L2491" s="55"/>
      <c r="M2491" s="55"/>
      <c r="N2491" s="55"/>
    </row>
    <row r="2492" spans="1:14" x14ac:dyDescent="0.2">
      <c r="A2492" s="145"/>
      <c r="B2492" s="146"/>
      <c r="C2492" s="147"/>
      <c r="D2492" s="147"/>
      <c r="E2492" s="147"/>
      <c r="F2492" s="147"/>
      <c r="G2492" s="147"/>
      <c r="H2492" s="147"/>
      <c r="I2492" s="147"/>
      <c r="J2492" s="148"/>
      <c r="K2492" s="132"/>
      <c r="L2492" s="133"/>
    </row>
    <row r="2493" spans="1:14" x14ac:dyDescent="0.2">
      <c r="A2493" s="158"/>
      <c r="B2493" s="188"/>
      <c r="C2493" s="189"/>
      <c r="D2493" s="165"/>
      <c r="E2493" s="165"/>
      <c r="F2493" s="165"/>
      <c r="G2493" s="165"/>
      <c r="H2493" s="165"/>
      <c r="I2493" s="190"/>
      <c r="J2493" s="191"/>
      <c r="K2493" s="630"/>
      <c r="L2493" s="631"/>
      <c r="M2493" s="631"/>
      <c r="N2493" s="631"/>
    </row>
    <row r="2494" spans="1:14" x14ac:dyDescent="0.2">
      <c r="A2494" s="158"/>
      <c r="B2494" s="188"/>
      <c r="C2494" s="189"/>
      <c r="D2494" s="165"/>
      <c r="E2494" s="165"/>
      <c r="F2494" s="165"/>
      <c r="G2494" s="165"/>
      <c r="H2494" s="165"/>
      <c r="I2494" s="190"/>
      <c r="J2494" s="191"/>
      <c r="K2494" s="630"/>
      <c r="L2494" s="631"/>
      <c r="M2494" s="631"/>
      <c r="N2494" s="631"/>
    </row>
    <row r="2495" spans="1:14" x14ac:dyDescent="0.2">
      <c r="A2495" s="145"/>
      <c r="B2495" s="146"/>
      <c r="C2495" s="147"/>
      <c r="D2495" s="147"/>
      <c r="E2495" s="147"/>
      <c r="F2495" s="147"/>
      <c r="G2495" s="147"/>
      <c r="H2495" s="147"/>
      <c r="I2495" s="147"/>
      <c r="J2495" s="148"/>
      <c r="K2495" s="132"/>
      <c r="L2495" s="133"/>
    </row>
    <row r="2496" spans="1:14" x14ac:dyDescent="0.2">
      <c r="A2496" s="145"/>
      <c r="B2496" s="146"/>
      <c r="C2496" s="147"/>
      <c r="D2496" s="147"/>
      <c r="E2496" s="147"/>
      <c r="F2496" s="147"/>
      <c r="G2496" s="147"/>
      <c r="H2496" s="147"/>
      <c r="I2496" s="147"/>
      <c r="J2496" s="148"/>
      <c r="K2496" s="132"/>
      <c r="L2496" s="133"/>
    </row>
    <row r="2497" spans="1:12" x14ac:dyDescent="0.2">
      <c r="A2497" s="145"/>
      <c r="B2497" s="146"/>
      <c r="C2497" s="147"/>
      <c r="D2497" s="147"/>
      <c r="E2497" s="147"/>
      <c r="F2497" s="147"/>
      <c r="G2497" s="147"/>
      <c r="H2497" s="147"/>
      <c r="I2497" s="147"/>
      <c r="J2497" s="148"/>
      <c r="K2497" s="132"/>
      <c r="L2497" s="133"/>
    </row>
    <row r="2498" spans="1:12" x14ac:dyDescent="0.2">
      <c r="A2498" s="145"/>
      <c r="B2498" s="146"/>
      <c r="C2498" s="147"/>
      <c r="D2498" s="147"/>
      <c r="E2498" s="147"/>
      <c r="F2498" s="147"/>
      <c r="G2498" s="147"/>
      <c r="H2498" s="147"/>
      <c r="I2498" s="147"/>
      <c r="J2498" s="148"/>
      <c r="K2498" s="132"/>
      <c r="L2498" s="133"/>
    </row>
    <row r="2499" spans="1:12" x14ac:dyDescent="0.2">
      <c r="A2499" s="145"/>
      <c r="B2499" s="146"/>
      <c r="C2499" s="147"/>
      <c r="D2499" s="147"/>
      <c r="E2499" s="147"/>
      <c r="F2499" s="147"/>
      <c r="G2499" s="147"/>
      <c r="H2499" s="147"/>
      <c r="I2499" s="147"/>
      <c r="J2499" s="148"/>
      <c r="K2499" s="132"/>
      <c r="L2499" s="133"/>
    </row>
    <row r="2500" spans="1:12" x14ac:dyDescent="0.2">
      <c r="A2500" s="145"/>
      <c r="B2500" s="146"/>
      <c r="C2500" s="147"/>
      <c r="D2500" s="147"/>
      <c r="E2500" s="147"/>
      <c r="F2500" s="147"/>
      <c r="G2500" s="147"/>
      <c r="H2500" s="147"/>
      <c r="I2500" s="147"/>
      <c r="J2500" s="148"/>
      <c r="K2500" s="132"/>
      <c r="L2500" s="133"/>
    </row>
    <row r="2501" spans="1:12" x14ac:dyDescent="0.2">
      <c r="A2501" s="145"/>
      <c r="B2501" s="146"/>
      <c r="C2501" s="147"/>
      <c r="D2501" s="147"/>
      <c r="E2501" s="147"/>
      <c r="F2501" s="147"/>
      <c r="G2501" s="147"/>
      <c r="H2501" s="147"/>
      <c r="I2501" s="147"/>
      <c r="J2501" s="148"/>
      <c r="K2501" s="132"/>
      <c r="L2501" s="133"/>
    </row>
    <row r="2502" spans="1:12" x14ac:dyDescent="0.2">
      <c r="A2502" s="145"/>
      <c r="B2502" s="146"/>
      <c r="C2502" s="147"/>
      <c r="D2502" s="147"/>
      <c r="E2502" s="147"/>
      <c r="F2502" s="147"/>
      <c r="G2502" s="147"/>
      <c r="H2502" s="147"/>
      <c r="I2502" s="147"/>
      <c r="J2502" s="148"/>
      <c r="K2502" s="132"/>
      <c r="L2502" s="133"/>
    </row>
    <row r="2503" spans="1:12" x14ac:dyDescent="0.2">
      <c r="A2503" s="145"/>
      <c r="B2503" s="146"/>
      <c r="C2503" s="147"/>
      <c r="D2503" s="147"/>
      <c r="E2503" s="147"/>
      <c r="F2503" s="147"/>
      <c r="G2503" s="147"/>
      <c r="H2503" s="147"/>
      <c r="I2503" s="147"/>
      <c r="J2503" s="148"/>
      <c r="K2503" s="132"/>
      <c r="L2503" s="133"/>
    </row>
    <row r="2504" spans="1:12" x14ac:dyDescent="0.2">
      <c r="A2504" s="145"/>
      <c r="B2504" s="146"/>
      <c r="C2504" s="147"/>
      <c r="D2504" s="147"/>
      <c r="E2504" s="147"/>
      <c r="F2504" s="147"/>
      <c r="G2504" s="147"/>
      <c r="H2504" s="147"/>
      <c r="I2504" s="147"/>
      <c r="J2504" s="148"/>
      <c r="K2504" s="132"/>
      <c r="L2504" s="133"/>
    </row>
    <row r="2505" spans="1:12" x14ac:dyDescent="0.2">
      <c r="A2505" s="145"/>
      <c r="B2505" s="146"/>
      <c r="C2505" s="147"/>
      <c r="D2505" s="147"/>
      <c r="E2505" s="147"/>
      <c r="F2505" s="147"/>
      <c r="G2505" s="147"/>
      <c r="H2505" s="147"/>
      <c r="I2505" s="147"/>
      <c r="J2505" s="148"/>
      <c r="K2505" s="132"/>
      <c r="L2505" s="133"/>
    </row>
    <row r="2506" spans="1:12" x14ac:dyDescent="0.2">
      <c r="A2506" s="145"/>
      <c r="B2506" s="146"/>
      <c r="C2506" s="147"/>
      <c r="D2506" s="147"/>
      <c r="E2506" s="147"/>
      <c r="F2506" s="147"/>
      <c r="G2506" s="147"/>
      <c r="H2506" s="147"/>
      <c r="I2506" s="147"/>
      <c r="J2506" s="148"/>
      <c r="K2506" s="132"/>
      <c r="L2506" s="133"/>
    </row>
    <row r="2507" spans="1:12" x14ac:dyDescent="0.2">
      <c r="A2507" s="145"/>
      <c r="B2507" s="146"/>
      <c r="C2507" s="147"/>
      <c r="D2507" s="147"/>
      <c r="E2507" s="147"/>
      <c r="F2507" s="147"/>
      <c r="G2507" s="147"/>
      <c r="H2507" s="147"/>
      <c r="I2507" s="147"/>
      <c r="J2507" s="148"/>
      <c r="K2507" s="132"/>
      <c r="L2507" s="133"/>
    </row>
    <row r="2508" spans="1:12" ht="13.5" thickBot="1" x14ac:dyDescent="0.25">
      <c r="A2508" s="149"/>
      <c r="B2508" s="150"/>
      <c r="C2508" s="151"/>
      <c r="D2508" s="151"/>
      <c r="E2508" s="151"/>
      <c r="F2508" s="151"/>
      <c r="G2508" s="151"/>
      <c r="H2508" s="151"/>
      <c r="I2508" s="151"/>
      <c r="J2508" s="152"/>
      <c r="K2508" s="132"/>
      <c r="L2508" s="133"/>
    </row>
    <row r="2509" spans="1:12" ht="13.5" thickBot="1" x14ac:dyDescent="0.25">
      <c r="A2509" s="153"/>
      <c r="B2509" s="153"/>
      <c r="C2509" s="154"/>
      <c r="D2509" s="154"/>
      <c r="E2509" s="154"/>
      <c r="F2509" s="154"/>
      <c r="G2509" s="154"/>
      <c r="H2509" s="154"/>
      <c r="I2509" s="154"/>
      <c r="J2509" s="153"/>
      <c r="K2509" s="132"/>
      <c r="L2509" s="133"/>
    </row>
    <row r="2510" spans="1:12" ht="13.5" thickBot="1" x14ac:dyDescent="0.25">
      <c r="A2510" s="614" t="s">
        <v>62</v>
      </c>
      <c r="B2510" s="648"/>
      <c r="C2510" s="648"/>
      <c r="D2510" s="648"/>
      <c r="E2510" s="648"/>
      <c r="F2510" s="648"/>
      <c r="G2510" s="648"/>
      <c r="H2510" s="648"/>
      <c r="I2510" s="648"/>
      <c r="J2510" s="649"/>
      <c r="K2510" s="132"/>
      <c r="L2510" s="133"/>
    </row>
    <row r="2511" spans="1:12" x14ac:dyDescent="0.2">
      <c r="A2511" s="136"/>
      <c r="B2511" s="155"/>
      <c r="C2511" s="156"/>
      <c r="D2511" s="156"/>
      <c r="E2511" s="156"/>
      <c r="F2511" s="156"/>
      <c r="G2511" s="156"/>
      <c r="H2511" s="156"/>
      <c r="I2511" s="156"/>
      <c r="J2511" s="157"/>
      <c r="K2511" s="132"/>
      <c r="L2511" s="133"/>
    </row>
    <row r="2512" spans="1:12" ht="12.75" customHeight="1" x14ac:dyDescent="0.2">
      <c r="A2512" s="158" t="s">
        <v>63</v>
      </c>
      <c r="B2512" s="55"/>
      <c r="C2512" s="596" t="s">
        <v>560</v>
      </c>
      <c r="D2512" s="596"/>
      <c r="E2512" s="596"/>
      <c r="F2512" s="596"/>
      <c r="G2512" s="596"/>
      <c r="H2512" s="596"/>
      <c r="I2512" s="596"/>
      <c r="J2512" s="597"/>
      <c r="K2512" s="132"/>
      <c r="L2512" s="133"/>
    </row>
    <row r="2513" spans="1:12" x14ac:dyDescent="0.2">
      <c r="A2513" s="158"/>
      <c r="B2513" s="55"/>
      <c r="C2513" s="596"/>
      <c r="D2513" s="596"/>
      <c r="E2513" s="596"/>
      <c r="F2513" s="596"/>
      <c r="G2513" s="596"/>
      <c r="H2513" s="596"/>
      <c r="I2513" s="596"/>
      <c r="J2513" s="597"/>
      <c r="K2513" s="132"/>
      <c r="L2513" s="133"/>
    </row>
    <row r="2514" spans="1:12" x14ac:dyDescent="0.2">
      <c r="A2514" s="158"/>
      <c r="B2514" s="55"/>
      <c r="C2514" s="596"/>
      <c r="D2514" s="596"/>
      <c r="E2514" s="596"/>
      <c r="F2514" s="596"/>
      <c r="G2514" s="596"/>
      <c r="H2514" s="596"/>
      <c r="I2514" s="596"/>
      <c r="J2514" s="597"/>
      <c r="K2514" s="132"/>
      <c r="L2514" s="133"/>
    </row>
    <row r="2515" spans="1:12" ht="12.75" customHeight="1" x14ac:dyDescent="0.2">
      <c r="A2515" s="158"/>
      <c r="B2515" s="55"/>
      <c r="C2515" s="596"/>
      <c r="D2515" s="596"/>
      <c r="E2515" s="596"/>
      <c r="F2515" s="596"/>
      <c r="G2515" s="596"/>
      <c r="H2515" s="596"/>
      <c r="I2515" s="596"/>
      <c r="J2515" s="597"/>
      <c r="K2515" s="132"/>
      <c r="L2515" s="133"/>
    </row>
    <row r="2516" spans="1:12" x14ac:dyDescent="0.2">
      <c r="A2516" s="598"/>
      <c r="B2516" s="638"/>
      <c r="C2516" s="596"/>
      <c r="D2516" s="596"/>
      <c r="E2516" s="596"/>
      <c r="F2516" s="596"/>
      <c r="G2516" s="596"/>
      <c r="H2516" s="596"/>
      <c r="I2516" s="596"/>
      <c r="J2516" s="597"/>
      <c r="K2516" s="132"/>
      <c r="L2516" s="133"/>
    </row>
    <row r="2517" spans="1:12" x14ac:dyDescent="0.2">
      <c r="A2517" s="158"/>
      <c r="B2517" s="55"/>
      <c r="C2517" s="71"/>
      <c r="D2517" s="71"/>
      <c r="E2517" s="71"/>
      <c r="F2517" s="71"/>
      <c r="G2517" s="71"/>
      <c r="H2517" s="71"/>
      <c r="I2517" s="71"/>
      <c r="J2517" s="174"/>
      <c r="K2517" s="132"/>
      <c r="L2517" s="133"/>
    </row>
    <row r="2518" spans="1:12" x14ac:dyDescent="0.2">
      <c r="A2518" s="598" t="s">
        <v>64</v>
      </c>
      <c r="B2518" s="638"/>
      <c r="C2518" s="596" t="s">
        <v>559</v>
      </c>
      <c r="D2518" s="596"/>
      <c r="E2518" s="596"/>
      <c r="F2518" s="596"/>
      <c r="G2518" s="596"/>
      <c r="H2518" s="596"/>
      <c r="I2518" s="596"/>
      <c r="J2518" s="597"/>
      <c r="K2518" s="132"/>
      <c r="L2518" s="133"/>
    </row>
    <row r="2519" spans="1:12" x14ac:dyDescent="0.2">
      <c r="A2519" s="158"/>
      <c r="B2519" s="55"/>
      <c r="C2519" s="71"/>
      <c r="D2519" s="71"/>
      <c r="E2519" s="71"/>
      <c r="F2519" s="71"/>
      <c r="G2519" s="71"/>
      <c r="H2519" s="71"/>
      <c r="I2519" s="71"/>
      <c r="J2519" s="174"/>
      <c r="K2519" s="132"/>
      <c r="L2519" s="133"/>
    </row>
    <row r="2520" spans="1:12" x14ac:dyDescent="0.2">
      <c r="A2520" s="158" t="s">
        <v>157</v>
      </c>
      <c r="B2520" s="55"/>
      <c r="C2520" s="652" t="s">
        <v>562</v>
      </c>
      <c r="D2520" s="652"/>
      <c r="E2520" s="652"/>
      <c r="F2520" s="652"/>
      <c r="G2520" s="652"/>
      <c r="H2520" s="652"/>
      <c r="I2520" s="652"/>
      <c r="J2520" s="653"/>
      <c r="K2520" s="132"/>
      <c r="L2520" s="133"/>
    </row>
    <row r="2521" spans="1:12" x14ac:dyDescent="0.2">
      <c r="A2521" s="158"/>
      <c r="B2521" s="55"/>
      <c r="C2521" s="652"/>
      <c r="D2521" s="652"/>
      <c r="E2521" s="652"/>
      <c r="F2521" s="652"/>
      <c r="G2521" s="652"/>
      <c r="H2521" s="652"/>
      <c r="I2521" s="652"/>
      <c r="J2521" s="653"/>
      <c r="K2521" s="132"/>
      <c r="L2521" s="133"/>
    </row>
    <row r="2522" spans="1:12" x14ac:dyDescent="0.2">
      <c r="A2522" s="158"/>
      <c r="B2522" s="55"/>
      <c r="C2522" s="652"/>
      <c r="D2522" s="652"/>
      <c r="E2522" s="652"/>
      <c r="F2522" s="652"/>
      <c r="G2522" s="652"/>
      <c r="H2522" s="652"/>
      <c r="I2522" s="652"/>
      <c r="J2522" s="653"/>
      <c r="K2522" s="132"/>
      <c r="L2522" s="133"/>
    </row>
    <row r="2523" spans="1:12" x14ac:dyDescent="0.2">
      <c r="A2523" s="158"/>
      <c r="B2523" s="55"/>
      <c r="C2523" s="662" t="s">
        <v>563</v>
      </c>
      <c r="D2523" s="662"/>
      <c r="E2523" s="662"/>
      <c r="F2523" s="662"/>
      <c r="G2523" s="662"/>
      <c r="H2523" s="662"/>
      <c r="I2523" s="662"/>
      <c r="J2523" s="663"/>
      <c r="K2523" s="132"/>
      <c r="L2523" s="133"/>
    </row>
    <row r="2524" spans="1:12" x14ac:dyDescent="0.2">
      <c r="A2524" s="158"/>
      <c r="B2524" s="55"/>
      <c r="C2524" s="71"/>
      <c r="D2524" s="71"/>
      <c r="E2524" s="71"/>
      <c r="F2524" s="71"/>
      <c r="G2524" s="71"/>
      <c r="H2524" s="71"/>
      <c r="I2524" s="71"/>
      <c r="J2524" s="174"/>
      <c r="K2524" s="132"/>
      <c r="L2524" s="133"/>
    </row>
    <row r="2525" spans="1:12" x14ac:dyDescent="0.2">
      <c r="A2525" s="158"/>
      <c r="B2525" s="55"/>
      <c r="C2525" s="71"/>
      <c r="D2525" s="71"/>
      <c r="E2525" s="71"/>
      <c r="F2525" s="71"/>
      <c r="G2525" s="71"/>
      <c r="H2525" s="71"/>
      <c r="I2525" s="71"/>
      <c r="J2525" s="174"/>
      <c r="K2525" s="132"/>
      <c r="L2525" s="133"/>
    </row>
    <row r="2526" spans="1:12" x14ac:dyDescent="0.2">
      <c r="J2526" s="315"/>
      <c r="K2526" s="132"/>
      <c r="L2526" s="133"/>
    </row>
    <row r="2527" spans="1:12" x14ac:dyDescent="0.2">
      <c r="A2527" s="158"/>
      <c r="B2527" s="55"/>
      <c r="C2527" s="175"/>
      <c r="D2527" s="175"/>
      <c r="E2527" s="172"/>
      <c r="F2527" s="172"/>
      <c r="G2527" s="172"/>
      <c r="H2527" s="172"/>
      <c r="I2527" s="172"/>
      <c r="J2527" s="173"/>
      <c r="K2527" s="132"/>
      <c r="L2527" s="133"/>
    </row>
    <row r="2528" spans="1:12" x14ac:dyDescent="0.2">
      <c r="A2528" s="158"/>
      <c r="B2528" s="55"/>
      <c r="C2528" s="175"/>
      <c r="D2528" s="175"/>
      <c r="E2528" s="172"/>
      <c r="F2528" s="172"/>
      <c r="G2528" s="172"/>
      <c r="H2528" s="172"/>
      <c r="I2528" s="172"/>
      <c r="J2528" s="173"/>
      <c r="K2528" s="132"/>
      <c r="L2528" s="133"/>
    </row>
    <row r="2529" spans="1:14" x14ac:dyDescent="0.2">
      <c r="A2529" s="158"/>
      <c r="B2529" s="55"/>
      <c r="C2529" s="175"/>
      <c r="D2529" s="175"/>
      <c r="E2529" s="172"/>
      <c r="F2529" s="172"/>
      <c r="G2529" s="172"/>
      <c r="H2529" s="172"/>
      <c r="I2529" s="172"/>
      <c r="J2529" s="173"/>
      <c r="K2529" s="132"/>
      <c r="L2529" s="133"/>
    </row>
    <row r="2530" spans="1:14" x14ac:dyDescent="0.2">
      <c r="A2530" s="158"/>
      <c r="B2530" s="55"/>
      <c r="C2530" s="175"/>
      <c r="D2530" s="175"/>
      <c r="E2530" s="175"/>
      <c r="F2530" s="175"/>
      <c r="G2530" s="175"/>
      <c r="H2530" s="175"/>
      <c r="I2530" s="175"/>
      <c r="J2530" s="176"/>
      <c r="K2530" s="132"/>
      <c r="L2530" s="133"/>
    </row>
    <row r="2531" spans="1:14" x14ac:dyDescent="0.2">
      <c r="A2531" s="158"/>
      <c r="B2531" s="55"/>
      <c r="C2531" s="175"/>
      <c r="D2531" s="175"/>
      <c r="E2531" s="175"/>
      <c r="F2531" s="175"/>
      <c r="G2531" s="175"/>
      <c r="H2531" s="175"/>
      <c r="I2531" s="175"/>
      <c r="J2531" s="176"/>
      <c r="K2531" s="132"/>
      <c r="L2531" s="133"/>
    </row>
    <row r="2532" spans="1:14" x14ac:dyDescent="0.2">
      <c r="A2532" s="158"/>
      <c r="B2532" s="55"/>
      <c r="C2532" s="175"/>
      <c r="D2532" s="175"/>
      <c r="E2532" s="175"/>
      <c r="F2532" s="175"/>
      <c r="G2532" s="175"/>
      <c r="H2532" s="175"/>
      <c r="I2532" s="175"/>
      <c r="J2532" s="176"/>
      <c r="K2532" s="132"/>
      <c r="L2532" s="133"/>
    </row>
    <row r="2533" spans="1:14" ht="13.5" thickBot="1" x14ac:dyDescent="0.25">
      <c r="A2533" s="149"/>
      <c r="B2533" s="167"/>
      <c r="C2533" s="151"/>
      <c r="D2533" s="151"/>
      <c r="E2533" s="151"/>
      <c r="F2533" s="151"/>
      <c r="G2533" s="151"/>
      <c r="H2533" s="151"/>
      <c r="I2533" s="151"/>
      <c r="J2533" s="168"/>
      <c r="K2533" s="132"/>
      <c r="L2533" s="133"/>
    </row>
    <row r="2534" spans="1:14" ht="15.75" x14ac:dyDescent="0.2">
      <c r="A2534" s="602" t="s">
        <v>4</v>
      </c>
      <c r="B2534" s="603"/>
      <c r="C2534" s="603" t="str">
        <f>'A IV.A'!$B$43</f>
        <v>FECHAMENTOS, PROTEÇÕES E ALVENARIAS EM GERAL</v>
      </c>
      <c r="D2534" s="603"/>
      <c r="E2534" s="603"/>
      <c r="F2534" s="603"/>
      <c r="G2534" s="603"/>
      <c r="H2534" s="603"/>
      <c r="I2534" s="603"/>
      <c r="J2534" s="604"/>
      <c r="K2534" s="132"/>
      <c r="L2534" s="133"/>
    </row>
    <row r="2535" spans="1:14" x14ac:dyDescent="0.2">
      <c r="A2535" s="609" t="str">
        <f>'A IV.A'!$A$43</f>
        <v>3.0</v>
      </c>
      <c r="B2535" s="610"/>
      <c r="C2535" s="605"/>
      <c r="D2535" s="605"/>
      <c r="E2535" s="605"/>
      <c r="F2535" s="605"/>
      <c r="G2535" s="605"/>
      <c r="H2535" s="605"/>
      <c r="I2535" s="605"/>
      <c r="J2535" s="606"/>
      <c r="K2535" s="132"/>
      <c r="L2535" s="133"/>
    </row>
    <row r="2536" spans="1:14" ht="13.5" thickBot="1" x14ac:dyDescent="0.25">
      <c r="A2536" s="611"/>
      <c r="B2536" s="612"/>
      <c r="C2536" s="607"/>
      <c r="D2536" s="607"/>
      <c r="E2536" s="607"/>
      <c r="F2536" s="607"/>
      <c r="G2536" s="607"/>
      <c r="H2536" s="607"/>
      <c r="I2536" s="607"/>
      <c r="J2536" s="608"/>
      <c r="K2536" s="132"/>
      <c r="L2536" s="133"/>
    </row>
    <row r="2537" spans="1:14" ht="13.5" thickBot="1" x14ac:dyDescent="0.25">
      <c r="A2537" s="169"/>
      <c r="B2537" s="169"/>
      <c r="C2537" s="613"/>
      <c r="D2537" s="613"/>
      <c r="E2537" s="613"/>
      <c r="F2537" s="613"/>
      <c r="G2537" s="613"/>
      <c r="H2537" s="613"/>
      <c r="I2537" s="613"/>
      <c r="J2537" s="169"/>
      <c r="K2537" s="132"/>
      <c r="L2537" s="133"/>
    </row>
    <row r="2538" spans="1:14" ht="13.5" thickBot="1" x14ac:dyDescent="0.25">
      <c r="A2538" s="614" t="s">
        <v>60</v>
      </c>
      <c r="B2538" s="615"/>
      <c r="C2538" s="616" t="s">
        <v>61</v>
      </c>
      <c r="D2538" s="617"/>
      <c r="E2538" s="617"/>
      <c r="F2538" s="617"/>
      <c r="G2538" s="617"/>
      <c r="H2538" s="617"/>
      <c r="I2538" s="618"/>
      <c r="J2538" s="260" t="s">
        <v>0</v>
      </c>
      <c r="K2538" s="132"/>
      <c r="L2538" s="133"/>
    </row>
    <row r="2539" spans="1:14" x14ac:dyDescent="0.2">
      <c r="A2539" s="136"/>
      <c r="B2539" s="137"/>
      <c r="C2539" s="619"/>
      <c r="D2539" s="620"/>
      <c r="E2539" s="621"/>
      <c r="F2539" s="621"/>
      <c r="G2539" s="621"/>
      <c r="H2539" s="621"/>
      <c r="I2539" s="622"/>
      <c r="J2539" s="138"/>
      <c r="K2539" s="132"/>
      <c r="L2539" s="133"/>
    </row>
    <row r="2540" spans="1:14" ht="12.75" customHeight="1" x14ac:dyDescent="0.2">
      <c r="A2540" s="623" t="str">
        <f>'A IV.A'!A82</f>
        <v>3.5.3</v>
      </c>
      <c r="B2540" s="636"/>
      <c r="C2540" s="626" t="str">
        <f>'A IV.A'!B82</f>
        <v xml:space="preserve">CALÇADAS E PISOS EM CONCRETO FCK = 20 MPA, USINADO, ACABAMENTO CONVENCIONAL, INCLUSIVE PREPARO DE CAIXA </v>
      </c>
      <c r="D2540" s="627"/>
      <c r="E2540" s="627"/>
      <c r="F2540" s="627"/>
      <c r="G2540" s="627"/>
      <c r="H2540" s="627"/>
      <c r="I2540" s="628"/>
      <c r="J2540" s="629" t="str">
        <f>'A IV.A'!C82</f>
        <v>M3</v>
      </c>
      <c r="K2540" s="630" t="str">
        <f>VLOOKUP(A2540,'A IV.A'!$A$14:$M$233,2,FALSE)</f>
        <v xml:space="preserve">CALÇADAS E PISOS EM CONCRETO FCK = 20 MPA, USINADO, ACABAMENTO CONVENCIONAL, INCLUSIVE PREPARO DE CAIXA </v>
      </c>
      <c r="L2540" s="631" t="str">
        <f>IF(C2540=K2540,"sim","nao")</f>
        <v>sim</v>
      </c>
      <c r="M2540" s="631" t="str">
        <f>VLOOKUP(A2540,'A IV.A'!$A$14:$M$233,3,FALSE)</f>
        <v>M3</v>
      </c>
      <c r="N2540" s="631" t="str">
        <f>IF(J2540=M2540,"sim","nao")</f>
        <v>sim</v>
      </c>
    </row>
    <row r="2541" spans="1:14" x14ac:dyDescent="0.2">
      <c r="A2541" s="623"/>
      <c r="B2541" s="636"/>
      <c r="C2541" s="626"/>
      <c r="D2541" s="627"/>
      <c r="E2541" s="627"/>
      <c r="F2541" s="627"/>
      <c r="G2541" s="627"/>
      <c r="H2541" s="627"/>
      <c r="I2541" s="628"/>
      <c r="J2541" s="629"/>
      <c r="K2541" s="630"/>
      <c r="L2541" s="631"/>
      <c r="M2541" s="631"/>
      <c r="N2541" s="631"/>
    </row>
    <row r="2542" spans="1:14" x14ac:dyDescent="0.2">
      <c r="A2542" s="623"/>
      <c r="B2542" s="636"/>
      <c r="C2542" s="626"/>
      <c r="D2542" s="627"/>
      <c r="E2542" s="627"/>
      <c r="F2542" s="627"/>
      <c r="G2542" s="627"/>
      <c r="H2542" s="627"/>
      <c r="I2542" s="628"/>
      <c r="J2542" s="629"/>
      <c r="K2542" s="132"/>
      <c r="L2542" s="133"/>
    </row>
    <row r="2543" spans="1:14" x14ac:dyDescent="0.2">
      <c r="A2543" s="158"/>
      <c r="B2543" s="188"/>
      <c r="C2543" s="189"/>
      <c r="D2543" s="165"/>
      <c r="E2543" s="165"/>
      <c r="F2543" s="165"/>
      <c r="G2543" s="165"/>
      <c r="H2543" s="165"/>
      <c r="I2543" s="190"/>
      <c r="J2543" s="191"/>
      <c r="K2543" s="192"/>
      <c r="L2543" s="55"/>
      <c r="M2543" s="55"/>
      <c r="N2543" s="55"/>
    </row>
    <row r="2544" spans="1:14" x14ac:dyDescent="0.2">
      <c r="A2544" s="158"/>
      <c r="B2544" s="188"/>
      <c r="C2544" s="189"/>
      <c r="D2544" s="165"/>
      <c r="E2544" s="165"/>
      <c r="F2544" s="165"/>
      <c r="G2544" s="165"/>
      <c r="H2544" s="165"/>
      <c r="I2544" s="190"/>
      <c r="J2544" s="191"/>
      <c r="K2544" s="192"/>
      <c r="L2544" s="55"/>
      <c r="M2544" s="55"/>
      <c r="N2544" s="55"/>
    </row>
    <row r="2545" spans="1:14" x14ac:dyDescent="0.2">
      <c r="A2545" s="145"/>
      <c r="B2545" s="146"/>
      <c r="C2545" s="147"/>
      <c r="D2545" s="147"/>
      <c r="E2545" s="147"/>
      <c r="F2545" s="147"/>
      <c r="G2545" s="147"/>
      <c r="H2545" s="147"/>
      <c r="I2545" s="147"/>
      <c r="J2545" s="148"/>
      <c r="K2545" s="132"/>
      <c r="L2545" s="133"/>
    </row>
    <row r="2546" spans="1:14" x14ac:dyDescent="0.2">
      <c r="A2546" s="158"/>
      <c r="B2546" s="188"/>
      <c r="C2546" s="189"/>
      <c r="D2546" s="165"/>
      <c r="E2546" s="165"/>
      <c r="F2546" s="165"/>
      <c r="G2546" s="165"/>
      <c r="H2546" s="165"/>
      <c r="I2546" s="190"/>
      <c r="J2546" s="191"/>
      <c r="K2546" s="630"/>
      <c r="L2546" s="631"/>
      <c r="M2546" s="631"/>
      <c r="N2546" s="631"/>
    </row>
    <row r="2547" spans="1:14" x14ac:dyDescent="0.2">
      <c r="A2547" s="158"/>
      <c r="B2547" s="188"/>
      <c r="C2547" s="189"/>
      <c r="D2547" s="165"/>
      <c r="E2547" s="165"/>
      <c r="F2547" s="165"/>
      <c r="G2547" s="165"/>
      <c r="H2547" s="165"/>
      <c r="I2547" s="190"/>
      <c r="J2547" s="191"/>
      <c r="K2547" s="630"/>
      <c r="L2547" s="631"/>
      <c r="M2547" s="631"/>
      <c r="N2547" s="631"/>
    </row>
    <row r="2548" spans="1:14" x14ac:dyDescent="0.2">
      <c r="A2548" s="145"/>
      <c r="B2548" s="146"/>
      <c r="C2548" s="147"/>
      <c r="D2548" s="147"/>
      <c r="E2548" s="147"/>
      <c r="F2548" s="147"/>
      <c r="G2548" s="147"/>
      <c r="H2548" s="147"/>
      <c r="I2548" s="147"/>
      <c r="J2548" s="148"/>
      <c r="K2548" s="132"/>
      <c r="L2548" s="133"/>
    </row>
    <row r="2549" spans="1:14" x14ac:dyDescent="0.2">
      <c r="A2549" s="145"/>
      <c r="B2549" s="146"/>
      <c r="C2549" s="147"/>
      <c r="D2549" s="147"/>
      <c r="E2549" s="147"/>
      <c r="F2549" s="147"/>
      <c r="G2549" s="147"/>
      <c r="H2549" s="147"/>
      <c r="I2549" s="147"/>
      <c r="J2549" s="148"/>
      <c r="K2549" s="132"/>
      <c r="L2549" s="133"/>
    </row>
    <row r="2550" spans="1:14" x14ac:dyDescent="0.2">
      <c r="A2550" s="145"/>
      <c r="B2550" s="146"/>
      <c r="C2550" s="147"/>
      <c r="D2550" s="147"/>
      <c r="E2550" s="147"/>
      <c r="F2550" s="147"/>
      <c r="G2550" s="147"/>
      <c r="H2550" s="147"/>
      <c r="I2550" s="147"/>
      <c r="J2550" s="148"/>
      <c r="K2550" s="132"/>
      <c r="L2550" s="133"/>
    </row>
    <row r="2551" spans="1:14" x14ac:dyDescent="0.2">
      <c r="A2551" s="145"/>
      <c r="B2551" s="146"/>
      <c r="C2551" s="147"/>
      <c r="D2551" s="147"/>
      <c r="E2551" s="147"/>
      <c r="F2551" s="147"/>
      <c r="G2551" s="147"/>
      <c r="H2551" s="147"/>
      <c r="I2551" s="147"/>
      <c r="J2551" s="148"/>
      <c r="K2551" s="132"/>
      <c r="L2551" s="133"/>
    </row>
    <row r="2552" spans="1:14" x14ac:dyDescent="0.2">
      <c r="A2552" s="145"/>
      <c r="B2552" s="146"/>
      <c r="C2552" s="147"/>
      <c r="D2552" s="147"/>
      <c r="E2552" s="147"/>
      <c r="F2552" s="147"/>
      <c r="G2552" s="147"/>
      <c r="H2552" s="147"/>
      <c r="I2552" s="147"/>
      <c r="J2552" s="148"/>
      <c r="K2552" s="132"/>
      <c r="L2552" s="133"/>
    </row>
    <row r="2553" spans="1:14" x14ac:dyDescent="0.2">
      <c r="A2553" s="145"/>
      <c r="B2553" s="146"/>
      <c r="C2553" s="147"/>
      <c r="D2553" s="147"/>
      <c r="E2553" s="147"/>
      <c r="F2553" s="147"/>
      <c r="G2553" s="147"/>
      <c r="H2553" s="147"/>
      <c r="I2553" s="147"/>
      <c r="J2553" s="148"/>
      <c r="K2553" s="132"/>
      <c r="L2553" s="133"/>
    </row>
    <row r="2554" spans="1:14" x14ac:dyDescent="0.2">
      <c r="A2554" s="145"/>
      <c r="B2554" s="146"/>
      <c r="C2554" s="147"/>
      <c r="D2554" s="147"/>
      <c r="E2554" s="147"/>
      <c r="F2554" s="147"/>
      <c r="G2554" s="147"/>
      <c r="H2554" s="147"/>
      <c r="I2554" s="147"/>
      <c r="J2554" s="148"/>
      <c r="K2554" s="132"/>
      <c r="L2554" s="133"/>
    </row>
    <row r="2555" spans="1:14" x14ac:dyDescent="0.2">
      <c r="A2555" s="145"/>
      <c r="B2555" s="146"/>
      <c r="C2555" s="147"/>
      <c r="D2555" s="147"/>
      <c r="E2555" s="147"/>
      <c r="F2555" s="147"/>
      <c r="G2555" s="147"/>
      <c r="H2555" s="147"/>
      <c r="I2555" s="147"/>
      <c r="J2555" s="148"/>
      <c r="K2555" s="132"/>
      <c r="L2555" s="133"/>
    </row>
    <row r="2556" spans="1:14" x14ac:dyDescent="0.2">
      <c r="A2556" s="145"/>
      <c r="B2556" s="146"/>
      <c r="C2556" s="147"/>
      <c r="D2556" s="147"/>
      <c r="E2556" s="147"/>
      <c r="F2556" s="147"/>
      <c r="G2556" s="147"/>
      <c r="H2556" s="147"/>
      <c r="I2556" s="147"/>
      <c r="J2556" s="148"/>
      <c r="K2556" s="132"/>
      <c r="L2556" s="133"/>
    </row>
    <row r="2557" spans="1:14" x14ac:dyDescent="0.2">
      <c r="A2557" s="145"/>
      <c r="B2557" s="146"/>
      <c r="C2557" s="147"/>
      <c r="D2557" s="147"/>
      <c r="E2557" s="147"/>
      <c r="F2557" s="147"/>
      <c r="G2557" s="147"/>
      <c r="H2557" s="147"/>
      <c r="I2557" s="147"/>
      <c r="J2557" s="148"/>
      <c r="K2557" s="132"/>
      <c r="L2557" s="133"/>
    </row>
    <row r="2558" spans="1:14" x14ac:dyDescent="0.2">
      <c r="A2558" s="145"/>
      <c r="B2558" s="146"/>
      <c r="C2558" s="147"/>
      <c r="D2558" s="147"/>
      <c r="E2558" s="147"/>
      <c r="F2558" s="147"/>
      <c r="G2558" s="147"/>
      <c r="H2558" s="147"/>
      <c r="I2558" s="147"/>
      <c r="J2558" s="148"/>
      <c r="K2558" s="132"/>
      <c r="L2558" s="133"/>
    </row>
    <row r="2559" spans="1:14" x14ac:dyDescent="0.2">
      <c r="A2559" s="145"/>
      <c r="B2559" s="146"/>
      <c r="C2559" s="147"/>
      <c r="D2559" s="147"/>
      <c r="E2559" s="147"/>
      <c r="F2559" s="147"/>
      <c r="G2559" s="147"/>
      <c r="H2559" s="147"/>
      <c r="I2559" s="147"/>
      <c r="J2559" s="148"/>
      <c r="K2559" s="132"/>
      <c r="L2559" s="133"/>
    </row>
    <row r="2560" spans="1:14" x14ac:dyDescent="0.2">
      <c r="A2560" s="145"/>
      <c r="B2560" s="146"/>
      <c r="C2560" s="147"/>
      <c r="D2560" s="147"/>
      <c r="E2560" s="147"/>
      <c r="F2560" s="147"/>
      <c r="G2560" s="147"/>
      <c r="H2560" s="147"/>
      <c r="I2560" s="147"/>
      <c r="J2560" s="148"/>
      <c r="K2560" s="132"/>
      <c r="L2560" s="133"/>
    </row>
    <row r="2561" spans="1:12" ht="13.5" thickBot="1" x14ac:dyDescent="0.25">
      <c r="A2561" s="149"/>
      <c r="B2561" s="150"/>
      <c r="C2561" s="151"/>
      <c r="D2561" s="151"/>
      <c r="E2561" s="151"/>
      <c r="F2561" s="151"/>
      <c r="G2561" s="151"/>
      <c r="H2561" s="151"/>
      <c r="I2561" s="151"/>
      <c r="J2561" s="152"/>
      <c r="K2561" s="132"/>
      <c r="L2561" s="133"/>
    </row>
    <row r="2562" spans="1:12" ht="13.5" thickBot="1" x14ac:dyDescent="0.25">
      <c r="A2562" s="153"/>
      <c r="B2562" s="153"/>
      <c r="C2562" s="154"/>
      <c r="D2562" s="154"/>
      <c r="E2562" s="154"/>
      <c r="F2562" s="154"/>
      <c r="G2562" s="154"/>
      <c r="H2562" s="154"/>
      <c r="I2562" s="154"/>
      <c r="J2562" s="153"/>
      <c r="K2562" s="132"/>
      <c r="L2562" s="133"/>
    </row>
    <row r="2563" spans="1:12" ht="13.5" thickBot="1" x14ac:dyDescent="0.25">
      <c r="A2563" s="614" t="s">
        <v>62</v>
      </c>
      <c r="B2563" s="648"/>
      <c r="C2563" s="648"/>
      <c r="D2563" s="648"/>
      <c r="E2563" s="648"/>
      <c r="F2563" s="648"/>
      <c r="G2563" s="648"/>
      <c r="H2563" s="648"/>
      <c r="I2563" s="648"/>
      <c r="J2563" s="649"/>
      <c r="K2563" s="132"/>
      <c r="L2563" s="133"/>
    </row>
    <row r="2564" spans="1:12" x14ac:dyDescent="0.2">
      <c r="A2564" s="136"/>
      <c r="B2564" s="155"/>
      <c r="C2564" s="156"/>
      <c r="D2564" s="156"/>
      <c r="E2564" s="156"/>
      <c r="F2564" s="156"/>
      <c r="G2564" s="156"/>
      <c r="H2564" s="156"/>
      <c r="I2564" s="156"/>
      <c r="J2564" s="157"/>
      <c r="K2564" s="132"/>
      <c r="L2564" s="133"/>
    </row>
    <row r="2565" spans="1:12" ht="12.75" customHeight="1" x14ac:dyDescent="0.2">
      <c r="A2565" s="158" t="s">
        <v>63</v>
      </c>
      <c r="B2565" s="55"/>
      <c r="C2565" s="596" t="s">
        <v>561</v>
      </c>
      <c r="D2565" s="596"/>
      <c r="E2565" s="596"/>
      <c r="F2565" s="596"/>
      <c r="G2565" s="596"/>
      <c r="H2565" s="596"/>
      <c r="I2565" s="596"/>
      <c r="J2565" s="597"/>
      <c r="K2565" s="132"/>
      <c r="L2565" s="133"/>
    </row>
    <row r="2566" spans="1:12" x14ac:dyDescent="0.2">
      <c r="A2566" s="158"/>
      <c r="B2566" s="55"/>
      <c r="C2566" s="596"/>
      <c r="D2566" s="596"/>
      <c r="E2566" s="596"/>
      <c r="F2566" s="596"/>
      <c r="G2566" s="596"/>
      <c r="H2566" s="596"/>
      <c r="I2566" s="596"/>
      <c r="J2566" s="597"/>
      <c r="K2566" s="132"/>
      <c r="L2566" s="133"/>
    </row>
    <row r="2567" spans="1:12" x14ac:dyDescent="0.2">
      <c r="A2567" s="158"/>
      <c r="B2567" s="55"/>
      <c r="C2567" s="596"/>
      <c r="D2567" s="596"/>
      <c r="E2567" s="596"/>
      <c r="F2567" s="596"/>
      <c r="G2567" s="596"/>
      <c r="H2567" s="596"/>
      <c r="I2567" s="596"/>
      <c r="J2567" s="597"/>
      <c r="K2567" s="132"/>
      <c r="L2567" s="133"/>
    </row>
    <row r="2568" spans="1:12" ht="12.75" customHeight="1" x14ac:dyDescent="0.2">
      <c r="A2568" s="158"/>
      <c r="B2568" s="55"/>
      <c r="C2568" s="596"/>
      <c r="D2568" s="596"/>
      <c r="E2568" s="596"/>
      <c r="F2568" s="596"/>
      <c r="G2568" s="596"/>
      <c r="H2568" s="596"/>
      <c r="I2568" s="596"/>
      <c r="J2568" s="597"/>
      <c r="K2568" s="132"/>
      <c r="L2568" s="133"/>
    </row>
    <row r="2569" spans="1:12" x14ac:dyDescent="0.2">
      <c r="A2569" s="598"/>
      <c r="B2569" s="638"/>
      <c r="C2569" s="596"/>
      <c r="D2569" s="596"/>
      <c r="E2569" s="596"/>
      <c r="F2569" s="596"/>
      <c r="G2569" s="596"/>
      <c r="H2569" s="596"/>
      <c r="I2569" s="596"/>
      <c r="J2569" s="597"/>
      <c r="K2569" s="132"/>
      <c r="L2569" s="133"/>
    </row>
    <row r="2570" spans="1:12" x14ac:dyDescent="0.2">
      <c r="A2570" s="158"/>
      <c r="B2570" s="55"/>
      <c r="C2570" s="71"/>
      <c r="D2570" s="71"/>
      <c r="E2570" s="71"/>
      <c r="F2570" s="71"/>
      <c r="G2570" s="71"/>
      <c r="H2570" s="71"/>
      <c r="I2570" s="71"/>
      <c r="J2570" s="174"/>
      <c r="K2570" s="132"/>
      <c r="L2570" s="133"/>
    </row>
    <row r="2571" spans="1:12" x14ac:dyDescent="0.2">
      <c r="A2571" s="598" t="s">
        <v>64</v>
      </c>
      <c r="B2571" s="638"/>
      <c r="C2571" s="596" t="s">
        <v>559</v>
      </c>
      <c r="D2571" s="596"/>
      <c r="E2571" s="596"/>
      <c r="F2571" s="596"/>
      <c r="G2571" s="596"/>
      <c r="H2571" s="596"/>
      <c r="I2571" s="596"/>
      <c r="J2571" s="597"/>
      <c r="K2571" s="132"/>
      <c r="L2571" s="133"/>
    </row>
    <row r="2572" spans="1:12" x14ac:dyDescent="0.2">
      <c r="A2572" s="158"/>
      <c r="B2572" s="55"/>
      <c r="C2572" s="71"/>
      <c r="D2572" s="71"/>
      <c r="E2572" s="71"/>
      <c r="F2572" s="71"/>
      <c r="G2572" s="71"/>
      <c r="H2572" s="71"/>
      <c r="I2572" s="71"/>
      <c r="J2572" s="174"/>
      <c r="K2572" s="132"/>
      <c r="L2572" s="133"/>
    </row>
    <row r="2573" spans="1:12" ht="12.75" customHeight="1" x14ac:dyDescent="0.2">
      <c r="A2573" s="158" t="s">
        <v>157</v>
      </c>
      <c r="B2573" s="55"/>
      <c r="C2573" s="652" t="s">
        <v>562</v>
      </c>
      <c r="D2573" s="652"/>
      <c r="E2573" s="652"/>
      <c r="F2573" s="652"/>
      <c r="G2573" s="652"/>
      <c r="H2573" s="652"/>
      <c r="I2573" s="652"/>
      <c r="J2573" s="653"/>
      <c r="K2573" s="132"/>
      <c r="L2573" s="133"/>
    </row>
    <row r="2574" spans="1:12" x14ac:dyDescent="0.2">
      <c r="A2574" s="158"/>
      <c r="B2574" s="55"/>
      <c r="C2574" s="652"/>
      <c r="D2574" s="652"/>
      <c r="E2574" s="652"/>
      <c r="F2574" s="652"/>
      <c r="G2574" s="652"/>
      <c r="H2574" s="652"/>
      <c r="I2574" s="652"/>
      <c r="J2574" s="653"/>
      <c r="K2574" s="132"/>
      <c r="L2574" s="133"/>
    </row>
    <row r="2575" spans="1:12" x14ac:dyDescent="0.2">
      <c r="A2575" s="158"/>
      <c r="B2575" s="55"/>
      <c r="C2575" s="652"/>
      <c r="D2575" s="652"/>
      <c r="E2575" s="652"/>
      <c r="F2575" s="652"/>
      <c r="G2575" s="652"/>
      <c r="H2575" s="652"/>
      <c r="I2575" s="652"/>
      <c r="J2575" s="653"/>
      <c r="K2575" s="132"/>
      <c r="L2575" s="133"/>
    </row>
    <row r="2576" spans="1:12" x14ac:dyDescent="0.2">
      <c r="A2576" s="158"/>
      <c r="B2576" s="55"/>
      <c r="C2576" s="662" t="s">
        <v>563</v>
      </c>
      <c r="D2576" s="662"/>
      <c r="E2576" s="662"/>
      <c r="F2576" s="662"/>
      <c r="G2576" s="662"/>
      <c r="H2576" s="662"/>
      <c r="I2576" s="662"/>
      <c r="J2576" s="663"/>
      <c r="K2576" s="132"/>
      <c r="L2576" s="133"/>
    </row>
    <row r="2577" spans="1:12" x14ac:dyDescent="0.2">
      <c r="A2577" s="158"/>
      <c r="B2577" s="55"/>
      <c r="C2577" s="71"/>
      <c r="D2577" s="71"/>
      <c r="E2577" s="71"/>
      <c r="F2577" s="71"/>
      <c r="G2577" s="71"/>
      <c r="H2577" s="71"/>
      <c r="I2577" s="71"/>
      <c r="J2577" s="174"/>
      <c r="K2577" s="132"/>
      <c r="L2577" s="133"/>
    </row>
    <row r="2578" spans="1:12" x14ac:dyDescent="0.2">
      <c r="A2578" s="158"/>
      <c r="B2578" s="55"/>
      <c r="C2578" s="175"/>
      <c r="D2578" s="175"/>
      <c r="E2578" s="172"/>
      <c r="F2578" s="172"/>
      <c r="G2578" s="172"/>
      <c r="H2578" s="172"/>
      <c r="I2578" s="172"/>
      <c r="J2578" s="173"/>
      <c r="K2578" s="132"/>
      <c r="L2578" s="133"/>
    </row>
    <row r="2579" spans="1:12" x14ac:dyDescent="0.2">
      <c r="A2579" s="139"/>
      <c r="B2579" s="56"/>
      <c r="C2579" s="56"/>
      <c r="D2579" s="56"/>
      <c r="E2579" s="56"/>
      <c r="F2579" s="56"/>
      <c r="G2579" s="56"/>
      <c r="H2579" s="56"/>
      <c r="I2579" s="56"/>
      <c r="J2579" s="314"/>
      <c r="K2579" s="132"/>
      <c r="L2579" s="133"/>
    </row>
    <row r="2580" spans="1:12" x14ac:dyDescent="0.2">
      <c r="A2580" s="158"/>
      <c r="B2580" s="55"/>
      <c r="C2580" s="71"/>
      <c r="D2580" s="71"/>
      <c r="E2580" s="71"/>
      <c r="F2580" s="71"/>
      <c r="G2580" s="71"/>
      <c r="H2580" s="71"/>
      <c r="I2580" s="71"/>
      <c r="J2580" s="174"/>
      <c r="K2580" s="132"/>
      <c r="L2580" s="133"/>
    </row>
    <row r="2581" spans="1:12" x14ac:dyDescent="0.2">
      <c r="A2581" s="158"/>
      <c r="B2581" s="55"/>
      <c r="C2581" s="175"/>
      <c r="D2581" s="175"/>
      <c r="E2581" s="172"/>
      <c r="F2581" s="172"/>
      <c r="G2581" s="172"/>
      <c r="H2581" s="172"/>
      <c r="I2581" s="172"/>
      <c r="J2581" s="173"/>
      <c r="K2581" s="132"/>
      <c r="L2581" s="133"/>
    </row>
    <row r="2582" spans="1:12" x14ac:dyDescent="0.2">
      <c r="A2582" s="158"/>
      <c r="B2582" s="55"/>
      <c r="C2582" s="175"/>
      <c r="D2582" s="175"/>
      <c r="E2582" s="172"/>
      <c r="F2582" s="172"/>
      <c r="G2582" s="172"/>
      <c r="H2582" s="172"/>
      <c r="I2582" s="172"/>
      <c r="J2582" s="173"/>
      <c r="K2582" s="132"/>
      <c r="L2582" s="133"/>
    </row>
    <row r="2583" spans="1:12" x14ac:dyDescent="0.2">
      <c r="A2583" s="158"/>
      <c r="B2583" s="55"/>
      <c r="C2583" s="175"/>
      <c r="D2583" s="175"/>
      <c r="E2583" s="175"/>
      <c r="F2583" s="175"/>
      <c r="G2583" s="175"/>
      <c r="H2583" s="175"/>
      <c r="I2583" s="175"/>
      <c r="J2583" s="176"/>
      <c r="K2583" s="132"/>
      <c r="L2583" s="133"/>
    </row>
    <row r="2584" spans="1:12" x14ac:dyDescent="0.2">
      <c r="A2584" s="158"/>
      <c r="B2584" s="55"/>
      <c r="C2584" s="175"/>
      <c r="D2584" s="175"/>
      <c r="E2584" s="175"/>
      <c r="F2584" s="175"/>
      <c r="G2584" s="175"/>
      <c r="H2584" s="175"/>
      <c r="I2584" s="175"/>
      <c r="J2584" s="176"/>
      <c r="K2584" s="132"/>
      <c r="L2584" s="133"/>
    </row>
    <row r="2585" spans="1:12" x14ac:dyDescent="0.2">
      <c r="A2585" s="158"/>
      <c r="B2585" s="55"/>
      <c r="C2585" s="175"/>
      <c r="D2585" s="175"/>
      <c r="E2585" s="175"/>
      <c r="F2585" s="175"/>
      <c r="G2585" s="175"/>
      <c r="H2585" s="175"/>
      <c r="I2585" s="175"/>
      <c r="J2585" s="176"/>
      <c r="K2585" s="132"/>
      <c r="L2585" s="133"/>
    </row>
    <row r="2586" spans="1:12" ht="13.5" thickBot="1" x14ac:dyDescent="0.25">
      <c r="A2586" s="149"/>
      <c r="B2586" s="167"/>
      <c r="C2586" s="151"/>
      <c r="D2586" s="151"/>
      <c r="E2586" s="151"/>
      <c r="F2586" s="151"/>
      <c r="G2586" s="151"/>
      <c r="H2586" s="151"/>
      <c r="I2586" s="151"/>
      <c r="J2586" s="168"/>
      <c r="K2586" s="132"/>
      <c r="L2586" s="133"/>
    </row>
    <row r="2587" spans="1:12" ht="15.75" x14ac:dyDescent="0.2">
      <c r="A2587" s="602" t="s">
        <v>4</v>
      </c>
      <c r="B2587" s="603"/>
      <c r="C2587" s="603" t="str">
        <f>'A IV.A'!$B$43</f>
        <v>FECHAMENTOS, PROTEÇÕES E ALVENARIAS EM GERAL</v>
      </c>
      <c r="D2587" s="603"/>
      <c r="E2587" s="603"/>
      <c r="F2587" s="603"/>
      <c r="G2587" s="603"/>
      <c r="H2587" s="603"/>
      <c r="I2587" s="603"/>
      <c r="J2587" s="604"/>
      <c r="K2587" s="132"/>
      <c r="L2587" s="133"/>
    </row>
    <row r="2588" spans="1:12" x14ac:dyDescent="0.2">
      <c r="A2588" s="609" t="str">
        <f>'A IV.A'!$A$43</f>
        <v>3.0</v>
      </c>
      <c r="B2588" s="610"/>
      <c r="C2588" s="605"/>
      <c r="D2588" s="605"/>
      <c r="E2588" s="605"/>
      <c r="F2588" s="605"/>
      <c r="G2588" s="605"/>
      <c r="H2588" s="605"/>
      <c r="I2588" s="605"/>
      <c r="J2588" s="606"/>
      <c r="K2588" s="132"/>
      <c r="L2588" s="133"/>
    </row>
    <row r="2589" spans="1:12" ht="13.5" thickBot="1" x14ac:dyDescent="0.25">
      <c r="A2589" s="611"/>
      <c r="B2589" s="612"/>
      <c r="C2589" s="607"/>
      <c r="D2589" s="607"/>
      <c r="E2589" s="607"/>
      <c r="F2589" s="607"/>
      <c r="G2589" s="607"/>
      <c r="H2589" s="607"/>
      <c r="I2589" s="607"/>
      <c r="J2589" s="608"/>
      <c r="K2589" s="132"/>
      <c r="L2589" s="133"/>
    </row>
    <row r="2590" spans="1:12" ht="13.5" thickBot="1" x14ac:dyDescent="0.25">
      <c r="A2590" s="169"/>
      <c r="B2590" s="169"/>
      <c r="C2590" s="613"/>
      <c r="D2590" s="613"/>
      <c r="E2590" s="613"/>
      <c r="F2590" s="613"/>
      <c r="G2590" s="613"/>
      <c r="H2590" s="613"/>
      <c r="I2590" s="613"/>
      <c r="J2590" s="169"/>
      <c r="K2590" s="132"/>
      <c r="L2590" s="133"/>
    </row>
    <row r="2591" spans="1:12" ht="13.5" thickBot="1" x14ac:dyDescent="0.25">
      <c r="A2591" s="614" t="s">
        <v>60</v>
      </c>
      <c r="B2591" s="615"/>
      <c r="C2591" s="616" t="s">
        <v>61</v>
      </c>
      <c r="D2591" s="617"/>
      <c r="E2591" s="617"/>
      <c r="F2591" s="617"/>
      <c r="G2591" s="617"/>
      <c r="H2591" s="617"/>
      <c r="I2591" s="618"/>
      <c r="J2591" s="260" t="s">
        <v>0</v>
      </c>
      <c r="K2591" s="132"/>
      <c r="L2591" s="133"/>
    </row>
    <row r="2592" spans="1:12" x14ac:dyDescent="0.2">
      <c r="A2592" s="136"/>
      <c r="B2592" s="137"/>
      <c r="C2592" s="619"/>
      <c r="D2592" s="620"/>
      <c r="E2592" s="621"/>
      <c r="F2592" s="621"/>
      <c r="G2592" s="621"/>
      <c r="H2592" s="621"/>
      <c r="I2592" s="622"/>
      <c r="J2592" s="138"/>
      <c r="K2592" s="132"/>
      <c r="L2592" s="133"/>
    </row>
    <row r="2593" spans="1:14" x14ac:dyDescent="0.2">
      <c r="A2593" s="623" t="str">
        <f>'A IV.A'!$A$83</f>
        <v>3.5.4</v>
      </c>
      <c r="B2593" s="624"/>
      <c r="C2593" s="626" t="str">
        <f>'A IV.A'!$B$83</f>
        <v xml:space="preserve">CONCRETO ESTRUTURAL VIRADO EM OBRA, FCK 20MPA </v>
      </c>
      <c r="D2593" s="627"/>
      <c r="E2593" s="627"/>
      <c r="F2593" s="627"/>
      <c r="G2593" s="627"/>
      <c r="H2593" s="627"/>
      <c r="I2593" s="628"/>
      <c r="J2593" s="629" t="str">
        <f>'A IV.A'!$C$83</f>
        <v>M3</v>
      </c>
      <c r="K2593" s="630" t="str">
        <f>VLOOKUP(A2593,'A IV.A'!$A$14:$M$233,2,FALSE)</f>
        <v xml:space="preserve">CONCRETO ESTRUTURAL VIRADO EM OBRA, FCK 20MPA </v>
      </c>
      <c r="L2593" s="631" t="str">
        <f>IF(C2593=K2593,"sim","nao")</f>
        <v>sim</v>
      </c>
      <c r="M2593" s="631" t="str">
        <f>VLOOKUP(A2593,'A IV.A'!$A$14:$M$233,3,FALSE)</f>
        <v>M3</v>
      </c>
      <c r="N2593" s="631" t="str">
        <f>IF(J2593=M2593,"sim","nao")</f>
        <v>sim</v>
      </c>
    </row>
    <row r="2594" spans="1:14" x14ac:dyDescent="0.2">
      <c r="A2594" s="625"/>
      <c r="B2594" s="624"/>
      <c r="C2594" s="626"/>
      <c r="D2594" s="627"/>
      <c r="E2594" s="627"/>
      <c r="F2594" s="627"/>
      <c r="G2594" s="627"/>
      <c r="H2594" s="627"/>
      <c r="I2594" s="628"/>
      <c r="J2594" s="629"/>
      <c r="K2594" s="630"/>
      <c r="L2594" s="631"/>
      <c r="M2594" s="631"/>
      <c r="N2594" s="631"/>
    </row>
    <row r="2595" spans="1:14" x14ac:dyDescent="0.2">
      <c r="A2595" s="139"/>
      <c r="B2595" s="140"/>
      <c r="C2595" s="141"/>
      <c r="D2595" s="142"/>
      <c r="E2595" s="142"/>
      <c r="F2595" s="142"/>
      <c r="G2595" s="142"/>
      <c r="H2595" s="142"/>
      <c r="I2595" s="143"/>
      <c r="J2595" s="144"/>
      <c r="K2595" s="132"/>
      <c r="L2595" s="133"/>
    </row>
    <row r="2596" spans="1:14" x14ac:dyDescent="0.2">
      <c r="A2596" s="158"/>
      <c r="B2596" s="188"/>
      <c r="C2596" s="189"/>
      <c r="D2596" s="165"/>
      <c r="E2596" s="165"/>
      <c r="F2596" s="165"/>
      <c r="G2596" s="165"/>
      <c r="H2596" s="165"/>
      <c r="I2596" s="190"/>
      <c r="J2596" s="191"/>
      <c r="K2596" s="192"/>
      <c r="L2596" s="55"/>
      <c r="M2596" s="55"/>
      <c r="N2596" s="55"/>
    </row>
    <row r="2597" spans="1:14" x14ac:dyDescent="0.2">
      <c r="A2597" s="158"/>
      <c r="B2597" s="188"/>
      <c r="C2597" s="189"/>
      <c r="D2597" s="165"/>
      <c r="E2597" s="165"/>
      <c r="F2597" s="165"/>
      <c r="G2597" s="165"/>
      <c r="H2597" s="165"/>
      <c r="I2597" s="190"/>
      <c r="J2597" s="191"/>
      <c r="K2597" s="192"/>
      <c r="L2597" s="55"/>
      <c r="M2597" s="55"/>
      <c r="N2597" s="55"/>
    </row>
    <row r="2598" spans="1:14" x14ac:dyDescent="0.2">
      <c r="A2598" s="145"/>
      <c r="B2598" s="146"/>
      <c r="C2598" s="147"/>
      <c r="D2598" s="147"/>
      <c r="E2598" s="147"/>
      <c r="F2598" s="147"/>
      <c r="G2598" s="147"/>
      <c r="H2598" s="147"/>
      <c r="I2598" s="147"/>
      <c r="J2598" s="148"/>
      <c r="K2598" s="132"/>
      <c r="L2598" s="133"/>
    </row>
    <row r="2599" spans="1:14" x14ac:dyDescent="0.2">
      <c r="A2599" s="158"/>
      <c r="B2599" s="188"/>
      <c r="C2599" s="189"/>
      <c r="D2599" s="165"/>
      <c r="E2599" s="165"/>
      <c r="F2599" s="165"/>
      <c r="G2599" s="165"/>
      <c r="H2599" s="165"/>
      <c r="I2599" s="190"/>
      <c r="J2599" s="191"/>
      <c r="K2599" s="630"/>
      <c r="L2599" s="631"/>
      <c r="M2599" s="631"/>
      <c r="N2599" s="631"/>
    </row>
    <row r="2600" spans="1:14" x14ac:dyDescent="0.2">
      <c r="A2600" s="158"/>
      <c r="B2600" s="188"/>
      <c r="C2600" s="189"/>
      <c r="D2600" s="165"/>
      <c r="E2600" s="165"/>
      <c r="F2600" s="165"/>
      <c r="G2600" s="165"/>
      <c r="H2600" s="165"/>
      <c r="I2600" s="190"/>
      <c r="J2600" s="191"/>
      <c r="K2600" s="630"/>
      <c r="L2600" s="631"/>
      <c r="M2600" s="631"/>
      <c r="N2600" s="631"/>
    </row>
    <row r="2601" spans="1:14" x14ac:dyDescent="0.2">
      <c r="A2601" s="145"/>
      <c r="B2601" s="146"/>
      <c r="C2601" s="147"/>
      <c r="D2601" s="147"/>
      <c r="E2601" s="147"/>
      <c r="F2601" s="147"/>
      <c r="G2601" s="147"/>
      <c r="H2601" s="147"/>
      <c r="I2601" s="147"/>
      <c r="J2601" s="148"/>
      <c r="K2601" s="132"/>
      <c r="L2601" s="133"/>
    </row>
    <row r="2602" spans="1:14" x14ac:dyDescent="0.2">
      <c r="A2602" s="145"/>
      <c r="B2602" s="146"/>
      <c r="C2602" s="147"/>
      <c r="D2602" s="147"/>
      <c r="E2602" s="147"/>
      <c r="F2602" s="147"/>
      <c r="G2602" s="147"/>
      <c r="H2602" s="147"/>
      <c r="I2602" s="147"/>
      <c r="J2602" s="148"/>
      <c r="K2602" s="132"/>
      <c r="L2602" s="133"/>
    </row>
    <row r="2603" spans="1:14" x14ac:dyDescent="0.2">
      <c r="A2603" s="145"/>
      <c r="B2603" s="146"/>
      <c r="C2603" s="147"/>
      <c r="D2603" s="147"/>
      <c r="E2603" s="147"/>
      <c r="F2603" s="147"/>
      <c r="G2603" s="147"/>
      <c r="H2603" s="147"/>
      <c r="I2603" s="147"/>
      <c r="J2603" s="148"/>
      <c r="K2603" s="132"/>
      <c r="L2603" s="133"/>
    </row>
    <row r="2604" spans="1:14" x14ac:dyDescent="0.2">
      <c r="A2604" s="145"/>
      <c r="B2604" s="146"/>
      <c r="C2604" s="147"/>
      <c r="D2604" s="147"/>
      <c r="E2604" s="147"/>
      <c r="F2604" s="147"/>
      <c r="G2604" s="147"/>
      <c r="H2604" s="147"/>
      <c r="I2604" s="147"/>
      <c r="J2604" s="148"/>
      <c r="K2604" s="132"/>
      <c r="L2604" s="133"/>
    </row>
    <row r="2605" spans="1:14" x14ac:dyDescent="0.2">
      <c r="A2605" s="145"/>
      <c r="B2605" s="146"/>
      <c r="C2605" s="147"/>
      <c r="D2605" s="147"/>
      <c r="E2605" s="147"/>
      <c r="F2605" s="147"/>
      <c r="G2605" s="147"/>
      <c r="H2605" s="147"/>
      <c r="I2605" s="147"/>
      <c r="J2605" s="148"/>
      <c r="K2605" s="132"/>
      <c r="L2605" s="133"/>
    </row>
    <row r="2606" spans="1:14" x14ac:dyDescent="0.2">
      <c r="A2606" s="145"/>
      <c r="B2606" s="146"/>
      <c r="C2606" s="147"/>
      <c r="D2606" s="147"/>
      <c r="E2606" s="147"/>
      <c r="F2606" s="147"/>
      <c r="G2606" s="147"/>
      <c r="H2606" s="147"/>
      <c r="I2606" s="147"/>
      <c r="J2606" s="148"/>
      <c r="K2606" s="132"/>
      <c r="L2606" s="133"/>
    </row>
    <row r="2607" spans="1:14" x14ac:dyDescent="0.2">
      <c r="A2607" s="145"/>
      <c r="B2607" s="146"/>
      <c r="C2607" s="147"/>
      <c r="D2607" s="147"/>
      <c r="E2607" s="147"/>
      <c r="F2607" s="147"/>
      <c r="G2607" s="147"/>
      <c r="H2607" s="147"/>
      <c r="I2607" s="147"/>
      <c r="J2607" s="148"/>
      <c r="K2607" s="132"/>
      <c r="L2607" s="133"/>
    </row>
    <row r="2608" spans="1:14" x14ac:dyDescent="0.2">
      <c r="A2608" s="145"/>
      <c r="B2608" s="146"/>
      <c r="C2608" s="147"/>
      <c r="D2608" s="147"/>
      <c r="E2608" s="147"/>
      <c r="F2608" s="147"/>
      <c r="G2608" s="147"/>
      <c r="H2608" s="147"/>
      <c r="I2608" s="147"/>
      <c r="J2608" s="148"/>
      <c r="K2608" s="132"/>
      <c r="L2608" s="133"/>
    </row>
    <row r="2609" spans="1:12" x14ac:dyDescent="0.2">
      <c r="A2609" s="145"/>
      <c r="B2609" s="146"/>
      <c r="C2609" s="147"/>
      <c r="D2609" s="147"/>
      <c r="E2609" s="147"/>
      <c r="F2609" s="147"/>
      <c r="G2609" s="147"/>
      <c r="H2609" s="147"/>
      <c r="I2609" s="147"/>
      <c r="J2609" s="148"/>
      <c r="K2609" s="132"/>
      <c r="L2609" s="133"/>
    </row>
    <row r="2610" spans="1:12" x14ac:dyDescent="0.2">
      <c r="A2610" s="145"/>
      <c r="B2610" s="146"/>
      <c r="C2610" s="147"/>
      <c r="D2610" s="147"/>
      <c r="E2610" s="147"/>
      <c r="F2610" s="147"/>
      <c r="G2610" s="147"/>
      <c r="H2610" s="147"/>
      <c r="I2610" s="147"/>
      <c r="J2610" s="148"/>
      <c r="K2610" s="132"/>
      <c r="L2610" s="133"/>
    </row>
    <row r="2611" spans="1:12" x14ac:dyDescent="0.2">
      <c r="A2611" s="145"/>
      <c r="B2611" s="146"/>
      <c r="C2611" s="147"/>
      <c r="D2611" s="147"/>
      <c r="E2611" s="147"/>
      <c r="F2611" s="147"/>
      <c r="G2611" s="147"/>
      <c r="H2611" s="147"/>
      <c r="I2611" s="147"/>
      <c r="J2611" s="148"/>
      <c r="K2611" s="132"/>
      <c r="L2611" s="133"/>
    </row>
    <row r="2612" spans="1:12" x14ac:dyDescent="0.2">
      <c r="A2612" s="145"/>
      <c r="B2612" s="146"/>
      <c r="C2612" s="147"/>
      <c r="D2612" s="147"/>
      <c r="E2612" s="147"/>
      <c r="F2612" s="147"/>
      <c r="G2612" s="147"/>
      <c r="H2612" s="147"/>
      <c r="I2612" s="147"/>
      <c r="J2612" s="148"/>
      <c r="K2612" s="132"/>
      <c r="L2612" s="133"/>
    </row>
    <row r="2613" spans="1:12" x14ac:dyDescent="0.2">
      <c r="A2613" s="145"/>
      <c r="B2613" s="146"/>
      <c r="C2613" s="147"/>
      <c r="D2613" s="147"/>
      <c r="E2613" s="147"/>
      <c r="F2613" s="147"/>
      <c r="G2613" s="147"/>
      <c r="H2613" s="147"/>
      <c r="I2613" s="147"/>
      <c r="J2613" s="148"/>
      <c r="K2613" s="132"/>
      <c r="L2613" s="133"/>
    </row>
    <row r="2614" spans="1:12" ht="13.5" thickBot="1" x14ac:dyDescent="0.25">
      <c r="A2614" s="149"/>
      <c r="B2614" s="150"/>
      <c r="C2614" s="151"/>
      <c r="D2614" s="151"/>
      <c r="E2614" s="151"/>
      <c r="F2614" s="151"/>
      <c r="G2614" s="151"/>
      <c r="H2614" s="151"/>
      <c r="I2614" s="151"/>
      <c r="J2614" s="152"/>
      <c r="K2614" s="132"/>
      <c r="L2614" s="133"/>
    </row>
    <row r="2615" spans="1:12" ht="13.5" thickBot="1" x14ac:dyDescent="0.25">
      <c r="A2615" s="153"/>
      <c r="B2615" s="153"/>
      <c r="C2615" s="154"/>
      <c r="D2615" s="154"/>
      <c r="E2615" s="154"/>
      <c r="F2615" s="154"/>
      <c r="G2615" s="154"/>
      <c r="H2615" s="154"/>
      <c r="I2615" s="154"/>
      <c r="J2615" s="153"/>
      <c r="K2615" s="132"/>
      <c r="L2615" s="133"/>
    </row>
    <row r="2616" spans="1:12" ht="13.5" thickBot="1" x14ac:dyDescent="0.25">
      <c r="A2616" s="614" t="s">
        <v>62</v>
      </c>
      <c r="B2616" s="648"/>
      <c r="C2616" s="648"/>
      <c r="D2616" s="648"/>
      <c r="E2616" s="648"/>
      <c r="F2616" s="648"/>
      <c r="G2616" s="648"/>
      <c r="H2616" s="648"/>
      <c r="I2616" s="648"/>
      <c r="J2616" s="649"/>
      <c r="K2616" s="132"/>
      <c r="L2616" s="133"/>
    </row>
    <row r="2617" spans="1:12" x14ac:dyDescent="0.2">
      <c r="A2617" s="136"/>
      <c r="B2617" s="155"/>
      <c r="C2617" s="156"/>
      <c r="D2617" s="156"/>
      <c r="E2617" s="156"/>
      <c r="F2617" s="156"/>
      <c r="G2617" s="156"/>
      <c r="H2617" s="156"/>
      <c r="I2617" s="156"/>
      <c r="J2617" s="157"/>
      <c r="K2617" s="132"/>
      <c r="L2617" s="133"/>
    </row>
    <row r="2618" spans="1:12" ht="12.75" customHeight="1" x14ac:dyDescent="0.2">
      <c r="A2618" s="158" t="s">
        <v>63</v>
      </c>
      <c r="B2618" s="55"/>
      <c r="C2618" s="596" t="s">
        <v>565</v>
      </c>
      <c r="D2618" s="596"/>
      <c r="E2618" s="596"/>
      <c r="F2618" s="596"/>
      <c r="G2618" s="596"/>
      <c r="H2618" s="596"/>
      <c r="I2618" s="596"/>
      <c r="J2618" s="597"/>
      <c r="K2618" s="132"/>
      <c r="L2618" s="133"/>
    </row>
    <row r="2619" spans="1:12" x14ac:dyDescent="0.2">
      <c r="A2619" s="158"/>
      <c r="B2619" s="55"/>
      <c r="C2619" s="596"/>
      <c r="D2619" s="596"/>
      <c r="E2619" s="596"/>
      <c r="F2619" s="596"/>
      <c r="G2619" s="596"/>
      <c r="H2619" s="596"/>
      <c r="I2619" s="596"/>
      <c r="J2619" s="597"/>
      <c r="K2619" s="132"/>
      <c r="L2619" s="133"/>
    </row>
    <row r="2620" spans="1:12" x14ac:dyDescent="0.2">
      <c r="A2620" s="158"/>
      <c r="B2620" s="55"/>
      <c r="C2620" s="596"/>
      <c r="D2620" s="596"/>
      <c r="E2620" s="596"/>
      <c r="F2620" s="596"/>
      <c r="G2620" s="596"/>
      <c r="H2620" s="596"/>
      <c r="I2620" s="596"/>
      <c r="J2620" s="597"/>
      <c r="K2620" s="132"/>
      <c r="L2620" s="133"/>
    </row>
    <row r="2621" spans="1:12" ht="12.75" customHeight="1" x14ac:dyDescent="0.2">
      <c r="J2621" s="315"/>
      <c r="K2621" s="132"/>
      <c r="L2621" s="133"/>
    </row>
    <row r="2622" spans="1:12" x14ac:dyDescent="0.2">
      <c r="A2622" s="598" t="s">
        <v>64</v>
      </c>
      <c r="B2622" s="638"/>
      <c r="C2622" s="596" t="s">
        <v>731</v>
      </c>
      <c r="D2622" s="596"/>
      <c r="E2622" s="596"/>
      <c r="F2622" s="596"/>
      <c r="G2622" s="596"/>
      <c r="H2622" s="596"/>
      <c r="I2622" s="596"/>
      <c r="J2622" s="597"/>
      <c r="K2622" s="132"/>
      <c r="L2622" s="133"/>
    </row>
    <row r="2623" spans="1:12" x14ac:dyDescent="0.2">
      <c r="A2623" s="158"/>
      <c r="B2623" s="55"/>
      <c r="C2623" s="71"/>
      <c r="D2623" s="71"/>
      <c r="E2623" s="71"/>
      <c r="F2623" s="71"/>
      <c r="G2623" s="71"/>
      <c r="H2623" s="71"/>
      <c r="I2623" s="71"/>
      <c r="J2623" s="174"/>
      <c r="K2623" s="132"/>
      <c r="L2623" s="133"/>
    </row>
    <row r="2624" spans="1:12" x14ac:dyDescent="0.2">
      <c r="A2624" s="158" t="s">
        <v>65</v>
      </c>
      <c r="B2624" s="55"/>
      <c r="C2624" s="662" t="s">
        <v>564</v>
      </c>
      <c r="D2624" s="662"/>
      <c r="E2624" s="662"/>
      <c r="F2624" s="662"/>
      <c r="G2624" s="662"/>
      <c r="H2624" s="662"/>
      <c r="I2624" s="662"/>
      <c r="J2624" s="663"/>
      <c r="K2624" s="132"/>
      <c r="L2624" s="133"/>
    </row>
    <row r="2625" spans="1:12" x14ac:dyDescent="0.2">
      <c r="A2625" s="158"/>
      <c r="B2625" s="55"/>
      <c r="C2625" s="71"/>
      <c r="D2625" s="71"/>
      <c r="E2625" s="71"/>
      <c r="F2625" s="71"/>
      <c r="G2625" s="71"/>
      <c r="H2625" s="71"/>
      <c r="I2625" s="71"/>
      <c r="J2625" s="174"/>
      <c r="K2625" s="132"/>
      <c r="L2625" s="133"/>
    </row>
    <row r="2626" spans="1:12" x14ac:dyDescent="0.2">
      <c r="A2626" s="158"/>
      <c r="B2626" s="55"/>
      <c r="C2626" s="71"/>
      <c r="D2626" s="71"/>
      <c r="E2626" s="71"/>
      <c r="F2626" s="71"/>
      <c r="G2626" s="71"/>
      <c r="H2626" s="71"/>
      <c r="I2626" s="71"/>
      <c r="J2626" s="174"/>
      <c r="K2626" s="132"/>
      <c r="L2626" s="133"/>
    </row>
    <row r="2627" spans="1:12" x14ac:dyDescent="0.2">
      <c r="A2627" s="158"/>
      <c r="B2627" s="55"/>
      <c r="C2627" s="71"/>
      <c r="D2627" s="71"/>
      <c r="E2627" s="71"/>
      <c r="F2627" s="71"/>
      <c r="G2627" s="71"/>
      <c r="H2627" s="71"/>
      <c r="I2627" s="71"/>
      <c r="J2627" s="174"/>
      <c r="K2627" s="132"/>
      <c r="L2627" s="133"/>
    </row>
    <row r="2628" spans="1:12" x14ac:dyDescent="0.2">
      <c r="A2628" s="158"/>
      <c r="B2628" s="55"/>
      <c r="C2628" s="71"/>
      <c r="D2628" s="71"/>
      <c r="E2628" s="71"/>
      <c r="F2628" s="71"/>
      <c r="G2628" s="71"/>
      <c r="H2628" s="71"/>
      <c r="I2628" s="71"/>
      <c r="J2628" s="174"/>
      <c r="K2628" s="132"/>
      <c r="L2628" s="133"/>
    </row>
    <row r="2629" spans="1:12" x14ac:dyDescent="0.2">
      <c r="A2629" s="158"/>
      <c r="B2629" s="55"/>
      <c r="C2629" s="71"/>
      <c r="D2629" s="71"/>
      <c r="E2629" s="71"/>
      <c r="F2629" s="71"/>
      <c r="G2629" s="71"/>
      <c r="H2629" s="71"/>
      <c r="I2629" s="71"/>
      <c r="J2629" s="174"/>
      <c r="K2629" s="132"/>
      <c r="L2629" s="133"/>
    </row>
    <row r="2630" spans="1:12" x14ac:dyDescent="0.2">
      <c r="A2630" s="158"/>
      <c r="B2630" s="55"/>
      <c r="C2630" s="71"/>
      <c r="D2630" s="71"/>
      <c r="E2630" s="71"/>
      <c r="F2630" s="71"/>
      <c r="G2630" s="71"/>
      <c r="H2630" s="71"/>
      <c r="I2630" s="71"/>
      <c r="J2630" s="174"/>
      <c r="K2630" s="132"/>
      <c r="L2630" s="133"/>
    </row>
    <row r="2631" spans="1:12" x14ac:dyDescent="0.2">
      <c r="A2631" s="158"/>
      <c r="B2631" s="55"/>
      <c r="C2631" s="71"/>
      <c r="D2631" s="71"/>
      <c r="E2631" s="71"/>
      <c r="F2631" s="71"/>
      <c r="G2631" s="71"/>
      <c r="H2631" s="71"/>
      <c r="I2631" s="71"/>
      <c r="J2631" s="174"/>
      <c r="K2631" s="132"/>
      <c r="L2631" s="133"/>
    </row>
    <row r="2632" spans="1:12" x14ac:dyDescent="0.2">
      <c r="A2632" s="158"/>
      <c r="B2632" s="55"/>
      <c r="C2632" s="71"/>
      <c r="D2632" s="71"/>
      <c r="E2632" s="71"/>
      <c r="F2632" s="71"/>
      <c r="G2632" s="71"/>
      <c r="H2632" s="71"/>
      <c r="I2632" s="71"/>
      <c r="J2632" s="174"/>
      <c r="K2632" s="132"/>
      <c r="L2632" s="133"/>
    </row>
    <row r="2633" spans="1:12" x14ac:dyDescent="0.2">
      <c r="A2633" s="158"/>
      <c r="B2633" s="55"/>
      <c r="C2633" s="175"/>
      <c r="D2633" s="175"/>
      <c r="E2633" s="172"/>
      <c r="F2633" s="172"/>
      <c r="G2633" s="172"/>
      <c r="H2633" s="172"/>
      <c r="I2633" s="172"/>
      <c r="J2633" s="173"/>
      <c r="K2633" s="132"/>
      <c r="L2633" s="133"/>
    </row>
    <row r="2634" spans="1:12" x14ac:dyDescent="0.2">
      <c r="A2634" s="158"/>
      <c r="B2634" s="55"/>
      <c r="C2634" s="175"/>
      <c r="D2634" s="175"/>
      <c r="E2634" s="172"/>
      <c r="F2634" s="172"/>
      <c r="G2634" s="172"/>
      <c r="H2634" s="172"/>
      <c r="I2634" s="172"/>
      <c r="J2634" s="173"/>
      <c r="K2634" s="132"/>
      <c r="L2634" s="133"/>
    </row>
    <row r="2635" spans="1:12" x14ac:dyDescent="0.2">
      <c r="A2635" s="158"/>
      <c r="B2635" s="55"/>
      <c r="C2635" s="175"/>
      <c r="D2635" s="175"/>
      <c r="E2635" s="172"/>
      <c r="F2635" s="172"/>
      <c r="G2635" s="172"/>
      <c r="H2635" s="172"/>
      <c r="I2635" s="172"/>
      <c r="J2635" s="173"/>
      <c r="K2635" s="132"/>
      <c r="L2635" s="133"/>
    </row>
    <row r="2636" spans="1:12" x14ac:dyDescent="0.2">
      <c r="A2636" s="158"/>
      <c r="B2636" s="55"/>
      <c r="C2636" s="175"/>
      <c r="D2636" s="175"/>
      <c r="E2636" s="175"/>
      <c r="F2636" s="175"/>
      <c r="G2636" s="175"/>
      <c r="H2636" s="175"/>
      <c r="I2636" s="175"/>
      <c r="J2636" s="176"/>
      <c r="K2636" s="132"/>
      <c r="L2636" s="133"/>
    </row>
    <row r="2637" spans="1:12" x14ac:dyDescent="0.2">
      <c r="A2637" s="158"/>
      <c r="B2637" s="55"/>
      <c r="C2637" s="175"/>
      <c r="D2637" s="175"/>
      <c r="E2637" s="175"/>
      <c r="F2637" s="175"/>
      <c r="G2637" s="175"/>
      <c r="H2637" s="175"/>
      <c r="I2637" s="175"/>
      <c r="J2637" s="176"/>
      <c r="K2637" s="132"/>
      <c r="L2637" s="133"/>
    </row>
    <row r="2638" spans="1:12" x14ac:dyDescent="0.2">
      <c r="A2638" s="158"/>
      <c r="B2638" s="55"/>
      <c r="C2638" s="175"/>
      <c r="D2638" s="175"/>
      <c r="E2638" s="175"/>
      <c r="F2638" s="175"/>
      <c r="G2638" s="175"/>
      <c r="H2638" s="175"/>
      <c r="I2638" s="175"/>
      <c r="J2638" s="176"/>
      <c r="K2638" s="132"/>
      <c r="L2638" s="133"/>
    </row>
    <row r="2639" spans="1:12" ht="13.5" thickBot="1" x14ac:dyDescent="0.25">
      <c r="A2639" s="149"/>
      <c r="B2639" s="167"/>
      <c r="C2639" s="151"/>
      <c r="D2639" s="151"/>
      <c r="E2639" s="151"/>
      <c r="F2639" s="151"/>
      <c r="G2639" s="151"/>
      <c r="H2639" s="151"/>
      <c r="I2639" s="151"/>
      <c r="J2639" s="168"/>
      <c r="K2639" s="132"/>
      <c r="L2639" s="133"/>
    </row>
    <row r="2640" spans="1:12" ht="15.75" x14ac:dyDescent="0.2">
      <c r="A2640" s="602" t="s">
        <v>4</v>
      </c>
      <c r="B2640" s="603"/>
      <c r="C2640" s="603" t="str">
        <f>'A IV.A'!$B$43</f>
        <v>FECHAMENTOS, PROTEÇÕES E ALVENARIAS EM GERAL</v>
      </c>
      <c r="D2640" s="603"/>
      <c r="E2640" s="603"/>
      <c r="F2640" s="603"/>
      <c r="G2640" s="603"/>
      <c r="H2640" s="603"/>
      <c r="I2640" s="603"/>
      <c r="J2640" s="604"/>
      <c r="K2640" s="132"/>
      <c r="L2640" s="133"/>
    </row>
    <row r="2641" spans="1:14" x14ac:dyDescent="0.2">
      <c r="A2641" s="609" t="str">
        <f>'A IV.A'!$A$43</f>
        <v>3.0</v>
      </c>
      <c r="B2641" s="610"/>
      <c r="C2641" s="605"/>
      <c r="D2641" s="605"/>
      <c r="E2641" s="605"/>
      <c r="F2641" s="605"/>
      <c r="G2641" s="605"/>
      <c r="H2641" s="605"/>
      <c r="I2641" s="605"/>
      <c r="J2641" s="606"/>
      <c r="K2641" s="132"/>
      <c r="L2641" s="133"/>
    </row>
    <row r="2642" spans="1:14" ht="13.5" thickBot="1" x14ac:dyDescent="0.25">
      <c r="A2642" s="611"/>
      <c r="B2642" s="612"/>
      <c r="C2642" s="607"/>
      <c r="D2642" s="607"/>
      <c r="E2642" s="607"/>
      <c r="F2642" s="607"/>
      <c r="G2642" s="607"/>
      <c r="H2642" s="607"/>
      <c r="I2642" s="607"/>
      <c r="J2642" s="608"/>
      <c r="K2642" s="132"/>
      <c r="L2642" s="133"/>
    </row>
    <row r="2643" spans="1:14" ht="13.5" thickBot="1" x14ac:dyDescent="0.25">
      <c r="A2643" s="169"/>
      <c r="B2643" s="169"/>
      <c r="C2643" s="613"/>
      <c r="D2643" s="613"/>
      <c r="E2643" s="613"/>
      <c r="F2643" s="613"/>
      <c r="G2643" s="613"/>
      <c r="H2643" s="613"/>
      <c r="I2643" s="613"/>
      <c r="J2643" s="169"/>
      <c r="K2643" s="132"/>
      <c r="L2643" s="133"/>
    </row>
    <row r="2644" spans="1:14" ht="13.5" thickBot="1" x14ac:dyDescent="0.25">
      <c r="A2644" s="614" t="s">
        <v>60</v>
      </c>
      <c r="B2644" s="615"/>
      <c r="C2644" s="616" t="s">
        <v>61</v>
      </c>
      <c r="D2644" s="617"/>
      <c r="E2644" s="617"/>
      <c r="F2644" s="617"/>
      <c r="G2644" s="617"/>
      <c r="H2644" s="617"/>
      <c r="I2644" s="618"/>
      <c r="J2644" s="260" t="s">
        <v>0</v>
      </c>
      <c r="K2644" s="132"/>
      <c r="L2644" s="133"/>
    </row>
    <row r="2645" spans="1:14" x14ac:dyDescent="0.2">
      <c r="A2645" s="136"/>
      <c r="B2645" s="137"/>
      <c r="C2645" s="619"/>
      <c r="D2645" s="620"/>
      <c r="E2645" s="621"/>
      <c r="F2645" s="621"/>
      <c r="G2645" s="621"/>
      <c r="H2645" s="621"/>
      <c r="I2645" s="622"/>
      <c r="J2645" s="138"/>
      <c r="K2645" s="132"/>
      <c r="L2645" s="133"/>
    </row>
    <row r="2646" spans="1:14" x14ac:dyDescent="0.2">
      <c r="A2646" s="623" t="str">
        <f>'A IV.A'!$A$84</f>
        <v>3.5.5</v>
      </c>
      <c r="B2646" s="624"/>
      <c r="C2646" s="626" t="str">
        <f>'A IV.A'!$B$84</f>
        <v xml:space="preserve">ARGAMASSA GROUT (PREPARO E LANÇAMENTO DE ARGAMASSA DE CIMENTO, AREIA E PEDRISCO 1:3:2) </v>
      </c>
      <c r="D2646" s="627"/>
      <c r="E2646" s="627"/>
      <c r="F2646" s="627"/>
      <c r="G2646" s="627"/>
      <c r="H2646" s="627"/>
      <c r="I2646" s="628"/>
      <c r="J2646" s="629" t="str">
        <f>'A IV.A'!$C$84</f>
        <v>M3</v>
      </c>
      <c r="K2646" s="630" t="str">
        <f>VLOOKUP(A2646,'A IV.A'!$A$14:$M$233,2,FALSE)</f>
        <v xml:space="preserve">ARGAMASSA GROUT (PREPARO E LANÇAMENTO DE ARGAMASSA DE CIMENTO, AREIA E PEDRISCO 1:3:2) </v>
      </c>
      <c r="L2646" s="631" t="str">
        <f>IF(C2646=K2646,"sim","nao")</f>
        <v>sim</v>
      </c>
      <c r="M2646" s="631" t="str">
        <f>VLOOKUP(A2646,'A IV.A'!$A$14:$M$233,3,FALSE)</f>
        <v>M3</v>
      </c>
      <c r="N2646" s="631" t="str">
        <f>IF(J2646=M2646,"sim","nao")</f>
        <v>sim</v>
      </c>
    </row>
    <row r="2647" spans="1:14" x14ac:dyDescent="0.2">
      <c r="A2647" s="625"/>
      <c r="B2647" s="624"/>
      <c r="C2647" s="626"/>
      <c r="D2647" s="627"/>
      <c r="E2647" s="627"/>
      <c r="F2647" s="627"/>
      <c r="G2647" s="627"/>
      <c r="H2647" s="627"/>
      <c r="I2647" s="628"/>
      <c r="J2647" s="629"/>
      <c r="K2647" s="630"/>
      <c r="L2647" s="631"/>
      <c r="M2647" s="631"/>
      <c r="N2647" s="631"/>
    </row>
    <row r="2648" spans="1:14" x14ac:dyDescent="0.2">
      <c r="A2648" s="139"/>
      <c r="B2648" s="140"/>
      <c r="C2648" s="141"/>
      <c r="D2648" s="142"/>
      <c r="E2648" s="142"/>
      <c r="F2648" s="142"/>
      <c r="G2648" s="142"/>
      <c r="H2648" s="142"/>
      <c r="I2648" s="143"/>
      <c r="J2648" s="144"/>
      <c r="K2648" s="132"/>
      <c r="L2648" s="133"/>
    </row>
    <row r="2649" spans="1:14" x14ac:dyDescent="0.2">
      <c r="A2649" s="158"/>
      <c r="B2649" s="188"/>
      <c r="C2649" s="189"/>
      <c r="D2649" s="165"/>
      <c r="E2649" s="165"/>
      <c r="F2649" s="165"/>
      <c r="G2649" s="165"/>
      <c r="H2649" s="165"/>
      <c r="I2649" s="190"/>
      <c r="J2649" s="191"/>
      <c r="K2649" s="192"/>
      <c r="L2649" s="55"/>
      <c r="M2649" s="55"/>
      <c r="N2649" s="55"/>
    </row>
    <row r="2650" spans="1:14" x14ac:dyDescent="0.2">
      <c r="A2650" s="158"/>
      <c r="B2650" s="188"/>
      <c r="C2650" s="189"/>
      <c r="D2650" s="165"/>
      <c r="E2650" s="165"/>
      <c r="F2650" s="165"/>
      <c r="G2650" s="165"/>
      <c r="H2650" s="165"/>
      <c r="I2650" s="190"/>
      <c r="J2650" s="191"/>
      <c r="K2650" s="192"/>
      <c r="L2650" s="55"/>
      <c r="M2650" s="55"/>
      <c r="N2650" s="55"/>
    </row>
    <row r="2651" spans="1:14" x14ac:dyDescent="0.2">
      <c r="A2651" s="145"/>
      <c r="B2651" s="146"/>
      <c r="C2651" s="147"/>
      <c r="D2651" s="147"/>
      <c r="E2651" s="147"/>
      <c r="F2651" s="147"/>
      <c r="G2651" s="147"/>
      <c r="H2651" s="147"/>
      <c r="I2651" s="147"/>
      <c r="J2651" s="148"/>
      <c r="K2651" s="132"/>
      <c r="L2651" s="133"/>
    </row>
    <row r="2652" spans="1:14" x14ac:dyDescent="0.2">
      <c r="A2652" s="158"/>
      <c r="B2652" s="188"/>
      <c r="C2652" s="189"/>
      <c r="D2652" s="165"/>
      <c r="E2652" s="165"/>
      <c r="F2652" s="165"/>
      <c r="G2652" s="165"/>
      <c r="H2652" s="165"/>
      <c r="I2652" s="190"/>
      <c r="J2652" s="191"/>
      <c r="K2652" s="630"/>
      <c r="L2652" s="631"/>
      <c r="M2652" s="631"/>
      <c r="N2652" s="631"/>
    </row>
    <row r="2653" spans="1:14" x14ac:dyDescent="0.2">
      <c r="A2653" s="158"/>
      <c r="B2653" s="188"/>
      <c r="C2653" s="189"/>
      <c r="D2653" s="165"/>
      <c r="E2653" s="165"/>
      <c r="F2653" s="165"/>
      <c r="G2653" s="165"/>
      <c r="H2653" s="165"/>
      <c r="I2653" s="190"/>
      <c r="J2653" s="191"/>
      <c r="K2653" s="630"/>
      <c r="L2653" s="631"/>
      <c r="M2653" s="631"/>
      <c r="N2653" s="631"/>
    </row>
    <row r="2654" spans="1:14" x14ac:dyDescent="0.2">
      <c r="A2654" s="145"/>
      <c r="B2654" s="146"/>
      <c r="C2654" s="147"/>
      <c r="D2654" s="147"/>
      <c r="E2654" s="147"/>
      <c r="F2654" s="147"/>
      <c r="G2654" s="147"/>
      <c r="H2654" s="147"/>
      <c r="I2654" s="147"/>
      <c r="J2654" s="148"/>
      <c r="K2654" s="132"/>
      <c r="L2654" s="133"/>
    </row>
    <row r="2655" spans="1:14" x14ac:dyDescent="0.2">
      <c r="A2655" s="145"/>
      <c r="B2655" s="146"/>
      <c r="C2655" s="147"/>
      <c r="D2655" s="147"/>
      <c r="E2655" s="147"/>
      <c r="F2655" s="147"/>
      <c r="G2655" s="147"/>
      <c r="H2655" s="147"/>
      <c r="I2655" s="147"/>
      <c r="J2655" s="148"/>
      <c r="K2655" s="132"/>
      <c r="L2655" s="133"/>
    </row>
    <row r="2656" spans="1:14" x14ac:dyDescent="0.2">
      <c r="A2656" s="145"/>
      <c r="B2656" s="146"/>
      <c r="C2656" s="147"/>
      <c r="D2656" s="147"/>
      <c r="E2656" s="147"/>
      <c r="F2656" s="147"/>
      <c r="G2656" s="147"/>
      <c r="H2656" s="147"/>
      <c r="I2656" s="147"/>
      <c r="J2656" s="148"/>
      <c r="K2656" s="132"/>
      <c r="L2656" s="133"/>
    </row>
    <row r="2657" spans="1:12" x14ac:dyDescent="0.2">
      <c r="A2657" s="145"/>
      <c r="B2657" s="146"/>
      <c r="C2657" s="147"/>
      <c r="D2657" s="147"/>
      <c r="E2657" s="147"/>
      <c r="F2657" s="147"/>
      <c r="G2657" s="147"/>
      <c r="H2657" s="147"/>
      <c r="I2657" s="147"/>
      <c r="J2657" s="148"/>
      <c r="K2657" s="132"/>
      <c r="L2657" s="133"/>
    </row>
    <row r="2658" spans="1:12" x14ac:dyDescent="0.2">
      <c r="A2658" s="145"/>
      <c r="B2658" s="146"/>
      <c r="C2658" s="147"/>
      <c r="D2658" s="147"/>
      <c r="E2658" s="147"/>
      <c r="F2658" s="147"/>
      <c r="G2658" s="147"/>
      <c r="H2658" s="147"/>
      <c r="I2658" s="147"/>
      <c r="J2658" s="148"/>
      <c r="K2658" s="132"/>
      <c r="L2658" s="133"/>
    </row>
    <row r="2659" spans="1:12" x14ac:dyDescent="0.2">
      <c r="A2659" s="145"/>
      <c r="B2659" s="146"/>
      <c r="C2659" s="147"/>
      <c r="D2659" s="147"/>
      <c r="E2659" s="147"/>
      <c r="F2659" s="147"/>
      <c r="G2659" s="147"/>
      <c r="H2659" s="147"/>
      <c r="I2659" s="147"/>
      <c r="J2659" s="148"/>
      <c r="K2659" s="132"/>
      <c r="L2659" s="133"/>
    </row>
    <row r="2660" spans="1:12" x14ac:dyDescent="0.2">
      <c r="A2660" s="145"/>
      <c r="B2660" s="146"/>
      <c r="C2660" s="147"/>
      <c r="D2660" s="147"/>
      <c r="E2660" s="147"/>
      <c r="F2660" s="147"/>
      <c r="G2660" s="147"/>
      <c r="H2660" s="147"/>
      <c r="I2660" s="147"/>
      <c r="J2660" s="148"/>
      <c r="K2660" s="132"/>
      <c r="L2660" s="133"/>
    </row>
    <row r="2661" spans="1:12" x14ac:dyDescent="0.2">
      <c r="A2661" s="145"/>
      <c r="B2661" s="146"/>
      <c r="C2661" s="147"/>
      <c r="D2661" s="147"/>
      <c r="E2661" s="147"/>
      <c r="F2661" s="147"/>
      <c r="G2661" s="147"/>
      <c r="H2661" s="147"/>
      <c r="I2661" s="147"/>
      <c r="J2661" s="148"/>
      <c r="K2661" s="132"/>
      <c r="L2661" s="133"/>
    </row>
    <row r="2662" spans="1:12" x14ac:dyDescent="0.2">
      <c r="A2662" s="145"/>
      <c r="B2662" s="146"/>
      <c r="C2662" s="147"/>
      <c r="D2662" s="147"/>
      <c r="E2662" s="147"/>
      <c r="F2662" s="147"/>
      <c r="G2662" s="147"/>
      <c r="H2662" s="147"/>
      <c r="I2662" s="147"/>
      <c r="J2662" s="148"/>
      <c r="K2662" s="132"/>
      <c r="L2662" s="133"/>
    </row>
    <row r="2663" spans="1:12" x14ac:dyDescent="0.2">
      <c r="A2663" s="145"/>
      <c r="B2663" s="146"/>
      <c r="C2663" s="147"/>
      <c r="D2663" s="147"/>
      <c r="E2663" s="147"/>
      <c r="F2663" s="147"/>
      <c r="G2663" s="147"/>
      <c r="H2663" s="147"/>
      <c r="I2663" s="147"/>
      <c r="J2663" s="148"/>
      <c r="K2663" s="132"/>
      <c r="L2663" s="133"/>
    </row>
    <row r="2664" spans="1:12" x14ac:dyDescent="0.2">
      <c r="A2664" s="145"/>
      <c r="B2664" s="146"/>
      <c r="C2664" s="147"/>
      <c r="D2664" s="147"/>
      <c r="E2664" s="147"/>
      <c r="F2664" s="147"/>
      <c r="G2664" s="147"/>
      <c r="H2664" s="147"/>
      <c r="I2664" s="147"/>
      <c r="J2664" s="148"/>
      <c r="K2664" s="132"/>
      <c r="L2664" s="133"/>
    </row>
    <row r="2665" spans="1:12" x14ac:dyDescent="0.2">
      <c r="A2665" s="145"/>
      <c r="B2665" s="146"/>
      <c r="C2665" s="147"/>
      <c r="D2665" s="147"/>
      <c r="E2665" s="147"/>
      <c r="F2665" s="147"/>
      <c r="G2665" s="147"/>
      <c r="H2665" s="147"/>
      <c r="I2665" s="147"/>
      <c r="J2665" s="148"/>
      <c r="K2665" s="132"/>
      <c r="L2665" s="133"/>
    </row>
    <row r="2666" spans="1:12" x14ac:dyDescent="0.2">
      <c r="A2666" s="145"/>
      <c r="B2666" s="146"/>
      <c r="C2666" s="147"/>
      <c r="D2666" s="147"/>
      <c r="E2666" s="147"/>
      <c r="F2666" s="147"/>
      <c r="G2666" s="147"/>
      <c r="H2666" s="147"/>
      <c r="I2666" s="147"/>
      <c r="J2666" s="148"/>
      <c r="K2666" s="132"/>
      <c r="L2666" s="133"/>
    </row>
    <row r="2667" spans="1:12" ht="13.5" thickBot="1" x14ac:dyDescent="0.25">
      <c r="A2667" s="149"/>
      <c r="B2667" s="150"/>
      <c r="C2667" s="151"/>
      <c r="D2667" s="151"/>
      <c r="E2667" s="151"/>
      <c r="F2667" s="151"/>
      <c r="G2667" s="151"/>
      <c r="H2667" s="151"/>
      <c r="I2667" s="151"/>
      <c r="J2667" s="152"/>
      <c r="K2667" s="132"/>
      <c r="L2667" s="133"/>
    </row>
    <row r="2668" spans="1:12" ht="13.5" thickBot="1" x14ac:dyDescent="0.25">
      <c r="A2668" s="153"/>
      <c r="B2668" s="153"/>
      <c r="C2668" s="154"/>
      <c r="D2668" s="154"/>
      <c r="E2668" s="154"/>
      <c r="F2668" s="154"/>
      <c r="G2668" s="154"/>
      <c r="H2668" s="154"/>
      <c r="I2668" s="154"/>
      <c r="J2668" s="153"/>
      <c r="K2668" s="132"/>
      <c r="L2668" s="133"/>
    </row>
    <row r="2669" spans="1:12" ht="13.5" thickBot="1" x14ac:dyDescent="0.25">
      <c r="A2669" s="614" t="s">
        <v>62</v>
      </c>
      <c r="B2669" s="648"/>
      <c r="C2669" s="648"/>
      <c r="D2669" s="648"/>
      <c r="E2669" s="648"/>
      <c r="F2669" s="648"/>
      <c r="G2669" s="648"/>
      <c r="H2669" s="648"/>
      <c r="I2669" s="648"/>
      <c r="J2669" s="649"/>
      <c r="K2669" s="132"/>
      <c r="L2669" s="133"/>
    </row>
    <row r="2670" spans="1:12" x14ac:dyDescent="0.2">
      <c r="A2670" s="136"/>
      <c r="B2670" s="155"/>
      <c r="C2670" s="156"/>
      <c r="D2670" s="156"/>
      <c r="E2670" s="156"/>
      <c r="F2670" s="156"/>
      <c r="G2670" s="156"/>
      <c r="H2670" s="156"/>
      <c r="I2670" s="156"/>
      <c r="J2670" s="157"/>
      <c r="K2670" s="132"/>
      <c r="L2670" s="133"/>
    </row>
    <row r="2671" spans="1:12" ht="12.75" customHeight="1" x14ac:dyDescent="0.2">
      <c r="A2671" s="158" t="s">
        <v>63</v>
      </c>
      <c r="B2671" s="55"/>
      <c r="C2671" s="596" t="s">
        <v>732</v>
      </c>
      <c r="D2671" s="596"/>
      <c r="E2671" s="596"/>
      <c r="F2671" s="596"/>
      <c r="G2671" s="596"/>
      <c r="H2671" s="596"/>
      <c r="I2671" s="596"/>
      <c r="J2671" s="597"/>
      <c r="K2671" s="132"/>
      <c r="L2671" s="133"/>
    </row>
    <row r="2672" spans="1:12" x14ac:dyDescent="0.2">
      <c r="A2672" s="158"/>
      <c r="B2672" s="55"/>
      <c r="C2672" s="596"/>
      <c r="D2672" s="596"/>
      <c r="E2672" s="596"/>
      <c r="F2672" s="596"/>
      <c r="G2672" s="596"/>
      <c r="H2672" s="596"/>
      <c r="I2672" s="596"/>
      <c r="J2672" s="597"/>
      <c r="K2672" s="132"/>
      <c r="L2672" s="133"/>
    </row>
    <row r="2673" spans="1:12" x14ac:dyDescent="0.2">
      <c r="A2673" s="158"/>
      <c r="B2673" s="55"/>
      <c r="C2673" s="596"/>
      <c r="D2673" s="596"/>
      <c r="E2673" s="596"/>
      <c r="F2673" s="596"/>
      <c r="G2673" s="596"/>
      <c r="H2673" s="596"/>
      <c r="I2673" s="596"/>
      <c r="J2673" s="597"/>
      <c r="K2673" s="132"/>
      <c r="L2673" s="133"/>
    </row>
    <row r="2674" spans="1:12" ht="12.75" customHeight="1" x14ac:dyDescent="0.2">
      <c r="A2674" s="158"/>
      <c r="B2674" s="55"/>
      <c r="C2674" s="652" t="s">
        <v>566</v>
      </c>
      <c r="D2674" s="652"/>
      <c r="E2674" s="652"/>
      <c r="F2674" s="652"/>
      <c r="G2674" s="652"/>
      <c r="H2674" s="652"/>
      <c r="I2674" s="652"/>
      <c r="J2674" s="653"/>
      <c r="K2674" s="132"/>
      <c r="L2674" s="133"/>
    </row>
    <row r="2675" spans="1:12" x14ac:dyDescent="0.2">
      <c r="C2675" s="652"/>
      <c r="D2675" s="652"/>
      <c r="E2675" s="652"/>
      <c r="F2675" s="652"/>
      <c r="G2675" s="652"/>
      <c r="H2675" s="652"/>
      <c r="I2675" s="652"/>
      <c r="J2675" s="653"/>
    </row>
    <row r="2676" spans="1:12" x14ac:dyDescent="0.2">
      <c r="A2676" s="158"/>
      <c r="B2676" s="55"/>
      <c r="C2676" s="652"/>
      <c r="D2676" s="652"/>
      <c r="E2676" s="652"/>
      <c r="F2676" s="652"/>
      <c r="G2676" s="652"/>
      <c r="H2676" s="652"/>
      <c r="I2676" s="652"/>
      <c r="J2676" s="653"/>
      <c r="K2676" s="132"/>
      <c r="L2676" s="133"/>
    </row>
    <row r="2677" spans="1:12" ht="12.75" customHeight="1" x14ac:dyDescent="0.2">
      <c r="A2677" s="139"/>
      <c r="B2677" s="56"/>
      <c r="C2677" s="56"/>
      <c r="D2677" s="56"/>
      <c r="E2677" s="56"/>
      <c r="F2677" s="56"/>
      <c r="G2677" s="56"/>
      <c r="H2677" s="56"/>
      <c r="I2677" s="56"/>
      <c r="J2677" s="314"/>
      <c r="K2677" s="132"/>
      <c r="L2677" s="133"/>
    </row>
    <row r="2678" spans="1:12" x14ac:dyDescent="0.2">
      <c r="A2678" s="598" t="s">
        <v>64</v>
      </c>
      <c r="B2678" s="638"/>
      <c r="C2678" s="596" t="s">
        <v>567</v>
      </c>
      <c r="D2678" s="596"/>
      <c r="E2678" s="596"/>
      <c r="F2678" s="596"/>
      <c r="G2678" s="596"/>
      <c r="H2678" s="596"/>
      <c r="I2678" s="596"/>
      <c r="J2678" s="597"/>
      <c r="K2678" s="132"/>
      <c r="L2678" s="133"/>
    </row>
    <row r="2679" spans="1:12" x14ac:dyDescent="0.2">
      <c r="A2679" s="158"/>
      <c r="B2679" s="55"/>
      <c r="C2679" s="71"/>
      <c r="D2679" s="71"/>
      <c r="E2679" s="71"/>
      <c r="F2679" s="71"/>
      <c r="G2679" s="71"/>
      <c r="H2679" s="71"/>
      <c r="I2679" s="71"/>
      <c r="J2679" s="174"/>
      <c r="K2679" s="132"/>
      <c r="L2679" s="133"/>
    </row>
    <row r="2680" spans="1:12" x14ac:dyDescent="0.2">
      <c r="A2680" s="158"/>
      <c r="B2680" s="55"/>
      <c r="C2680" s="71"/>
      <c r="D2680" s="71"/>
      <c r="E2680" s="71"/>
      <c r="F2680" s="71"/>
      <c r="G2680" s="71"/>
      <c r="H2680" s="71"/>
      <c r="I2680" s="71"/>
      <c r="J2680" s="174"/>
      <c r="K2680" s="132"/>
      <c r="L2680" s="133"/>
    </row>
    <row r="2681" spans="1:12" x14ac:dyDescent="0.2">
      <c r="A2681" s="158"/>
      <c r="B2681" s="55"/>
      <c r="C2681" s="71"/>
      <c r="D2681" s="71"/>
      <c r="E2681" s="71"/>
      <c r="F2681" s="71"/>
      <c r="G2681" s="71"/>
      <c r="H2681" s="71"/>
      <c r="I2681" s="71"/>
      <c r="J2681" s="174"/>
      <c r="K2681" s="132"/>
      <c r="L2681" s="133"/>
    </row>
    <row r="2682" spans="1:12" x14ac:dyDescent="0.2">
      <c r="A2682" s="158"/>
      <c r="B2682" s="55"/>
      <c r="C2682" s="71"/>
      <c r="D2682" s="71"/>
      <c r="E2682" s="71"/>
      <c r="F2682" s="71"/>
      <c r="G2682" s="71"/>
      <c r="H2682" s="71"/>
      <c r="I2682" s="71"/>
      <c r="J2682" s="174"/>
      <c r="K2682" s="132"/>
      <c r="L2682" s="133"/>
    </row>
    <row r="2683" spans="1:12" x14ac:dyDescent="0.2">
      <c r="A2683" s="158"/>
      <c r="B2683" s="55"/>
      <c r="C2683" s="71"/>
      <c r="D2683" s="71"/>
      <c r="E2683" s="71"/>
      <c r="F2683" s="71"/>
      <c r="G2683" s="71"/>
      <c r="H2683" s="71"/>
      <c r="I2683" s="71"/>
      <c r="J2683" s="174"/>
      <c r="K2683" s="132"/>
      <c r="L2683" s="133"/>
    </row>
    <row r="2684" spans="1:12" x14ac:dyDescent="0.2">
      <c r="A2684" s="158"/>
      <c r="B2684" s="55"/>
      <c r="C2684" s="71"/>
      <c r="D2684" s="71"/>
      <c r="E2684" s="71"/>
      <c r="F2684" s="71"/>
      <c r="G2684" s="71"/>
      <c r="H2684" s="71"/>
      <c r="I2684" s="71"/>
      <c r="J2684" s="174"/>
      <c r="K2684" s="132"/>
      <c r="L2684" s="133"/>
    </row>
    <row r="2685" spans="1:12" x14ac:dyDescent="0.2">
      <c r="A2685" s="158"/>
      <c r="B2685" s="55"/>
      <c r="C2685" s="71"/>
      <c r="D2685" s="71"/>
      <c r="E2685" s="71"/>
      <c r="F2685" s="71"/>
      <c r="G2685" s="71"/>
      <c r="H2685" s="71"/>
      <c r="I2685" s="71"/>
      <c r="J2685" s="174"/>
      <c r="K2685" s="132"/>
      <c r="L2685" s="133"/>
    </row>
    <row r="2686" spans="1:12" x14ac:dyDescent="0.2">
      <c r="A2686" s="158"/>
      <c r="B2686" s="55"/>
      <c r="C2686" s="71"/>
      <c r="D2686" s="71"/>
      <c r="E2686" s="71"/>
      <c r="F2686" s="71"/>
      <c r="G2686" s="71"/>
      <c r="H2686" s="71"/>
      <c r="I2686" s="71"/>
      <c r="J2686" s="174"/>
      <c r="K2686" s="132"/>
      <c r="L2686" s="133"/>
    </row>
    <row r="2687" spans="1:12" x14ac:dyDescent="0.2">
      <c r="A2687" s="158"/>
      <c r="B2687" s="55"/>
      <c r="C2687" s="175"/>
      <c r="D2687" s="175"/>
      <c r="E2687" s="172"/>
      <c r="F2687" s="172"/>
      <c r="G2687" s="172"/>
      <c r="H2687" s="172"/>
      <c r="I2687" s="172"/>
      <c r="J2687" s="173"/>
      <c r="K2687" s="132"/>
      <c r="L2687" s="133"/>
    </row>
    <row r="2688" spans="1:12" x14ac:dyDescent="0.2">
      <c r="A2688" s="158"/>
      <c r="B2688" s="55"/>
      <c r="C2688" s="175"/>
      <c r="D2688" s="175"/>
      <c r="E2688" s="172"/>
      <c r="F2688" s="172"/>
      <c r="G2688" s="172"/>
      <c r="H2688" s="172"/>
      <c r="I2688" s="172"/>
      <c r="J2688" s="173"/>
      <c r="K2688" s="132"/>
      <c r="L2688" s="133"/>
    </row>
    <row r="2689" spans="1:14" x14ac:dyDescent="0.2">
      <c r="A2689" s="158"/>
      <c r="B2689" s="55"/>
      <c r="C2689" s="175"/>
      <c r="D2689" s="175"/>
      <c r="E2689" s="172"/>
      <c r="F2689" s="172"/>
      <c r="G2689" s="172"/>
      <c r="H2689" s="172"/>
      <c r="I2689" s="172"/>
      <c r="J2689" s="173"/>
      <c r="K2689" s="132"/>
      <c r="L2689" s="133"/>
    </row>
    <row r="2690" spans="1:14" x14ac:dyDescent="0.2">
      <c r="A2690" s="158"/>
      <c r="B2690" s="55"/>
      <c r="C2690" s="175"/>
      <c r="D2690" s="175"/>
      <c r="E2690" s="175"/>
      <c r="F2690" s="175"/>
      <c r="G2690" s="175"/>
      <c r="H2690" s="175"/>
      <c r="I2690" s="175"/>
      <c r="J2690" s="176"/>
      <c r="K2690" s="132"/>
      <c r="L2690" s="133"/>
    </row>
    <row r="2691" spans="1:14" x14ac:dyDescent="0.2">
      <c r="A2691" s="158"/>
      <c r="B2691" s="55"/>
      <c r="C2691" s="175"/>
      <c r="D2691" s="175"/>
      <c r="E2691" s="175"/>
      <c r="F2691" s="175"/>
      <c r="G2691" s="175"/>
      <c r="H2691" s="175"/>
      <c r="I2691" s="175"/>
      <c r="J2691" s="176"/>
      <c r="K2691" s="132"/>
      <c r="L2691" s="133"/>
    </row>
    <row r="2692" spans="1:14" x14ac:dyDescent="0.2">
      <c r="A2692" s="158"/>
      <c r="B2692" s="55"/>
      <c r="C2692" s="175"/>
      <c r="D2692" s="175"/>
      <c r="E2692" s="175"/>
      <c r="F2692" s="175"/>
      <c r="G2692" s="175"/>
      <c r="H2692" s="175"/>
      <c r="I2692" s="175"/>
      <c r="J2692" s="176"/>
      <c r="K2692" s="132"/>
      <c r="L2692" s="133"/>
    </row>
    <row r="2693" spans="1:14" ht="13.5" thickBot="1" x14ac:dyDescent="0.25">
      <c r="A2693" s="149"/>
      <c r="B2693" s="167"/>
      <c r="C2693" s="151"/>
      <c r="D2693" s="151"/>
      <c r="E2693" s="151"/>
      <c r="F2693" s="151"/>
      <c r="G2693" s="151"/>
      <c r="H2693" s="151"/>
      <c r="I2693" s="151"/>
      <c r="J2693" s="168"/>
      <c r="K2693" s="132"/>
      <c r="L2693" s="133"/>
    </row>
    <row r="2694" spans="1:14" ht="15.75" x14ac:dyDescent="0.2">
      <c r="A2694" s="715" t="s">
        <v>4</v>
      </c>
      <c r="B2694" s="716"/>
      <c r="C2694" s="603" t="str">
        <f>'A IV.A'!$B$43</f>
        <v>FECHAMENTOS, PROTEÇÕES E ALVENARIAS EM GERAL</v>
      </c>
      <c r="D2694" s="603"/>
      <c r="E2694" s="603"/>
      <c r="F2694" s="603"/>
      <c r="G2694" s="603"/>
      <c r="H2694" s="603"/>
      <c r="I2694" s="603"/>
      <c r="J2694" s="604"/>
      <c r="K2694" s="132"/>
      <c r="L2694" s="133"/>
    </row>
    <row r="2695" spans="1:14" x14ac:dyDescent="0.2">
      <c r="A2695" s="609" t="str">
        <f>'A IV.A'!$A$43</f>
        <v>3.0</v>
      </c>
      <c r="B2695" s="610"/>
      <c r="C2695" s="605"/>
      <c r="D2695" s="605"/>
      <c r="E2695" s="605"/>
      <c r="F2695" s="605"/>
      <c r="G2695" s="605"/>
      <c r="H2695" s="605"/>
      <c r="I2695" s="605"/>
      <c r="J2695" s="606"/>
      <c r="K2695" s="132"/>
      <c r="L2695" s="133"/>
    </row>
    <row r="2696" spans="1:14" ht="13.5" thickBot="1" x14ac:dyDescent="0.25">
      <c r="A2696" s="611"/>
      <c r="B2696" s="612"/>
      <c r="C2696" s="607"/>
      <c r="D2696" s="607"/>
      <c r="E2696" s="607"/>
      <c r="F2696" s="607"/>
      <c r="G2696" s="607"/>
      <c r="H2696" s="607"/>
      <c r="I2696" s="607"/>
      <c r="J2696" s="608"/>
      <c r="K2696" s="132"/>
      <c r="L2696" s="133"/>
    </row>
    <row r="2697" spans="1:14" ht="13.5" thickBot="1" x14ac:dyDescent="0.25">
      <c r="A2697" s="169"/>
      <c r="B2697" s="169"/>
      <c r="C2697" s="613"/>
      <c r="D2697" s="613"/>
      <c r="E2697" s="613"/>
      <c r="F2697" s="613"/>
      <c r="G2697" s="613"/>
      <c r="H2697" s="613"/>
      <c r="I2697" s="613"/>
      <c r="J2697" s="169"/>
      <c r="K2697" s="132"/>
      <c r="L2697" s="133"/>
    </row>
    <row r="2698" spans="1:14" ht="13.5" thickBot="1" x14ac:dyDescent="0.25">
      <c r="A2698" s="614" t="s">
        <v>60</v>
      </c>
      <c r="B2698" s="615"/>
      <c r="C2698" s="616" t="s">
        <v>61</v>
      </c>
      <c r="D2698" s="617"/>
      <c r="E2698" s="617"/>
      <c r="F2698" s="617"/>
      <c r="G2698" s="617"/>
      <c r="H2698" s="617"/>
      <c r="I2698" s="618"/>
      <c r="J2698" s="260" t="s">
        <v>0</v>
      </c>
      <c r="K2698" s="132"/>
      <c r="L2698" s="133"/>
    </row>
    <row r="2699" spans="1:14" x14ac:dyDescent="0.2">
      <c r="A2699" s="136"/>
      <c r="B2699" s="137"/>
      <c r="C2699" s="619"/>
      <c r="D2699" s="620"/>
      <c r="E2699" s="621"/>
      <c r="F2699" s="621"/>
      <c r="G2699" s="621"/>
      <c r="H2699" s="621"/>
      <c r="I2699" s="622"/>
      <c r="J2699" s="138"/>
      <c r="K2699" s="132"/>
      <c r="L2699" s="133"/>
    </row>
    <row r="2700" spans="1:14" x14ac:dyDescent="0.2">
      <c r="A2700" s="623" t="str">
        <f>'A IV.A'!$A$86</f>
        <v>3.6.1</v>
      </c>
      <c r="B2700" s="624"/>
      <c r="C2700" s="626" t="str">
        <f>'A IV.A'!$B$86</f>
        <v xml:space="preserve">FORMA PLANA COMUM </v>
      </c>
      <c r="D2700" s="627"/>
      <c r="E2700" s="627"/>
      <c r="F2700" s="627"/>
      <c r="G2700" s="627"/>
      <c r="H2700" s="627"/>
      <c r="I2700" s="628"/>
      <c r="J2700" s="629" t="str">
        <f>'A IV.A'!$C$86</f>
        <v>M2</v>
      </c>
      <c r="K2700" s="630" t="str">
        <f>VLOOKUP(A2700,'A IV.A'!$A$14:$M$233,2,FALSE)</f>
        <v xml:space="preserve">FORMA PLANA COMUM </v>
      </c>
      <c r="L2700" s="631" t="str">
        <f>IF(C2700=K2700,"sim","nao")</f>
        <v>sim</v>
      </c>
      <c r="M2700" s="631" t="str">
        <f>VLOOKUP(A2700,'A IV.A'!$A$14:$M$233,3,FALSE)</f>
        <v>M2</v>
      </c>
      <c r="N2700" s="631" t="str">
        <f>IF(J2700=M2700,"sim","nao")</f>
        <v>sim</v>
      </c>
    </row>
    <row r="2701" spans="1:14" x14ac:dyDescent="0.2">
      <c r="A2701" s="625"/>
      <c r="B2701" s="624"/>
      <c r="C2701" s="626"/>
      <c r="D2701" s="627"/>
      <c r="E2701" s="627"/>
      <c r="F2701" s="627"/>
      <c r="G2701" s="627"/>
      <c r="H2701" s="627"/>
      <c r="I2701" s="628"/>
      <c r="J2701" s="629"/>
      <c r="K2701" s="630"/>
      <c r="L2701" s="631"/>
      <c r="M2701" s="631"/>
      <c r="N2701" s="631"/>
    </row>
    <row r="2702" spans="1:14" x14ac:dyDescent="0.2">
      <c r="A2702" s="139"/>
      <c r="B2702" s="140"/>
      <c r="C2702" s="141"/>
      <c r="D2702" s="142"/>
      <c r="E2702" s="142"/>
      <c r="F2702" s="142"/>
      <c r="G2702" s="142"/>
      <c r="H2702" s="142"/>
      <c r="I2702" s="143"/>
      <c r="J2702" s="144"/>
      <c r="K2702" s="132"/>
      <c r="L2702" s="133"/>
    </row>
    <row r="2703" spans="1:14" x14ac:dyDescent="0.2">
      <c r="A2703" s="158"/>
      <c r="B2703" s="188"/>
      <c r="C2703" s="189"/>
      <c r="D2703" s="165"/>
      <c r="E2703" s="165"/>
      <c r="F2703" s="165"/>
      <c r="G2703" s="165"/>
      <c r="H2703" s="165"/>
      <c r="I2703" s="190"/>
      <c r="J2703" s="191"/>
      <c r="K2703" s="192"/>
      <c r="L2703" s="55"/>
      <c r="M2703" s="55"/>
      <c r="N2703" s="55"/>
    </row>
    <row r="2704" spans="1:14" x14ac:dyDescent="0.2">
      <c r="A2704" s="158"/>
      <c r="B2704" s="188"/>
      <c r="C2704" s="189"/>
      <c r="D2704" s="165"/>
      <c r="E2704" s="165"/>
      <c r="F2704" s="165"/>
      <c r="G2704" s="165"/>
      <c r="H2704" s="165"/>
      <c r="I2704" s="190"/>
      <c r="J2704" s="191"/>
      <c r="K2704" s="192"/>
      <c r="L2704" s="55"/>
      <c r="M2704" s="55"/>
      <c r="N2704" s="55"/>
    </row>
    <row r="2705" spans="1:14" x14ac:dyDescent="0.2">
      <c r="A2705" s="145"/>
      <c r="B2705" s="146"/>
      <c r="C2705" s="147"/>
      <c r="D2705" s="147"/>
      <c r="E2705" s="147"/>
      <c r="F2705" s="147"/>
      <c r="G2705" s="147"/>
      <c r="H2705" s="147"/>
      <c r="I2705" s="147"/>
      <c r="J2705" s="148"/>
      <c r="K2705" s="132"/>
      <c r="L2705" s="133"/>
    </row>
    <row r="2706" spans="1:14" x14ac:dyDescent="0.2">
      <c r="A2706" s="158"/>
      <c r="B2706" s="188"/>
      <c r="C2706" s="189"/>
      <c r="D2706" s="165"/>
      <c r="E2706" s="165"/>
      <c r="F2706" s="165"/>
      <c r="G2706" s="165"/>
      <c r="H2706" s="165"/>
      <c r="I2706" s="190"/>
      <c r="J2706" s="191"/>
      <c r="K2706" s="630"/>
      <c r="L2706" s="631"/>
      <c r="M2706" s="631"/>
      <c r="N2706" s="631"/>
    </row>
    <row r="2707" spans="1:14" x14ac:dyDescent="0.2">
      <c r="A2707" s="158"/>
      <c r="B2707" s="188"/>
      <c r="C2707" s="189"/>
      <c r="D2707" s="165"/>
      <c r="E2707" s="165"/>
      <c r="F2707" s="165"/>
      <c r="G2707" s="165"/>
      <c r="H2707" s="165"/>
      <c r="I2707" s="190"/>
      <c r="J2707" s="191"/>
      <c r="K2707" s="630"/>
      <c r="L2707" s="631"/>
      <c r="M2707" s="631"/>
      <c r="N2707" s="631"/>
    </row>
    <row r="2708" spans="1:14" x14ac:dyDescent="0.2">
      <c r="A2708" s="145"/>
      <c r="B2708" s="146"/>
      <c r="C2708" s="147"/>
      <c r="D2708" s="147"/>
      <c r="E2708" s="147"/>
      <c r="F2708" s="147"/>
      <c r="G2708" s="147"/>
      <c r="H2708" s="147"/>
      <c r="I2708" s="147"/>
      <c r="J2708" s="148"/>
      <c r="K2708" s="132"/>
      <c r="L2708" s="133"/>
    </row>
    <row r="2709" spans="1:14" x14ac:dyDescent="0.2">
      <c r="A2709" s="145"/>
      <c r="B2709" s="146"/>
      <c r="C2709" s="147"/>
      <c r="D2709" s="147"/>
      <c r="E2709" s="147"/>
      <c r="F2709" s="147"/>
      <c r="G2709" s="147"/>
      <c r="H2709" s="147"/>
      <c r="I2709" s="147"/>
      <c r="J2709" s="148"/>
      <c r="K2709" s="132"/>
      <c r="L2709" s="133"/>
    </row>
    <row r="2710" spans="1:14" x14ac:dyDescent="0.2">
      <c r="A2710" s="145"/>
      <c r="B2710" s="146"/>
      <c r="C2710" s="147"/>
      <c r="D2710" s="147"/>
      <c r="E2710" s="147"/>
      <c r="F2710" s="147"/>
      <c r="G2710" s="147"/>
      <c r="H2710" s="147"/>
      <c r="I2710" s="147"/>
      <c r="J2710" s="148"/>
      <c r="K2710" s="132"/>
      <c r="L2710" s="133"/>
    </row>
    <row r="2711" spans="1:14" x14ac:dyDescent="0.2">
      <c r="A2711" s="145"/>
      <c r="B2711" s="146"/>
      <c r="C2711" s="147"/>
      <c r="D2711" s="147"/>
      <c r="E2711" s="147"/>
      <c r="F2711" s="147"/>
      <c r="G2711" s="147"/>
      <c r="H2711" s="147"/>
      <c r="I2711" s="147"/>
      <c r="J2711" s="148"/>
      <c r="K2711" s="132"/>
      <c r="L2711" s="133"/>
    </row>
    <row r="2712" spans="1:14" x14ac:dyDescent="0.2">
      <c r="A2712" s="145"/>
      <c r="B2712" s="146"/>
      <c r="C2712" s="147"/>
      <c r="D2712" s="147"/>
      <c r="E2712" s="147"/>
      <c r="F2712" s="147"/>
      <c r="G2712" s="147"/>
      <c r="H2712" s="147"/>
      <c r="I2712" s="147"/>
      <c r="J2712" s="148"/>
      <c r="K2712" s="132"/>
      <c r="L2712" s="133"/>
    </row>
    <row r="2713" spans="1:14" x14ac:dyDescent="0.2">
      <c r="A2713" s="145"/>
      <c r="B2713" s="146"/>
      <c r="C2713" s="147"/>
      <c r="D2713" s="147"/>
      <c r="E2713" s="147"/>
      <c r="F2713" s="147"/>
      <c r="G2713" s="147"/>
      <c r="H2713" s="147"/>
      <c r="I2713" s="147"/>
      <c r="J2713" s="148"/>
      <c r="K2713" s="132"/>
      <c r="L2713" s="133"/>
    </row>
    <row r="2714" spans="1:14" x14ac:dyDescent="0.2">
      <c r="A2714" s="145"/>
      <c r="B2714" s="146"/>
      <c r="C2714" s="147"/>
      <c r="D2714" s="147"/>
      <c r="E2714" s="147"/>
      <c r="F2714" s="147"/>
      <c r="G2714" s="147"/>
      <c r="H2714" s="147"/>
      <c r="I2714" s="147"/>
      <c r="J2714" s="148"/>
      <c r="K2714" s="132"/>
      <c r="L2714" s="133"/>
    </row>
    <row r="2715" spans="1:14" x14ac:dyDescent="0.2">
      <c r="A2715" s="145"/>
      <c r="B2715" s="146"/>
      <c r="C2715" s="147"/>
      <c r="D2715" s="147"/>
      <c r="E2715" s="147"/>
      <c r="F2715" s="147"/>
      <c r="G2715" s="147"/>
      <c r="H2715" s="147"/>
      <c r="I2715" s="147"/>
      <c r="J2715" s="148"/>
      <c r="K2715" s="132"/>
      <c r="L2715" s="133"/>
    </row>
    <row r="2716" spans="1:14" x14ac:dyDescent="0.2">
      <c r="A2716" s="145"/>
      <c r="B2716" s="146"/>
      <c r="C2716" s="147"/>
      <c r="D2716" s="147"/>
      <c r="E2716" s="147"/>
      <c r="F2716" s="147"/>
      <c r="G2716" s="147"/>
      <c r="H2716" s="147"/>
      <c r="I2716" s="147"/>
      <c r="J2716" s="148"/>
      <c r="K2716" s="132"/>
      <c r="L2716" s="133"/>
    </row>
    <row r="2717" spans="1:14" x14ac:dyDescent="0.2">
      <c r="A2717" s="145"/>
      <c r="B2717" s="146"/>
      <c r="C2717" s="147"/>
      <c r="D2717" s="147"/>
      <c r="E2717" s="147"/>
      <c r="F2717" s="147"/>
      <c r="G2717" s="147"/>
      <c r="H2717" s="147"/>
      <c r="I2717" s="147"/>
      <c r="J2717" s="148"/>
      <c r="K2717" s="132"/>
      <c r="L2717" s="133"/>
    </row>
    <row r="2718" spans="1:14" x14ac:dyDescent="0.2">
      <c r="A2718" s="145"/>
      <c r="B2718" s="146"/>
      <c r="C2718" s="147"/>
      <c r="D2718" s="147"/>
      <c r="E2718" s="147"/>
      <c r="F2718" s="147"/>
      <c r="G2718" s="147"/>
      <c r="H2718" s="147"/>
      <c r="I2718" s="147"/>
      <c r="J2718" s="148"/>
      <c r="K2718" s="132"/>
      <c r="L2718" s="133"/>
    </row>
    <row r="2719" spans="1:14" ht="13.5" thickBot="1" x14ac:dyDescent="0.25">
      <c r="A2719" s="149"/>
      <c r="B2719" s="150"/>
      <c r="C2719" s="151"/>
      <c r="D2719" s="151"/>
      <c r="E2719" s="151"/>
      <c r="F2719" s="151"/>
      <c r="G2719" s="151"/>
      <c r="H2719" s="151"/>
      <c r="I2719" s="151"/>
      <c r="J2719" s="152"/>
      <c r="K2719" s="132"/>
      <c r="L2719" s="133"/>
    </row>
    <row r="2720" spans="1:14" ht="13.5" thickBot="1" x14ac:dyDescent="0.25">
      <c r="A2720" s="153"/>
      <c r="B2720" s="153"/>
      <c r="C2720" s="154"/>
      <c r="D2720" s="154"/>
      <c r="E2720" s="154"/>
      <c r="F2720" s="154"/>
      <c r="G2720" s="154"/>
      <c r="H2720" s="154"/>
      <c r="I2720" s="154"/>
      <c r="J2720" s="153"/>
      <c r="K2720" s="132"/>
      <c r="L2720" s="133"/>
    </row>
    <row r="2721" spans="1:12" ht="13.5" thickBot="1" x14ac:dyDescent="0.25">
      <c r="A2721" s="614" t="s">
        <v>62</v>
      </c>
      <c r="B2721" s="648"/>
      <c r="C2721" s="648"/>
      <c r="D2721" s="648"/>
      <c r="E2721" s="648"/>
      <c r="F2721" s="648"/>
      <c r="G2721" s="648"/>
      <c r="H2721" s="648"/>
      <c r="I2721" s="648"/>
      <c r="J2721" s="649"/>
      <c r="K2721" s="132"/>
      <c r="L2721" s="133"/>
    </row>
    <row r="2722" spans="1:12" ht="12.75" customHeight="1" x14ac:dyDescent="0.2">
      <c r="A2722" s="204"/>
      <c r="B2722" s="205"/>
      <c r="C2722" s="200"/>
      <c r="D2722" s="200"/>
      <c r="E2722" s="200"/>
      <c r="F2722" s="200"/>
      <c r="G2722" s="200"/>
      <c r="H2722" s="200"/>
      <c r="I2722" s="200"/>
      <c r="J2722" s="201"/>
      <c r="K2722" s="132"/>
      <c r="L2722" s="133"/>
    </row>
    <row r="2723" spans="1:12" ht="12.75" customHeight="1" x14ac:dyDescent="0.2">
      <c r="A2723" s="158" t="s">
        <v>63</v>
      </c>
      <c r="B2723" s="55"/>
      <c r="C2723" s="652" t="s">
        <v>649</v>
      </c>
      <c r="D2723" s="652"/>
      <c r="E2723" s="652"/>
      <c r="F2723" s="652"/>
      <c r="G2723" s="652"/>
      <c r="H2723" s="652"/>
      <c r="I2723" s="652"/>
      <c r="J2723" s="653"/>
      <c r="K2723" s="132"/>
      <c r="L2723" s="133"/>
    </row>
    <row r="2724" spans="1:12" x14ac:dyDescent="0.2">
      <c r="A2724" s="158"/>
      <c r="B2724" s="55"/>
      <c r="C2724" s="652"/>
      <c r="D2724" s="652"/>
      <c r="E2724" s="652"/>
      <c r="F2724" s="652"/>
      <c r="G2724" s="652"/>
      <c r="H2724" s="652"/>
      <c r="I2724" s="652"/>
      <c r="J2724" s="653"/>
      <c r="K2724" s="132"/>
      <c r="L2724" s="133"/>
    </row>
    <row r="2725" spans="1:12" x14ac:dyDescent="0.2">
      <c r="A2725" s="158"/>
      <c r="B2725" s="55"/>
      <c r="C2725" s="652"/>
      <c r="D2725" s="652"/>
      <c r="E2725" s="652"/>
      <c r="F2725" s="652"/>
      <c r="G2725" s="652"/>
      <c r="H2725" s="652"/>
      <c r="I2725" s="652"/>
      <c r="J2725" s="653"/>
      <c r="K2725" s="132"/>
      <c r="L2725" s="133"/>
    </row>
    <row r="2726" spans="1:12" x14ac:dyDescent="0.2">
      <c r="A2726" s="158"/>
      <c r="B2726" s="55"/>
      <c r="C2726" s="652"/>
      <c r="D2726" s="652"/>
      <c r="E2726" s="652"/>
      <c r="F2726" s="652"/>
      <c r="G2726" s="652"/>
      <c r="H2726" s="652"/>
      <c r="I2726" s="652"/>
      <c r="J2726" s="653"/>
      <c r="K2726" s="132"/>
      <c r="L2726" s="133"/>
    </row>
    <row r="2727" spans="1:12" x14ac:dyDescent="0.2">
      <c r="A2727" s="158"/>
      <c r="B2727" s="55"/>
      <c r="C2727" s="652"/>
      <c r="D2727" s="652"/>
      <c r="E2727" s="652"/>
      <c r="F2727" s="652"/>
      <c r="G2727" s="652"/>
      <c r="H2727" s="652"/>
      <c r="I2727" s="652"/>
      <c r="J2727" s="653"/>
      <c r="K2727" s="132"/>
      <c r="L2727" s="133"/>
    </row>
    <row r="2728" spans="1:12" x14ac:dyDescent="0.2">
      <c r="A2728" s="158"/>
      <c r="B2728" s="55"/>
      <c r="C2728" s="652"/>
      <c r="D2728" s="652"/>
      <c r="E2728" s="652"/>
      <c r="F2728" s="652"/>
      <c r="G2728" s="652"/>
      <c r="H2728" s="652"/>
      <c r="I2728" s="652"/>
      <c r="J2728" s="653"/>
      <c r="K2728" s="132"/>
      <c r="L2728" s="133"/>
    </row>
    <row r="2729" spans="1:12" x14ac:dyDescent="0.2">
      <c r="A2729" s="158"/>
      <c r="B2729" s="55"/>
      <c r="C2729" s="652"/>
      <c r="D2729" s="652"/>
      <c r="E2729" s="652"/>
      <c r="F2729" s="652"/>
      <c r="G2729" s="652"/>
      <c r="H2729" s="652"/>
      <c r="I2729" s="652"/>
      <c r="J2729" s="653"/>
      <c r="K2729" s="132"/>
      <c r="L2729" s="133"/>
    </row>
    <row r="2730" spans="1:12" x14ac:dyDescent="0.2">
      <c r="A2730" s="158"/>
      <c r="B2730" s="55"/>
      <c r="C2730" s="652"/>
      <c r="D2730" s="652"/>
      <c r="E2730" s="652"/>
      <c r="F2730" s="652"/>
      <c r="G2730" s="652"/>
      <c r="H2730" s="652"/>
      <c r="I2730" s="652"/>
      <c r="J2730" s="653"/>
      <c r="K2730" s="132"/>
      <c r="L2730" s="133"/>
    </row>
    <row r="2731" spans="1:12" x14ac:dyDescent="0.2">
      <c r="A2731" s="158"/>
      <c r="B2731" s="55"/>
      <c r="C2731" s="652"/>
      <c r="D2731" s="652"/>
      <c r="E2731" s="652"/>
      <c r="F2731" s="652"/>
      <c r="G2731" s="652"/>
      <c r="H2731" s="652"/>
      <c r="I2731" s="652"/>
      <c r="J2731" s="653"/>
      <c r="K2731" s="132"/>
      <c r="L2731" s="133"/>
    </row>
    <row r="2732" spans="1:12" x14ac:dyDescent="0.2">
      <c r="A2732" s="158"/>
      <c r="B2732" s="55"/>
      <c r="C2732" s="652"/>
      <c r="D2732" s="652"/>
      <c r="E2732" s="652"/>
      <c r="F2732" s="652"/>
      <c r="G2732" s="652"/>
      <c r="H2732" s="652"/>
      <c r="I2732" s="652"/>
      <c r="J2732" s="653"/>
      <c r="K2732" s="132"/>
      <c r="L2732" s="133"/>
    </row>
    <row r="2733" spans="1:12" x14ac:dyDescent="0.2">
      <c r="A2733" s="158"/>
      <c r="B2733" s="55"/>
      <c r="C2733" s="652"/>
      <c r="D2733" s="652"/>
      <c r="E2733" s="652"/>
      <c r="F2733" s="652"/>
      <c r="G2733" s="652"/>
      <c r="H2733" s="652"/>
      <c r="I2733" s="652"/>
      <c r="J2733" s="653"/>
      <c r="K2733" s="132"/>
      <c r="L2733" s="133"/>
    </row>
    <row r="2734" spans="1:12" x14ac:dyDescent="0.2">
      <c r="A2734" s="158"/>
      <c r="B2734" s="55"/>
      <c r="C2734" s="652"/>
      <c r="D2734" s="652"/>
      <c r="E2734" s="652"/>
      <c r="F2734" s="652"/>
      <c r="G2734" s="652"/>
      <c r="H2734" s="652"/>
      <c r="I2734" s="652"/>
      <c r="J2734" s="653"/>
      <c r="K2734" s="132"/>
      <c r="L2734" s="133"/>
    </row>
    <row r="2735" spans="1:12" x14ac:dyDescent="0.2">
      <c r="A2735" s="158"/>
      <c r="B2735" s="55"/>
      <c r="C2735" s="652"/>
      <c r="D2735" s="652"/>
      <c r="E2735" s="652"/>
      <c r="F2735" s="652"/>
      <c r="G2735" s="652"/>
      <c r="H2735" s="652"/>
      <c r="I2735" s="652"/>
      <c r="J2735" s="653"/>
      <c r="K2735" s="132"/>
      <c r="L2735" s="133"/>
    </row>
    <row r="2736" spans="1:12" x14ac:dyDescent="0.2">
      <c r="A2736" s="158"/>
      <c r="B2736" s="55"/>
      <c r="C2736" s="652"/>
      <c r="D2736" s="652"/>
      <c r="E2736" s="652"/>
      <c r="F2736" s="652"/>
      <c r="G2736" s="652"/>
      <c r="H2736" s="652"/>
      <c r="I2736" s="652"/>
      <c r="J2736" s="653"/>
      <c r="K2736" s="132"/>
      <c r="L2736" s="133"/>
    </row>
    <row r="2737" spans="1:12" x14ac:dyDescent="0.2">
      <c r="A2737" s="158"/>
      <c r="B2737" s="55"/>
      <c r="C2737" s="652"/>
      <c r="D2737" s="652"/>
      <c r="E2737" s="652"/>
      <c r="F2737" s="652"/>
      <c r="G2737" s="652"/>
      <c r="H2737" s="652"/>
      <c r="I2737" s="652"/>
      <c r="J2737" s="653"/>
      <c r="K2737" s="132"/>
      <c r="L2737" s="133"/>
    </row>
    <row r="2738" spans="1:12" x14ac:dyDescent="0.2">
      <c r="A2738" s="158"/>
      <c r="B2738" s="55"/>
      <c r="C2738" s="652"/>
      <c r="D2738" s="652"/>
      <c r="E2738" s="652"/>
      <c r="F2738" s="652"/>
      <c r="G2738" s="652"/>
      <c r="H2738" s="652"/>
      <c r="I2738" s="652"/>
      <c r="J2738" s="653"/>
      <c r="K2738" s="132"/>
      <c r="L2738" s="133"/>
    </row>
    <row r="2739" spans="1:12" ht="12.75" customHeight="1" x14ac:dyDescent="0.2">
      <c r="J2739" s="315"/>
      <c r="K2739" s="132"/>
      <c r="L2739" s="133"/>
    </row>
    <row r="2740" spans="1:12" x14ac:dyDescent="0.2">
      <c r="A2740" s="671" t="s">
        <v>64</v>
      </c>
      <c r="B2740" s="672"/>
      <c r="C2740" s="596" t="s">
        <v>578</v>
      </c>
      <c r="D2740" s="596"/>
      <c r="E2740" s="596"/>
      <c r="F2740" s="596"/>
      <c r="G2740" s="596"/>
      <c r="H2740" s="596"/>
      <c r="I2740" s="596"/>
      <c r="J2740" s="597"/>
      <c r="K2740" s="132"/>
      <c r="L2740" s="133"/>
    </row>
    <row r="2741" spans="1:12" x14ac:dyDescent="0.2">
      <c r="J2741" s="315"/>
      <c r="K2741" s="132"/>
      <c r="L2741" s="133"/>
    </row>
    <row r="2742" spans="1:12" x14ac:dyDescent="0.2">
      <c r="A2742" s="158" t="s">
        <v>65</v>
      </c>
      <c r="B2742" s="55"/>
      <c r="C2742" s="652" t="s">
        <v>650</v>
      </c>
      <c r="D2742" s="652"/>
      <c r="E2742" s="652"/>
      <c r="F2742" s="652"/>
      <c r="G2742" s="652"/>
      <c r="H2742" s="652"/>
      <c r="I2742" s="652"/>
      <c r="J2742" s="653"/>
      <c r="K2742" s="132"/>
      <c r="L2742" s="133"/>
    </row>
    <row r="2743" spans="1:12" x14ac:dyDescent="0.2">
      <c r="A2743" s="158"/>
      <c r="B2743" s="55"/>
      <c r="C2743" s="652"/>
      <c r="D2743" s="652"/>
      <c r="E2743" s="652"/>
      <c r="F2743" s="652"/>
      <c r="G2743" s="652"/>
      <c r="H2743" s="652"/>
      <c r="I2743" s="652"/>
      <c r="J2743" s="653"/>
      <c r="K2743" s="132"/>
      <c r="L2743" s="133"/>
    </row>
    <row r="2744" spans="1:12" x14ac:dyDescent="0.2">
      <c r="A2744" s="158"/>
      <c r="B2744" s="55"/>
      <c r="C2744" s="652"/>
      <c r="D2744" s="652"/>
      <c r="E2744" s="652"/>
      <c r="F2744" s="652"/>
      <c r="G2744" s="652"/>
      <c r="H2744" s="652"/>
      <c r="I2744" s="652"/>
      <c r="J2744" s="653"/>
      <c r="K2744" s="132"/>
      <c r="L2744" s="133"/>
    </row>
    <row r="2745" spans="1:12" x14ac:dyDescent="0.2">
      <c r="A2745" s="158"/>
      <c r="B2745" s="55"/>
      <c r="C2745" s="652" t="s">
        <v>651</v>
      </c>
      <c r="D2745" s="652"/>
      <c r="E2745" s="652"/>
      <c r="F2745" s="652"/>
      <c r="G2745" s="652"/>
      <c r="H2745" s="652"/>
      <c r="I2745" s="652"/>
      <c r="J2745" s="653"/>
      <c r="K2745" s="132"/>
      <c r="L2745" s="133"/>
    </row>
    <row r="2746" spans="1:12" ht="13.5" thickBot="1" x14ac:dyDescent="0.25">
      <c r="A2746" s="149"/>
      <c r="B2746" s="167"/>
      <c r="C2746" s="151"/>
      <c r="D2746" s="151"/>
      <c r="E2746" s="151"/>
      <c r="F2746" s="151"/>
      <c r="G2746" s="151"/>
      <c r="H2746" s="151"/>
      <c r="I2746" s="151"/>
      <c r="J2746" s="168"/>
      <c r="K2746" s="132"/>
      <c r="L2746" s="133"/>
    </row>
    <row r="2747" spans="1:12" ht="15.75" x14ac:dyDescent="0.2">
      <c r="A2747" s="602" t="s">
        <v>4</v>
      </c>
      <c r="B2747" s="603"/>
      <c r="C2747" s="603" t="str">
        <f>'A IV.A'!$B$43</f>
        <v>FECHAMENTOS, PROTEÇÕES E ALVENARIAS EM GERAL</v>
      </c>
      <c r="D2747" s="603"/>
      <c r="E2747" s="603"/>
      <c r="F2747" s="603"/>
      <c r="G2747" s="603"/>
      <c r="H2747" s="603"/>
      <c r="I2747" s="603"/>
      <c r="J2747" s="604"/>
      <c r="K2747" s="132"/>
      <c r="L2747" s="133"/>
    </row>
    <row r="2748" spans="1:12" x14ac:dyDescent="0.2">
      <c r="A2748" s="609" t="str">
        <f>'A IV.A'!$A$43</f>
        <v>3.0</v>
      </c>
      <c r="B2748" s="610"/>
      <c r="C2748" s="605"/>
      <c r="D2748" s="605"/>
      <c r="E2748" s="605"/>
      <c r="F2748" s="605"/>
      <c r="G2748" s="605"/>
      <c r="H2748" s="605"/>
      <c r="I2748" s="605"/>
      <c r="J2748" s="606"/>
      <c r="K2748" s="132"/>
      <c r="L2748" s="133"/>
    </row>
    <row r="2749" spans="1:12" ht="13.5" thickBot="1" x14ac:dyDescent="0.25">
      <c r="A2749" s="611"/>
      <c r="B2749" s="612"/>
      <c r="C2749" s="607"/>
      <c r="D2749" s="607"/>
      <c r="E2749" s="607"/>
      <c r="F2749" s="607"/>
      <c r="G2749" s="607"/>
      <c r="H2749" s="607"/>
      <c r="I2749" s="607"/>
      <c r="J2749" s="608"/>
      <c r="K2749" s="132"/>
      <c r="L2749" s="133"/>
    </row>
    <row r="2750" spans="1:12" ht="13.5" thickBot="1" x14ac:dyDescent="0.25">
      <c r="A2750" s="169"/>
      <c r="B2750" s="169"/>
      <c r="C2750" s="613"/>
      <c r="D2750" s="613"/>
      <c r="E2750" s="613"/>
      <c r="F2750" s="613"/>
      <c r="G2750" s="613"/>
      <c r="H2750" s="613"/>
      <c r="I2750" s="613"/>
      <c r="J2750" s="169"/>
      <c r="K2750" s="132"/>
      <c r="L2750" s="133"/>
    </row>
    <row r="2751" spans="1:12" ht="13.5" thickBot="1" x14ac:dyDescent="0.25">
      <c r="A2751" s="632" t="s">
        <v>60</v>
      </c>
      <c r="B2751" s="633"/>
      <c r="C2751" s="656" t="s">
        <v>61</v>
      </c>
      <c r="D2751" s="656"/>
      <c r="E2751" s="656"/>
      <c r="F2751" s="656"/>
      <c r="G2751" s="656"/>
      <c r="H2751" s="656"/>
      <c r="I2751" s="656"/>
      <c r="J2751" s="260" t="s">
        <v>0</v>
      </c>
      <c r="K2751" s="132"/>
      <c r="L2751" s="133"/>
    </row>
    <row r="2752" spans="1:12" x14ac:dyDescent="0.2">
      <c r="A2752" s="136"/>
      <c r="B2752" s="137"/>
      <c r="C2752" s="619"/>
      <c r="D2752" s="620"/>
      <c r="E2752" s="621"/>
      <c r="F2752" s="621"/>
      <c r="G2752" s="621"/>
      <c r="H2752" s="621"/>
      <c r="I2752" s="622"/>
      <c r="J2752" s="138"/>
      <c r="K2752" s="132"/>
      <c r="L2752" s="133"/>
    </row>
    <row r="2753" spans="1:14" x14ac:dyDescent="0.2">
      <c r="A2753" s="623" t="str">
        <f>'A IV.A'!$A$87</f>
        <v>3.6.2</v>
      </c>
      <c r="B2753" s="624"/>
      <c r="C2753" s="626" t="str">
        <f>'A IV.A'!$B$87</f>
        <v xml:space="preserve">ARMADURA EM BARRA DE AÇO CA 50/60 (CORTE, DOBRA E MONTAGEM) </v>
      </c>
      <c r="D2753" s="627"/>
      <c r="E2753" s="627"/>
      <c r="F2753" s="627"/>
      <c r="G2753" s="627"/>
      <c r="H2753" s="627"/>
      <c r="I2753" s="628"/>
      <c r="J2753" s="629" t="str">
        <f>'A IV.A'!$C$87</f>
        <v>KG</v>
      </c>
      <c r="K2753" s="630" t="str">
        <f>VLOOKUP(A2753,'A IV.A'!$A$14:$M$233,2,FALSE)</f>
        <v xml:space="preserve">ARMADURA EM BARRA DE AÇO CA 50/60 (CORTE, DOBRA E MONTAGEM) </v>
      </c>
      <c r="L2753" s="631" t="str">
        <f>IF(C2753=K2753,"sim","nao")</f>
        <v>sim</v>
      </c>
      <c r="M2753" s="631" t="str">
        <f>VLOOKUP(A2753,'A IV.A'!$A$14:$M$233,3,FALSE)</f>
        <v>KG</v>
      </c>
      <c r="N2753" s="631" t="str">
        <f>IF(J2753=M2753,"sim","nao")</f>
        <v>sim</v>
      </c>
    </row>
    <row r="2754" spans="1:14" x14ac:dyDescent="0.2">
      <c r="A2754" s="625"/>
      <c r="B2754" s="624"/>
      <c r="C2754" s="626"/>
      <c r="D2754" s="627"/>
      <c r="E2754" s="627"/>
      <c r="F2754" s="627"/>
      <c r="G2754" s="627"/>
      <c r="H2754" s="627"/>
      <c r="I2754" s="628"/>
      <c r="J2754" s="629"/>
      <c r="K2754" s="630"/>
      <c r="L2754" s="631"/>
      <c r="M2754" s="631"/>
      <c r="N2754" s="631"/>
    </row>
    <row r="2755" spans="1:14" x14ac:dyDescent="0.2">
      <c r="A2755" s="139"/>
      <c r="B2755" s="140"/>
      <c r="C2755" s="141"/>
      <c r="D2755" s="142"/>
      <c r="E2755" s="142"/>
      <c r="F2755" s="142"/>
      <c r="G2755" s="142"/>
      <c r="H2755" s="142"/>
      <c r="I2755" s="143"/>
      <c r="J2755" s="144"/>
      <c r="K2755" s="132"/>
      <c r="L2755" s="133"/>
    </row>
    <row r="2756" spans="1:14" x14ac:dyDescent="0.2">
      <c r="A2756" s="623" t="str">
        <f>'A IV.A'!A88</f>
        <v>3.6.3</v>
      </c>
      <c r="B2756" s="624"/>
      <c r="C2756" s="626" t="str">
        <f>'A IV.A'!B88</f>
        <v xml:space="preserve">ARMADURA EM TELA SOLDADA DE AÇO CA 50/60 (CORTE, DOBRA E MONTAGEM) </v>
      </c>
      <c r="D2756" s="627"/>
      <c r="E2756" s="627"/>
      <c r="F2756" s="627"/>
      <c r="G2756" s="627"/>
      <c r="H2756" s="627"/>
      <c r="I2756" s="628"/>
      <c r="J2756" s="629" t="str">
        <f>'A IV.A'!C88</f>
        <v>KG</v>
      </c>
      <c r="K2756" s="630" t="str">
        <f>VLOOKUP(A2756,'A IV.A'!$A$14:$M$233,2,FALSE)</f>
        <v xml:space="preserve">ARMADURA EM TELA SOLDADA DE AÇO CA 50/60 (CORTE, DOBRA E MONTAGEM) </v>
      </c>
      <c r="L2756" s="631" t="str">
        <f>IF(C2756=K2756,"sim","nao")</f>
        <v>sim</v>
      </c>
      <c r="M2756" s="631" t="str">
        <f>VLOOKUP(A2756,'A IV.A'!$A$14:$M$233,3,FALSE)</f>
        <v>KG</v>
      </c>
      <c r="N2756" s="631" t="str">
        <f>IF(J2756=M2756,"sim","nao")</f>
        <v>sim</v>
      </c>
    </row>
    <row r="2757" spans="1:14" x14ac:dyDescent="0.2">
      <c r="A2757" s="625"/>
      <c r="B2757" s="624"/>
      <c r="C2757" s="626"/>
      <c r="D2757" s="627"/>
      <c r="E2757" s="627"/>
      <c r="F2757" s="627"/>
      <c r="G2757" s="627"/>
      <c r="H2757" s="627"/>
      <c r="I2757" s="628"/>
      <c r="J2757" s="629"/>
      <c r="K2757" s="630"/>
      <c r="L2757" s="631"/>
      <c r="M2757" s="631"/>
      <c r="N2757" s="631"/>
    </row>
    <row r="2758" spans="1:14" x14ac:dyDescent="0.2">
      <c r="A2758" s="145"/>
      <c r="B2758" s="146"/>
      <c r="C2758" s="147"/>
      <c r="D2758" s="147"/>
      <c r="E2758" s="147"/>
      <c r="F2758" s="147"/>
      <c r="G2758" s="147"/>
      <c r="H2758" s="147"/>
      <c r="I2758" s="147"/>
      <c r="J2758" s="148"/>
      <c r="K2758" s="132"/>
      <c r="L2758" s="133"/>
    </row>
    <row r="2759" spans="1:14" x14ac:dyDescent="0.2">
      <c r="A2759" s="158"/>
      <c r="B2759" s="188"/>
      <c r="C2759" s="189"/>
      <c r="D2759" s="165"/>
      <c r="E2759" s="165"/>
      <c r="F2759" s="165"/>
      <c r="G2759" s="165"/>
      <c r="H2759" s="165"/>
      <c r="I2759" s="190"/>
      <c r="J2759" s="191"/>
      <c r="K2759" s="630"/>
      <c r="L2759" s="631"/>
      <c r="M2759" s="631"/>
      <c r="N2759" s="631"/>
    </row>
    <row r="2760" spans="1:14" x14ac:dyDescent="0.2">
      <c r="A2760" s="158"/>
      <c r="B2760" s="188"/>
      <c r="C2760" s="189"/>
      <c r="D2760" s="165"/>
      <c r="E2760" s="165"/>
      <c r="F2760" s="165"/>
      <c r="G2760" s="165"/>
      <c r="H2760" s="165"/>
      <c r="I2760" s="190"/>
      <c r="J2760" s="191"/>
      <c r="K2760" s="630"/>
      <c r="L2760" s="631"/>
      <c r="M2760" s="631"/>
      <c r="N2760" s="631"/>
    </row>
    <row r="2761" spans="1:14" x14ac:dyDescent="0.2">
      <c r="A2761" s="145"/>
      <c r="B2761" s="146"/>
      <c r="C2761" s="147"/>
      <c r="D2761" s="147"/>
      <c r="E2761" s="147"/>
      <c r="F2761" s="147"/>
      <c r="G2761" s="147"/>
      <c r="H2761" s="147"/>
      <c r="I2761" s="147"/>
      <c r="J2761" s="148"/>
      <c r="K2761" s="132"/>
      <c r="L2761" s="133"/>
    </row>
    <row r="2762" spans="1:14" x14ac:dyDescent="0.2">
      <c r="A2762" s="145"/>
      <c r="B2762" s="146"/>
      <c r="C2762" s="147"/>
      <c r="D2762" s="147"/>
      <c r="E2762" s="147"/>
      <c r="F2762" s="147"/>
      <c r="G2762" s="147"/>
      <c r="H2762" s="147"/>
      <c r="I2762" s="147"/>
      <c r="J2762" s="148"/>
      <c r="K2762" s="132"/>
      <c r="L2762" s="133"/>
    </row>
    <row r="2763" spans="1:14" x14ac:dyDescent="0.2">
      <c r="A2763" s="145"/>
      <c r="B2763" s="146"/>
      <c r="C2763" s="147"/>
      <c r="D2763" s="147"/>
      <c r="E2763" s="147"/>
      <c r="F2763" s="147"/>
      <c r="G2763" s="147"/>
      <c r="H2763" s="147"/>
      <c r="I2763" s="147"/>
      <c r="J2763" s="148"/>
      <c r="K2763" s="132"/>
      <c r="L2763" s="133"/>
    </row>
    <row r="2764" spans="1:14" x14ac:dyDescent="0.2">
      <c r="A2764" s="145"/>
      <c r="B2764" s="146"/>
      <c r="C2764" s="147"/>
      <c r="D2764" s="147"/>
      <c r="E2764" s="147"/>
      <c r="F2764" s="147"/>
      <c r="G2764" s="147"/>
      <c r="H2764" s="147"/>
      <c r="I2764" s="147"/>
      <c r="J2764" s="148"/>
      <c r="K2764" s="132"/>
      <c r="L2764" s="133"/>
    </row>
    <row r="2765" spans="1:14" x14ac:dyDescent="0.2">
      <c r="A2765" s="145"/>
      <c r="B2765" s="146"/>
      <c r="C2765" s="147"/>
      <c r="D2765" s="147"/>
      <c r="E2765" s="147"/>
      <c r="F2765" s="147"/>
      <c r="G2765" s="147"/>
      <c r="H2765" s="147"/>
      <c r="I2765" s="147"/>
      <c r="J2765" s="148"/>
      <c r="K2765" s="132"/>
      <c r="L2765" s="133"/>
    </row>
    <row r="2766" spans="1:14" x14ac:dyDescent="0.2">
      <c r="A2766" s="145"/>
      <c r="B2766" s="146"/>
      <c r="C2766" s="147"/>
      <c r="D2766" s="147"/>
      <c r="E2766" s="147"/>
      <c r="F2766" s="147"/>
      <c r="G2766" s="147"/>
      <c r="H2766" s="147"/>
      <c r="I2766" s="147"/>
      <c r="J2766" s="148"/>
      <c r="K2766" s="132"/>
      <c r="L2766" s="133"/>
    </row>
    <row r="2767" spans="1:14" x14ac:dyDescent="0.2">
      <c r="A2767" s="145"/>
      <c r="B2767" s="146"/>
      <c r="C2767" s="147"/>
      <c r="D2767" s="147"/>
      <c r="E2767" s="147"/>
      <c r="F2767" s="147"/>
      <c r="G2767" s="147"/>
      <c r="H2767" s="147"/>
      <c r="I2767" s="147"/>
      <c r="J2767" s="148"/>
      <c r="K2767" s="132"/>
      <c r="L2767" s="133"/>
    </row>
    <row r="2768" spans="1:14" x14ac:dyDescent="0.2">
      <c r="A2768" s="145"/>
      <c r="B2768" s="146"/>
      <c r="C2768" s="147"/>
      <c r="D2768" s="147"/>
      <c r="E2768" s="147"/>
      <c r="F2768" s="147"/>
      <c r="G2768" s="147"/>
      <c r="H2768" s="147"/>
      <c r="I2768" s="147"/>
      <c r="J2768" s="148"/>
      <c r="K2768" s="132"/>
      <c r="L2768" s="133"/>
    </row>
    <row r="2769" spans="1:12" x14ac:dyDescent="0.2">
      <c r="A2769" s="145"/>
      <c r="B2769" s="146"/>
      <c r="C2769" s="147"/>
      <c r="D2769" s="147"/>
      <c r="E2769" s="147"/>
      <c r="F2769" s="147"/>
      <c r="G2769" s="147"/>
      <c r="H2769" s="147"/>
      <c r="I2769" s="147"/>
      <c r="J2769" s="148"/>
      <c r="K2769" s="132"/>
      <c r="L2769" s="133"/>
    </row>
    <row r="2770" spans="1:12" x14ac:dyDescent="0.2">
      <c r="A2770" s="145"/>
      <c r="B2770" s="146"/>
      <c r="C2770" s="147"/>
      <c r="D2770" s="147"/>
      <c r="E2770" s="147"/>
      <c r="F2770" s="147"/>
      <c r="G2770" s="147"/>
      <c r="H2770" s="147"/>
      <c r="I2770" s="147"/>
      <c r="J2770" s="148"/>
      <c r="K2770" s="132"/>
      <c r="L2770" s="133"/>
    </row>
    <row r="2771" spans="1:12" x14ac:dyDescent="0.2">
      <c r="A2771" s="145"/>
      <c r="B2771" s="146"/>
      <c r="C2771" s="147"/>
      <c r="D2771" s="147"/>
      <c r="E2771" s="147"/>
      <c r="F2771" s="147"/>
      <c r="G2771" s="147"/>
      <c r="H2771" s="147"/>
      <c r="I2771" s="147"/>
      <c r="J2771" s="148"/>
      <c r="K2771" s="132"/>
      <c r="L2771" s="133"/>
    </row>
    <row r="2772" spans="1:12" x14ac:dyDescent="0.2">
      <c r="A2772" s="145"/>
      <c r="B2772" s="146"/>
      <c r="C2772" s="147"/>
      <c r="D2772" s="147"/>
      <c r="E2772" s="147"/>
      <c r="F2772" s="147"/>
      <c r="G2772" s="147"/>
      <c r="H2772" s="147"/>
      <c r="I2772" s="147"/>
      <c r="J2772" s="148"/>
      <c r="K2772" s="132"/>
      <c r="L2772" s="133"/>
    </row>
    <row r="2773" spans="1:12" x14ac:dyDescent="0.2">
      <c r="A2773" s="145"/>
      <c r="B2773" s="146"/>
      <c r="C2773" s="147"/>
      <c r="D2773" s="147"/>
      <c r="E2773" s="147"/>
      <c r="F2773" s="147"/>
      <c r="G2773" s="147"/>
      <c r="H2773" s="147"/>
      <c r="I2773" s="147"/>
      <c r="J2773" s="148"/>
      <c r="K2773" s="132"/>
      <c r="L2773" s="133"/>
    </row>
    <row r="2774" spans="1:12" ht="13.5" thickBot="1" x14ac:dyDescent="0.25">
      <c r="A2774" s="149"/>
      <c r="B2774" s="150"/>
      <c r="C2774" s="151"/>
      <c r="D2774" s="151"/>
      <c r="E2774" s="151"/>
      <c r="F2774" s="151"/>
      <c r="G2774" s="151"/>
      <c r="H2774" s="151"/>
      <c r="I2774" s="151"/>
      <c r="J2774" s="152"/>
      <c r="K2774" s="132"/>
      <c r="L2774" s="133"/>
    </row>
    <row r="2775" spans="1:12" ht="13.5" thickBot="1" x14ac:dyDescent="0.25">
      <c r="A2775" s="153"/>
      <c r="B2775" s="153"/>
      <c r="C2775" s="154"/>
      <c r="D2775" s="154"/>
      <c r="E2775" s="154"/>
      <c r="F2775" s="154"/>
      <c r="G2775" s="154"/>
      <c r="H2775" s="154"/>
      <c r="I2775" s="154"/>
      <c r="J2775" s="153"/>
      <c r="K2775" s="132"/>
      <c r="L2775" s="133"/>
    </row>
    <row r="2776" spans="1:12" ht="13.5" thickBot="1" x14ac:dyDescent="0.25">
      <c r="A2776" s="614" t="s">
        <v>62</v>
      </c>
      <c r="B2776" s="648"/>
      <c r="C2776" s="648"/>
      <c r="D2776" s="648"/>
      <c r="E2776" s="648"/>
      <c r="F2776" s="648"/>
      <c r="G2776" s="648"/>
      <c r="H2776" s="648"/>
      <c r="I2776" s="648"/>
      <c r="J2776" s="649"/>
      <c r="K2776" s="132"/>
      <c r="L2776" s="133"/>
    </row>
    <row r="2777" spans="1:12" x14ac:dyDescent="0.2">
      <c r="A2777" s="136"/>
      <c r="B2777" s="155"/>
      <c r="C2777" s="156"/>
      <c r="D2777" s="156"/>
      <c r="E2777" s="156"/>
      <c r="F2777" s="156"/>
      <c r="G2777" s="156"/>
      <c r="H2777" s="156"/>
      <c r="I2777" s="156"/>
      <c r="J2777" s="157"/>
      <c r="K2777" s="132"/>
      <c r="L2777" s="133"/>
    </row>
    <row r="2778" spans="1:12" ht="12.75" customHeight="1" x14ac:dyDescent="0.2">
      <c r="A2778" s="677" t="s">
        <v>63</v>
      </c>
      <c r="B2778" s="662"/>
      <c r="C2778" s="596" t="s">
        <v>159</v>
      </c>
      <c r="D2778" s="596"/>
      <c r="E2778" s="596"/>
      <c r="F2778" s="596"/>
      <c r="G2778" s="596"/>
      <c r="H2778" s="596"/>
      <c r="I2778" s="596"/>
      <c r="J2778" s="597"/>
      <c r="K2778" s="132"/>
      <c r="L2778" s="133"/>
    </row>
    <row r="2779" spans="1:12" x14ac:dyDescent="0.2">
      <c r="A2779" s="203"/>
      <c r="B2779" s="159"/>
      <c r="C2779" s="596"/>
      <c r="D2779" s="596"/>
      <c r="E2779" s="596"/>
      <c r="F2779" s="596"/>
      <c r="G2779" s="596"/>
      <c r="H2779" s="596"/>
      <c r="I2779" s="596"/>
      <c r="J2779" s="597"/>
      <c r="K2779" s="132"/>
      <c r="L2779" s="133"/>
    </row>
    <row r="2780" spans="1:12" x14ac:dyDescent="0.2">
      <c r="A2780" s="203"/>
      <c r="B2780" s="159"/>
      <c r="C2780" s="596"/>
      <c r="D2780" s="596"/>
      <c r="E2780" s="596"/>
      <c r="F2780" s="596"/>
      <c r="G2780" s="596"/>
      <c r="H2780" s="596"/>
      <c r="I2780" s="596"/>
      <c r="J2780" s="597"/>
      <c r="K2780" s="132"/>
      <c r="L2780" s="133"/>
    </row>
    <row r="2781" spans="1:12" x14ac:dyDescent="0.2">
      <c r="A2781" s="203"/>
      <c r="B2781" s="159"/>
      <c r="C2781" s="596"/>
      <c r="D2781" s="596"/>
      <c r="E2781" s="596"/>
      <c r="F2781" s="596"/>
      <c r="G2781" s="596"/>
      <c r="H2781" s="596"/>
      <c r="I2781" s="596"/>
      <c r="J2781" s="597"/>
      <c r="K2781" s="132"/>
      <c r="L2781" s="133"/>
    </row>
    <row r="2782" spans="1:12" x14ac:dyDescent="0.2">
      <c r="A2782" s="203"/>
      <c r="B2782" s="159"/>
      <c r="C2782" s="596"/>
      <c r="D2782" s="596"/>
      <c r="E2782" s="596"/>
      <c r="F2782" s="596"/>
      <c r="G2782" s="596"/>
      <c r="H2782" s="596"/>
      <c r="I2782" s="596"/>
      <c r="J2782" s="597"/>
      <c r="K2782" s="132"/>
      <c r="L2782" s="133"/>
    </row>
    <row r="2783" spans="1:12" x14ac:dyDescent="0.2">
      <c r="A2783" s="158"/>
      <c r="B2783" s="55"/>
      <c r="C2783" s="178"/>
      <c r="D2783" s="178"/>
      <c r="E2783" s="178"/>
      <c r="F2783" s="178"/>
      <c r="G2783" s="178"/>
      <c r="H2783" s="178"/>
      <c r="I2783" s="178"/>
      <c r="J2783" s="179"/>
      <c r="K2783" s="132"/>
      <c r="L2783" s="133"/>
    </row>
    <row r="2784" spans="1:12" ht="12.75" customHeight="1" x14ac:dyDescent="0.2">
      <c r="A2784" s="158" t="s">
        <v>64</v>
      </c>
      <c r="B2784" s="55"/>
      <c r="C2784" s="596" t="s">
        <v>577</v>
      </c>
      <c r="D2784" s="596"/>
      <c r="E2784" s="596"/>
      <c r="F2784" s="596"/>
      <c r="G2784" s="596"/>
      <c r="H2784" s="596"/>
      <c r="I2784" s="596"/>
      <c r="J2784" s="597"/>
      <c r="K2784" s="132"/>
      <c r="L2784" s="133"/>
    </row>
    <row r="2785" spans="1:12" x14ac:dyDescent="0.2">
      <c r="A2785" s="158"/>
      <c r="B2785" s="55"/>
      <c r="C2785" s="596"/>
      <c r="D2785" s="596"/>
      <c r="E2785" s="596"/>
      <c r="F2785" s="596"/>
      <c r="G2785" s="596"/>
      <c r="H2785" s="596"/>
      <c r="I2785" s="596"/>
      <c r="J2785" s="597"/>
      <c r="K2785" s="132"/>
      <c r="L2785" s="133"/>
    </row>
    <row r="2786" spans="1:12" x14ac:dyDescent="0.2">
      <c r="A2786" s="158"/>
      <c r="B2786" s="55"/>
      <c r="C2786" s="175"/>
      <c r="D2786" s="175"/>
      <c r="E2786" s="175"/>
      <c r="F2786" s="175"/>
      <c r="G2786" s="175"/>
      <c r="H2786" s="175"/>
      <c r="I2786" s="175"/>
      <c r="J2786" s="176"/>
      <c r="K2786" s="132"/>
      <c r="L2786" s="133"/>
    </row>
    <row r="2787" spans="1:12" x14ac:dyDescent="0.2">
      <c r="A2787" s="158"/>
      <c r="B2787" s="55"/>
      <c r="C2787" s="71"/>
      <c r="D2787" s="71"/>
      <c r="E2787" s="71"/>
      <c r="F2787" s="71"/>
      <c r="G2787" s="71"/>
      <c r="H2787" s="71"/>
      <c r="I2787" s="71"/>
      <c r="J2787" s="174"/>
      <c r="K2787" s="132"/>
      <c r="L2787" s="133"/>
    </row>
    <row r="2788" spans="1:12" x14ac:dyDescent="0.2">
      <c r="A2788" s="158"/>
      <c r="B2788" s="55"/>
      <c r="C2788" s="71"/>
      <c r="D2788" s="71"/>
      <c r="E2788" s="71"/>
      <c r="F2788" s="71"/>
      <c r="G2788" s="71"/>
      <c r="H2788" s="71"/>
      <c r="I2788" s="71"/>
      <c r="J2788" s="174"/>
      <c r="K2788" s="132"/>
      <c r="L2788" s="133"/>
    </row>
    <row r="2789" spans="1:12" x14ac:dyDescent="0.2">
      <c r="A2789" s="158"/>
      <c r="B2789" s="55"/>
      <c r="C2789" s="71"/>
      <c r="D2789" s="71"/>
      <c r="E2789" s="71"/>
      <c r="F2789" s="71"/>
      <c r="G2789" s="71"/>
      <c r="H2789" s="71"/>
      <c r="I2789" s="71"/>
      <c r="J2789" s="174"/>
      <c r="K2789" s="132"/>
      <c r="L2789" s="133"/>
    </row>
    <row r="2790" spans="1:12" x14ac:dyDescent="0.2">
      <c r="A2790" s="158"/>
      <c r="B2790" s="55"/>
      <c r="C2790" s="71"/>
      <c r="D2790" s="71"/>
      <c r="E2790" s="71"/>
      <c r="F2790" s="71"/>
      <c r="G2790" s="71"/>
      <c r="H2790" s="71"/>
      <c r="I2790" s="71"/>
      <c r="J2790" s="174"/>
      <c r="K2790" s="132"/>
      <c r="L2790" s="133"/>
    </row>
    <row r="2791" spans="1:12" x14ac:dyDescent="0.2">
      <c r="A2791" s="158"/>
      <c r="B2791" s="55"/>
      <c r="C2791" s="71"/>
      <c r="D2791" s="71"/>
      <c r="E2791" s="71"/>
      <c r="F2791" s="71"/>
      <c r="G2791" s="71"/>
      <c r="H2791" s="71"/>
      <c r="I2791" s="71"/>
      <c r="J2791" s="174"/>
      <c r="K2791" s="132"/>
      <c r="L2791" s="133"/>
    </row>
    <row r="2792" spans="1:12" x14ac:dyDescent="0.2">
      <c r="A2792" s="158"/>
      <c r="B2792" s="55"/>
      <c r="C2792" s="71"/>
      <c r="D2792" s="71"/>
      <c r="E2792" s="71"/>
      <c r="F2792" s="71"/>
      <c r="G2792" s="71"/>
      <c r="H2792" s="71"/>
      <c r="I2792" s="71"/>
      <c r="J2792" s="174"/>
      <c r="K2792" s="132"/>
      <c r="L2792" s="133"/>
    </row>
    <row r="2793" spans="1:12" x14ac:dyDescent="0.2">
      <c r="A2793" s="158"/>
      <c r="B2793" s="55"/>
      <c r="C2793" s="71"/>
      <c r="D2793" s="71"/>
      <c r="E2793" s="71"/>
      <c r="F2793" s="71"/>
      <c r="G2793" s="71"/>
      <c r="H2793" s="71"/>
      <c r="I2793" s="71"/>
      <c r="J2793" s="174"/>
      <c r="K2793" s="132"/>
      <c r="L2793" s="133"/>
    </row>
    <row r="2794" spans="1:12" x14ac:dyDescent="0.2">
      <c r="A2794" s="158"/>
      <c r="B2794" s="55"/>
      <c r="C2794" s="71"/>
      <c r="D2794" s="71"/>
      <c r="E2794" s="71"/>
      <c r="F2794" s="71"/>
      <c r="G2794" s="71"/>
      <c r="H2794" s="71"/>
      <c r="I2794" s="71"/>
      <c r="J2794" s="174"/>
      <c r="K2794" s="132"/>
      <c r="L2794" s="133"/>
    </row>
    <row r="2795" spans="1:12" x14ac:dyDescent="0.2">
      <c r="A2795" s="158"/>
      <c r="B2795" s="55"/>
      <c r="C2795" s="71"/>
      <c r="D2795" s="71"/>
      <c r="E2795" s="71"/>
      <c r="F2795" s="71"/>
      <c r="G2795" s="71"/>
      <c r="H2795" s="71"/>
      <c r="I2795" s="71"/>
      <c r="J2795" s="174"/>
      <c r="K2795" s="132"/>
      <c r="L2795" s="133"/>
    </row>
    <row r="2796" spans="1:12" x14ac:dyDescent="0.2">
      <c r="A2796" s="158"/>
      <c r="B2796" s="55"/>
      <c r="C2796" s="71"/>
      <c r="D2796" s="71"/>
      <c r="E2796" s="71"/>
      <c r="F2796" s="71"/>
      <c r="G2796" s="71"/>
      <c r="H2796" s="71"/>
      <c r="I2796" s="71"/>
      <c r="J2796" s="174"/>
      <c r="K2796" s="132"/>
      <c r="L2796" s="133"/>
    </row>
    <row r="2797" spans="1:12" x14ac:dyDescent="0.2">
      <c r="A2797" s="158"/>
      <c r="B2797" s="55"/>
      <c r="C2797" s="175"/>
      <c r="D2797" s="175"/>
      <c r="E2797" s="172"/>
      <c r="F2797" s="172"/>
      <c r="G2797" s="172"/>
      <c r="H2797" s="172"/>
      <c r="I2797" s="172"/>
      <c r="J2797" s="173"/>
      <c r="K2797" s="132"/>
      <c r="L2797" s="133"/>
    </row>
    <row r="2798" spans="1:12" x14ac:dyDescent="0.2">
      <c r="A2798" s="158"/>
      <c r="B2798" s="55"/>
      <c r="C2798" s="175"/>
      <c r="D2798" s="175"/>
      <c r="E2798" s="172"/>
      <c r="F2798" s="172"/>
      <c r="G2798" s="172"/>
      <c r="H2798" s="172"/>
      <c r="I2798" s="172"/>
      <c r="J2798" s="173"/>
      <c r="K2798" s="132"/>
      <c r="L2798" s="133"/>
    </row>
    <row r="2799" spans="1:12" x14ac:dyDescent="0.2">
      <c r="A2799" s="158"/>
      <c r="B2799" s="55"/>
      <c r="C2799" s="175"/>
      <c r="D2799" s="175"/>
      <c r="E2799" s="172"/>
      <c r="F2799" s="172"/>
      <c r="G2799" s="172"/>
      <c r="H2799" s="172"/>
      <c r="I2799" s="172"/>
      <c r="J2799" s="173"/>
      <c r="K2799" s="132"/>
      <c r="L2799" s="133"/>
    </row>
    <row r="2800" spans="1:12" ht="13.5" thickBot="1" x14ac:dyDescent="0.25">
      <c r="A2800" s="149"/>
      <c r="B2800" s="167"/>
      <c r="C2800" s="151"/>
      <c r="D2800" s="151"/>
      <c r="E2800" s="151"/>
      <c r="F2800" s="151"/>
      <c r="G2800" s="151"/>
      <c r="H2800" s="151"/>
      <c r="I2800" s="151"/>
      <c r="J2800" s="168"/>
      <c r="K2800" s="132"/>
      <c r="L2800" s="133"/>
    </row>
    <row r="2801" spans="1:14" ht="15.75" x14ac:dyDescent="0.2">
      <c r="A2801" s="602" t="s">
        <v>4</v>
      </c>
      <c r="B2801" s="603"/>
      <c r="C2801" s="603" t="str">
        <f>'A IV.A'!$B$43</f>
        <v>FECHAMENTOS, PROTEÇÕES E ALVENARIAS EM GERAL</v>
      </c>
      <c r="D2801" s="603"/>
      <c r="E2801" s="603"/>
      <c r="F2801" s="603"/>
      <c r="G2801" s="603"/>
      <c r="H2801" s="603"/>
      <c r="I2801" s="603"/>
      <c r="J2801" s="604"/>
      <c r="K2801" s="132"/>
      <c r="L2801" s="133"/>
    </row>
    <row r="2802" spans="1:14" x14ac:dyDescent="0.2">
      <c r="A2802" s="609" t="str">
        <f>'A IV.A'!$A$43</f>
        <v>3.0</v>
      </c>
      <c r="B2802" s="610"/>
      <c r="C2802" s="605"/>
      <c r="D2802" s="605"/>
      <c r="E2802" s="605"/>
      <c r="F2802" s="605"/>
      <c r="G2802" s="605"/>
      <c r="H2802" s="605"/>
      <c r="I2802" s="605"/>
      <c r="J2802" s="606"/>
      <c r="K2802" s="132"/>
      <c r="L2802" s="133"/>
    </row>
    <row r="2803" spans="1:14" ht="13.5" thickBot="1" x14ac:dyDescent="0.25">
      <c r="A2803" s="611"/>
      <c r="B2803" s="612"/>
      <c r="C2803" s="607"/>
      <c r="D2803" s="607"/>
      <c r="E2803" s="607"/>
      <c r="F2803" s="607"/>
      <c r="G2803" s="607"/>
      <c r="H2803" s="607"/>
      <c r="I2803" s="607"/>
      <c r="J2803" s="608"/>
      <c r="K2803" s="132"/>
      <c r="L2803" s="133"/>
    </row>
    <row r="2804" spans="1:14" ht="13.5" thickBot="1" x14ac:dyDescent="0.25">
      <c r="A2804" s="169"/>
      <c r="B2804" s="169"/>
      <c r="C2804" s="613"/>
      <c r="D2804" s="613"/>
      <c r="E2804" s="613"/>
      <c r="F2804" s="613"/>
      <c r="G2804" s="613"/>
      <c r="H2804" s="613"/>
      <c r="I2804" s="613"/>
      <c r="J2804" s="169"/>
      <c r="K2804" s="132"/>
      <c r="L2804" s="133"/>
    </row>
    <row r="2805" spans="1:14" ht="13.5" thickBot="1" x14ac:dyDescent="0.25">
      <c r="A2805" s="632" t="s">
        <v>60</v>
      </c>
      <c r="B2805" s="633"/>
      <c r="C2805" s="656" t="s">
        <v>61</v>
      </c>
      <c r="D2805" s="656"/>
      <c r="E2805" s="656"/>
      <c r="F2805" s="656"/>
      <c r="G2805" s="656"/>
      <c r="H2805" s="656"/>
      <c r="I2805" s="656"/>
      <c r="J2805" s="260" t="s">
        <v>0</v>
      </c>
      <c r="K2805" s="132"/>
      <c r="L2805" s="133"/>
    </row>
    <row r="2806" spans="1:14" x14ac:dyDescent="0.2">
      <c r="A2806" s="136"/>
      <c r="B2806" s="137"/>
      <c r="C2806" s="619"/>
      <c r="D2806" s="620"/>
      <c r="E2806" s="621"/>
      <c r="F2806" s="621"/>
      <c r="G2806" s="621"/>
      <c r="H2806" s="621"/>
      <c r="I2806" s="622"/>
      <c r="J2806" s="138"/>
      <c r="K2806" s="132"/>
      <c r="L2806" s="133"/>
    </row>
    <row r="2807" spans="1:14" x14ac:dyDescent="0.2">
      <c r="A2807" s="623" t="str">
        <f>'A IV.A'!A90</f>
        <v>3.7.1</v>
      </c>
      <c r="B2807" s="624"/>
      <c r="C2807" s="626" t="str">
        <f>'A IV.A'!B90</f>
        <v xml:space="preserve">BROCA EM CONCRETO ARMADO, DIÂMETRO DE 20CM, COMPLETA </v>
      </c>
      <c r="D2807" s="627"/>
      <c r="E2807" s="627"/>
      <c r="F2807" s="627"/>
      <c r="G2807" s="627"/>
      <c r="H2807" s="627"/>
      <c r="I2807" s="628"/>
      <c r="J2807" s="629" t="str">
        <f>'A IV.A'!C90</f>
        <v>M</v>
      </c>
      <c r="K2807" s="630" t="str">
        <f>VLOOKUP(A2807,'A IV.A'!$A$14:$M$233,2,FALSE)</f>
        <v xml:space="preserve">BROCA EM CONCRETO ARMADO, DIÂMETRO DE 20CM, COMPLETA </v>
      </c>
      <c r="L2807" s="631" t="str">
        <f>IF(C2807=K2807,"sim","nao")</f>
        <v>sim</v>
      </c>
      <c r="M2807" s="631" t="str">
        <f>VLOOKUP(A2807,'A IV.A'!$A$14:$M$233,3,FALSE)</f>
        <v>M</v>
      </c>
      <c r="N2807" s="631" t="str">
        <f>IF(J2807=M2807,"sim","nao")</f>
        <v>sim</v>
      </c>
    </row>
    <row r="2808" spans="1:14" x14ac:dyDescent="0.2">
      <c r="A2808" s="625"/>
      <c r="B2808" s="624"/>
      <c r="C2808" s="626"/>
      <c r="D2808" s="627"/>
      <c r="E2808" s="627"/>
      <c r="F2808" s="627"/>
      <c r="G2808" s="627"/>
      <c r="H2808" s="627"/>
      <c r="I2808" s="628"/>
      <c r="J2808" s="629"/>
      <c r="K2808" s="630"/>
      <c r="L2808" s="631"/>
      <c r="M2808" s="631"/>
      <c r="N2808" s="631"/>
    </row>
    <row r="2809" spans="1:14" x14ac:dyDescent="0.2">
      <c r="A2809" s="139"/>
      <c r="B2809" s="140"/>
      <c r="C2809" s="141"/>
      <c r="D2809" s="142"/>
      <c r="E2809" s="142"/>
      <c r="F2809" s="142"/>
      <c r="G2809" s="142"/>
      <c r="H2809" s="142"/>
      <c r="I2809" s="143"/>
      <c r="J2809" s="144"/>
      <c r="K2809" s="132"/>
      <c r="L2809" s="133"/>
    </row>
    <row r="2810" spans="1:14" x14ac:dyDescent="0.2">
      <c r="A2810" s="158"/>
      <c r="B2810" s="188"/>
      <c r="C2810" s="189"/>
      <c r="D2810" s="165"/>
      <c r="E2810" s="165"/>
      <c r="F2810" s="165"/>
      <c r="G2810" s="165"/>
      <c r="H2810" s="165"/>
      <c r="I2810" s="190"/>
      <c r="J2810" s="191"/>
      <c r="K2810" s="192"/>
      <c r="L2810" s="55"/>
      <c r="M2810" s="55"/>
      <c r="N2810" s="55"/>
    </row>
    <row r="2811" spans="1:14" x14ac:dyDescent="0.2">
      <c r="A2811" s="158"/>
      <c r="B2811" s="188"/>
      <c r="C2811" s="189"/>
      <c r="D2811" s="165"/>
      <c r="E2811" s="165"/>
      <c r="F2811" s="165"/>
      <c r="G2811" s="165"/>
      <c r="H2811" s="165"/>
      <c r="I2811" s="190"/>
      <c r="J2811" s="191"/>
      <c r="K2811" s="192"/>
      <c r="L2811" s="55"/>
      <c r="M2811" s="55"/>
      <c r="N2811" s="55"/>
    </row>
    <row r="2812" spans="1:14" x14ac:dyDescent="0.2">
      <c r="A2812" s="145"/>
      <c r="B2812" s="146"/>
      <c r="C2812" s="147"/>
      <c r="D2812" s="147"/>
      <c r="E2812" s="147"/>
      <c r="F2812" s="147"/>
      <c r="G2812" s="147"/>
      <c r="H2812" s="147"/>
      <c r="I2812" s="147"/>
      <c r="J2812" s="148"/>
      <c r="K2812" s="132"/>
      <c r="L2812" s="133"/>
    </row>
    <row r="2813" spans="1:14" x14ac:dyDescent="0.2">
      <c r="A2813" s="158"/>
      <c r="B2813" s="188"/>
      <c r="C2813" s="189"/>
      <c r="D2813" s="165"/>
      <c r="E2813" s="165"/>
      <c r="F2813" s="165"/>
      <c r="G2813" s="165"/>
      <c r="H2813" s="165"/>
      <c r="I2813" s="190"/>
      <c r="J2813" s="191"/>
      <c r="K2813" s="630"/>
      <c r="L2813" s="631"/>
      <c r="M2813" s="631"/>
      <c r="N2813" s="631"/>
    </row>
    <row r="2814" spans="1:14" x14ac:dyDescent="0.2">
      <c r="A2814" s="158"/>
      <c r="B2814" s="188"/>
      <c r="C2814" s="189"/>
      <c r="D2814" s="165"/>
      <c r="E2814" s="165"/>
      <c r="F2814" s="165"/>
      <c r="G2814" s="165"/>
      <c r="H2814" s="165"/>
      <c r="I2814" s="190"/>
      <c r="J2814" s="191"/>
      <c r="K2814" s="630"/>
      <c r="L2814" s="631"/>
      <c r="M2814" s="631"/>
      <c r="N2814" s="631"/>
    </row>
    <row r="2815" spans="1:14" x14ac:dyDescent="0.2">
      <c r="A2815" s="145"/>
      <c r="B2815" s="146"/>
      <c r="C2815" s="147"/>
      <c r="D2815" s="147"/>
      <c r="E2815" s="147"/>
      <c r="F2815" s="147"/>
      <c r="G2815" s="147"/>
      <c r="H2815" s="147"/>
      <c r="I2815" s="147"/>
      <c r="J2815" s="148"/>
      <c r="K2815" s="132"/>
      <c r="L2815" s="133"/>
    </row>
    <row r="2816" spans="1:14" x14ac:dyDescent="0.2">
      <c r="A2816" s="145"/>
      <c r="B2816" s="146"/>
      <c r="C2816" s="147"/>
      <c r="D2816" s="147"/>
      <c r="E2816" s="147"/>
      <c r="F2816" s="147"/>
      <c r="G2816" s="147"/>
      <c r="H2816" s="147"/>
      <c r="I2816" s="147"/>
      <c r="J2816" s="148"/>
      <c r="K2816" s="132"/>
      <c r="L2816" s="133"/>
    </row>
    <row r="2817" spans="1:12" x14ac:dyDescent="0.2">
      <c r="A2817" s="145"/>
      <c r="B2817" s="146"/>
      <c r="C2817" s="147"/>
      <c r="D2817" s="147"/>
      <c r="E2817" s="147"/>
      <c r="F2817" s="147"/>
      <c r="G2817" s="147"/>
      <c r="H2817" s="147"/>
      <c r="I2817" s="147"/>
      <c r="J2817" s="148"/>
      <c r="K2817" s="132"/>
      <c r="L2817" s="133"/>
    </row>
    <row r="2818" spans="1:12" x14ac:dyDescent="0.2">
      <c r="A2818" s="145"/>
      <c r="B2818" s="146"/>
      <c r="C2818" s="147"/>
      <c r="D2818" s="147"/>
      <c r="E2818" s="147"/>
      <c r="F2818" s="147"/>
      <c r="G2818" s="147"/>
      <c r="H2818" s="147"/>
      <c r="I2818" s="147"/>
      <c r="J2818" s="148"/>
      <c r="K2818" s="132"/>
      <c r="L2818" s="133"/>
    </row>
    <row r="2819" spans="1:12" x14ac:dyDescent="0.2">
      <c r="A2819" s="145"/>
      <c r="B2819" s="146"/>
      <c r="C2819" s="147"/>
      <c r="D2819" s="147"/>
      <c r="E2819" s="147"/>
      <c r="F2819" s="147"/>
      <c r="G2819" s="147"/>
      <c r="H2819" s="147"/>
      <c r="I2819" s="147"/>
      <c r="J2819" s="148"/>
      <c r="K2819" s="132"/>
      <c r="L2819" s="133"/>
    </row>
    <row r="2820" spans="1:12" x14ac:dyDescent="0.2">
      <c r="A2820" s="145"/>
      <c r="B2820" s="146"/>
      <c r="C2820" s="147"/>
      <c r="D2820" s="147"/>
      <c r="E2820" s="147"/>
      <c r="F2820" s="147"/>
      <c r="G2820" s="147"/>
      <c r="H2820" s="147"/>
      <c r="I2820" s="147"/>
      <c r="J2820" s="148"/>
      <c r="K2820" s="132"/>
      <c r="L2820" s="133"/>
    </row>
    <row r="2821" spans="1:12" x14ac:dyDescent="0.2">
      <c r="A2821" s="145"/>
      <c r="B2821" s="146"/>
      <c r="C2821" s="147"/>
      <c r="D2821" s="147"/>
      <c r="E2821" s="147"/>
      <c r="F2821" s="147"/>
      <c r="G2821" s="147"/>
      <c r="H2821" s="147"/>
      <c r="I2821" s="147"/>
      <c r="J2821" s="148"/>
      <c r="K2821" s="132"/>
      <c r="L2821" s="133"/>
    </row>
    <row r="2822" spans="1:12" x14ac:dyDescent="0.2">
      <c r="A2822" s="145"/>
      <c r="B2822" s="146"/>
      <c r="C2822" s="147"/>
      <c r="D2822" s="147"/>
      <c r="E2822" s="147"/>
      <c r="F2822" s="147"/>
      <c r="G2822" s="147"/>
      <c r="H2822" s="147"/>
      <c r="I2822" s="147"/>
      <c r="J2822" s="148"/>
      <c r="K2822" s="132"/>
      <c r="L2822" s="133"/>
    </row>
    <row r="2823" spans="1:12" x14ac:dyDescent="0.2">
      <c r="A2823" s="145"/>
      <c r="B2823" s="146"/>
      <c r="C2823" s="147"/>
      <c r="D2823" s="147"/>
      <c r="E2823" s="147"/>
      <c r="F2823" s="147"/>
      <c r="G2823" s="147"/>
      <c r="H2823" s="147"/>
      <c r="I2823" s="147"/>
      <c r="J2823" s="148"/>
      <c r="K2823" s="132"/>
      <c r="L2823" s="133"/>
    </row>
    <row r="2824" spans="1:12" x14ac:dyDescent="0.2">
      <c r="A2824" s="145"/>
      <c r="B2824" s="146"/>
      <c r="C2824" s="147"/>
      <c r="D2824" s="147"/>
      <c r="E2824" s="147"/>
      <c r="F2824" s="147"/>
      <c r="G2824" s="147"/>
      <c r="H2824" s="147"/>
      <c r="I2824" s="147"/>
      <c r="J2824" s="148"/>
      <c r="K2824" s="132"/>
      <c r="L2824" s="133"/>
    </row>
    <row r="2825" spans="1:12" x14ac:dyDescent="0.2">
      <c r="A2825" s="145"/>
      <c r="B2825" s="146"/>
      <c r="C2825" s="147"/>
      <c r="D2825" s="147"/>
      <c r="E2825" s="147"/>
      <c r="F2825" s="147"/>
      <c r="G2825" s="147"/>
      <c r="H2825" s="147"/>
      <c r="I2825" s="147"/>
      <c r="J2825" s="148"/>
      <c r="K2825" s="132"/>
      <c r="L2825" s="133"/>
    </row>
    <row r="2826" spans="1:12" x14ac:dyDescent="0.2">
      <c r="A2826" s="145"/>
      <c r="B2826" s="146"/>
      <c r="C2826" s="147"/>
      <c r="D2826" s="147"/>
      <c r="E2826" s="147"/>
      <c r="F2826" s="147"/>
      <c r="G2826" s="147"/>
      <c r="H2826" s="147"/>
      <c r="I2826" s="147"/>
      <c r="J2826" s="148"/>
      <c r="K2826" s="132"/>
      <c r="L2826" s="133"/>
    </row>
    <row r="2827" spans="1:12" x14ac:dyDescent="0.2">
      <c r="A2827" s="145"/>
      <c r="B2827" s="146"/>
      <c r="C2827" s="147"/>
      <c r="D2827" s="147"/>
      <c r="E2827" s="147"/>
      <c r="F2827" s="147"/>
      <c r="G2827" s="147"/>
      <c r="H2827" s="147"/>
      <c r="I2827" s="147"/>
      <c r="J2827" s="148"/>
      <c r="K2827" s="132"/>
      <c r="L2827" s="133"/>
    </row>
    <row r="2828" spans="1:12" ht="13.5" thickBot="1" x14ac:dyDescent="0.25">
      <c r="A2828" s="149"/>
      <c r="B2828" s="150"/>
      <c r="C2828" s="151"/>
      <c r="D2828" s="151"/>
      <c r="E2828" s="151"/>
      <c r="F2828" s="151"/>
      <c r="G2828" s="151"/>
      <c r="H2828" s="151"/>
      <c r="I2828" s="151"/>
      <c r="J2828" s="152"/>
      <c r="K2828" s="132"/>
      <c r="L2828" s="133"/>
    </row>
    <row r="2829" spans="1:12" ht="13.5" thickBot="1" x14ac:dyDescent="0.25">
      <c r="A2829" s="153"/>
      <c r="B2829" s="153"/>
      <c r="C2829" s="154"/>
      <c r="D2829" s="154"/>
      <c r="E2829" s="154"/>
      <c r="F2829" s="154"/>
      <c r="G2829" s="154"/>
      <c r="H2829" s="154"/>
      <c r="I2829" s="154"/>
      <c r="J2829" s="153"/>
      <c r="K2829" s="132"/>
      <c r="L2829" s="133"/>
    </row>
    <row r="2830" spans="1:12" ht="13.5" thickBot="1" x14ac:dyDescent="0.25">
      <c r="A2830" s="614" t="s">
        <v>62</v>
      </c>
      <c r="B2830" s="648"/>
      <c r="C2830" s="648"/>
      <c r="D2830" s="648"/>
      <c r="E2830" s="648"/>
      <c r="F2830" s="648"/>
      <c r="G2830" s="648"/>
      <c r="H2830" s="648"/>
      <c r="I2830" s="648"/>
      <c r="J2830" s="649"/>
      <c r="K2830" s="132"/>
      <c r="L2830" s="133"/>
    </row>
    <row r="2831" spans="1:12" x14ac:dyDescent="0.2">
      <c r="A2831" s="136"/>
      <c r="B2831" s="155"/>
      <c r="C2831" s="156"/>
      <c r="D2831" s="156"/>
      <c r="E2831" s="156"/>
      <c r="F2831" s="156"/>
      <c r="G2831" s="156"/>
      <c r="H2831" s="156"/>
      <c r="I2831" s="156"/>
      <c r="J2831" s="157"/>
      <c r="K2831" s="132"/>
      <c r="L2831" s="133"/>
    </row>
    <row r="2832" spans="1:12" ht="12.75" customHeight="1" x14ac:dyDescent="0.2">
      <c r="A2832" s="677" t="s">
        <v>63</v>
      </c>
      <c r="B2832" s="662"/>
      <c r="C2832" s="596" t="s">
        <v>536</v>
      </c>
      <c r="D2832" s="596"/>
      <c r="E2832" s="596"/>
      <c r="F2832" s="596"/>
      <c r="G2832" s="596"/>
      <c r="H2832" s="596"/>
      <c r="I2832" s="596"/>
      <c r="J2832" s="597"/>
      <c r="K2832" s="132"/>
      <c r="L2832" s="133"/>
    </row>
    <row r="2833" spans="1:12" x14ac:dyDescent="0.2">
      <c r="A2833" s="203"/>
      <c r="B2833" s="159"/>
      <c r="C2833" s="596"/>
      <c r="D2833" s="596"/>
      <c r="E2833" s="596"/>
      <c r="F2833" s="596"/>
      <c r="G2833" s="596"/>
      <c r="H2833" s="596"/>
      <c r="I2833" s="596"/>
      <c r="J2833" s="597"/>
      <c r="K2833" s="132"/>
      <c r="L2833" s="133"/>
    </row>
    <row r="2834" spans="1:12" x14ac:dyDescent="0.2">
      <c r="A2834" s="203"/>
      <c r="B2834" s="159"/>
      <c r="C2834" s="596"/>
      <c r="D2834" s="596"/>
      <c r="E2834" s="596"/>
      <c r="F2834" s="596"/>
      <c r="G2834" s="596"/>
      <c r="H2834" s="596"/>
      <c r="I2834" s="596"/>
      <c r="J2834" s="597"/>
      <c r="K2834" s="132"/>
      <c r="L2834" s="133"/>
    </row>
    <row r="2835" spans="1:12" x14ac:dyDescent="0.2">
      <c r="A2835" s="158"/>
      <c r="B2835" s="55"/>
      <c r="C2835" s="178"/>
      <c r="D2835" s="178"/>
      <c r="E2835" s="178"/>
      <c r="F2835" s="178"/>
      <c r="G2835" s="178"/>
      <c r="H2835" s="178"/>
      <c r="I2835" s="178"/>
      <c r="J2835" s="179"/>
      <c r="K2835" s="132"/>
      <c r="L2835" s="133"/>
    </row>
    <row r="2836" spans="1:12" ht="12.75" customHeight="1" x14ac:dyDescent="0.2">
      <c r="A2836" s="158" t="s">
        <v>64</v>
      </c>
      <c r="B2836" s="55"/>
      <c r="C2836" s="596" t="s">
        <v>535</v>
      </c>
      <c r="D2836" s="596"/>
      <c r="E2836" s="596"/>
      <c r="F2836" s="596"/>
      <c r="G2836" s="596"/>
      <c r="H2836" s="596"/>
      <c r="I2836" s="596"/>
      <c r="J2836" s="597"/>
      <c r="K2836" s="132"/>
      <c r="L2836" s="133"/>
    </row>
    <row r="2837" spans="1:12" x14ac:dyDescent="0.2">
      <c r="A2837" s="158"/>
      <c r="B2837" s="55"/>
      <c r="C2837" s="596"/>
      <c r="D2837" s="596"/>
      <c r="E2837" s="596"/>
      <c r="F2837" s="596"/>
      <c r="G2837" s="596"/>
      <c r="H2837" s="596"/>
      <c r="I2837" s="596"/>
      <c r="J2837" s="597"/>
      <c r="K2837" s="132"/>
      <c r="L2837" s="133"/>
    </row>
    <row r="2838" spans="1:12" x14ac:dyDescent="0.2">
      <c r="A2838" s="158"/>
      <c r="B2838" s="55"/>
      <c r="C2838" s="175"/>
      <c r="D2838" s="175"/>
      <c r="E2838" s="175"/>
      <c r="F2838" s="175"/>
      <c r="G2838" s="175"/>
      <c r="H2838" s="175"/>
      <c r="I2838" s="175"/>
      <c r="J2838" s="176"/>
      <c r="K2838" s="132"/>
      <c r="L2838" s="133"/>
    </row>
    <row r="2839" spans="1:12" x14ac:dyDescent="0.2">
      <c r="A2839" s="158"/>
      <c r="B2839" s="55"/>
      <c r="C2839" s="71"/>
      <c r="D2839" s="71"/>
      <c r="E2839" s="71"/>
      <c r="F2839" s="71"/>
      <c r="G2839" s="71"/>
      <c r="H2839" s="71"/>
      <c r="I2839" s="71"/>
      <c r="J2839" s="174"/>
      <c r="K2839" s="132"/>
      <c r="L2839" s="133"/>
    </row>
    <row r="2840" spans="1:12" x14ac:dyDescent="0.2">
      <c r="A2840" s="158"/>
      <c r="B2840" s="55"/>
      <c r="C2840" s="71"/>
      <c r="D2840" s="71"/>
      <c r="E2840" s="71"/>
      <c r="F2840" s="71"/>
      <c r="G2840" s="71"/>
      <c r="H2840" s="71"/>
      <c r="I2840" s="71"/>
      <c r="J2840" s="174"/>
      <c r="K2840" s="132"/>
      <c r="L2840" s="133"/>
    </row>
    <row r="2841" spans="1:12" x14ac:dyDescent="0.2">
      <c r="A2841" s="158"/>
      <c r="B2841" s="55"/>
      <c r="C2841" s="71"/>
      <c r="D2841" s="71"/>
      <c r="E2841" s="71"/>
      <c r="F2841" s="71"/>
      <c r="G2841" s="71"/>
      <c r="H2841" s="71"/>
      <c r="I2841" s="71"/>
      <c r="J2841" s="174"/>
      <c r="K2841" s="132"/>
      <c r="L2841" s="133"/>
    </row>
    <row r="2842" spans="1:12" x14ac:dyDescent="0.2">
      <c r="A2842" s="203"/>
      <c r="B2842" s="159"/>
      <c r="C2842" s="175"/>
      <c r="D2842" s="175"/>
      <c r="E2842" s="175"/>
      <c r="F2842" s="175"/>
      <c r="G2842" s="175"/>
      <c r="H2842" s="175"/>
      <c r="I2842" s="175"/>
      <c r="J2842" s="176"/>
      <c r="K2842" s="132"/>
      <c r="L2842" s="133"/>
    </row>
    <row r="2843" spans="1:12" x14ac:dyDescent="0.2">
      <c r="A2843" s="203"/>
      <c r="B2843" s="159"/>
      <c r="C2843" s="175"/>
      <c r="D2843" s="175"/>
      <c r="E2843" s="175"/>
      <c r="F2843" s="175"/>
      <c r="G2843" s="175"/>
      <c r="H2843" s="175"/>
      <c r="I2843" s="175"/>
      <c r="J2843" s="176"/>
      <c r="K2843" s="132"/>
      <c r="L2843" s="133"/>
    </row>
    <row r="2844" spans="1:12" x14ac:dyDescent="0.2">
      <c r="A2844" s="158"/>
      <c r="B2844" s="55"/>
      <c r="C2844" s="71"/>
      <c r="D2844" s="71"/>
      <c r="E2844" s="71"/>
      <c r="F2844" s="71"/>
      <c r="G2844" s="71"/>
      <c r="H2844" s="71"/>
      <c r="I2844" s="71"/>
      <c r="J2844" s="174"/>
      <c r="K2844" s="132"/>
      <c r="L2844" s="133"/>
    </row>
    <row r="2845" spans="1:12" x14ac:dyDescent="0.2">
      <c r="A2845" s="158"/>
      <c r="B2845" s="55"/>
      <c r="C2845" s="71"/>
      <c r="D2845" s="71"/>
      <c r="E2845" s="71"/>
      <c r="F2845" s="71"/>
      <c r="G2845" s="71"/>
      <c r="H2845" s="71"/>
      <c r="I2845" s="71"/>
      <c r="J2845" s="174"/>
      <c r="K2845" s="132"/>
      <c r="L2845" s="133"/>
    </row>
    <row r="2846" spans="1:12" x14ac:dyDescent="0.2">
      <c r="A2846" s="158"/>
      <c r="B2846" s="55"/>
      <c r="C2846" s="71"/>
      <c r="D2846" s="71"/>
      <c r="E2846" s="71"/>
      <c r="F2846" s="71"/>
      <c r="G2846" s="71"/>
      <c r="H2846" s="71"/>
      <c r="I2846" s="71"/>
      <c r="J2846" s="174"/>
      <c r="K2846" s="132"/>
      <c r="L2846" s="133"/>
    </row>
    <row r="2847" spans="1:12" x14ac:dyDescent="0.2">
      <c r="A2847" s="158"/>
      <c r="B2847" s="55"/>
      <c r="C2847" s="71"/>
      <c r="D2847" s="71"/>
      <c r="E2847" s="71"/>
      <c r="F2847" s="71"/>
      <c r="G2847" s="71"/>
      <c r="H2847" s="71"/>
      <c r="I2847" s="71"/>
      <c r="J2847" s="174"/>
      <c r="K2847" s="132"/>
      <c r="L2847" s="133"/>
    </row>
    <row r="2848" spans="1:12" x14ac:dyDescent="0.2">
      <c r="A2848" s="158"/>
      <c r="B2848" s="55"/>
      <c r="C2848" s="71"/>
      <c r="D2848" s="71"/>
      <c r="E2848" s="71"/>
      <c r="F2848" s="71"/>
      <c r="G2848" s="71"/>
      <c r="H2848" s="71"/>
      <c r="I2848" s="71"/>
      <c r="J2848" s="174"/>
      <c r="K2848" s="132"/>
      <c r="L2848" s="133"/>
    </row>
    <row r="2849" spans="1:14" x14ac:dyDescent="0.2">
      <c r="A2849" s="158"/>
      <c r="B2849" s="55"/>
      <c r="C2849" s="71"/>
      <c r="D2849" s="71"/>
      <c r="E2849" s="71"/>
      <c r="F2849" s="71"/>
      <c r="G2849" s="71"/>
      <c r="H2849" s="71"/>
      <c r="I2849" s="71"/>
      <c r="J2849" s="174"/>
      <c r="K2849" s="132"/>
      <c r="L2849" s="133"/>
    </row>
    <row r="2850" spans="1:14" x14ac:dyDescent="0.2">
      <c r="A2850" s="158"/>
      <c r="B2850" s="55"/>
      <c r="C2850" s="71"/>
      <c r="D2850" s="71"/>
      <c r="E2850" s="71"/>
      <c r="F2850" s="71"/>
      <c r="G2850" s="71"/>
      <c r="H2850" s="71"/>
      <c r="I2850" s="71"/>
      <c r="J2850" s="174"/>
      <c r="K2850" s="132"/>
      <c r="L2850" s="133"/>
    </row>
    <row r="2851" spans="1:14" x14ac:dyDescent="0.2">
      <c r="A2851" s="158"/>
      <c r="B2851" s="55"/>
      <c r="C2851" s="175"/>
      <c r="D2851" s="175"/>
      <c r="E2851" s="172"/>
      <c r="F2851" s="172"/>
      <c r="G2851" s="172"/>
      <c r="H2851" s="172"/>
      <c r="I2851" s="172"/>
      <c r="J2851" s="173"/>
      <c r="K2851" s="132"/>
      <c r="L2851" s="133"/>
    </row>
    <row r="2852" spans="1:14" x14ac:dyDescent="0.2">
      <c r="A2852" s="158"/>
      <c r="B2852" s="55"/>
      <c r="C2852" s="175"/>
      <c r="D2852" s="175"/>
      <c r="E2852" s="172"/>
      <c r="F2852" s="172"/>
      <c r="G2852" s="172"/>
      <c r="H2852" s="172"/>
      <c r="I2852" s="172"/>
      <c r="J2852" s="173"/>
      <c r="K2852" s="132"/>
      <c r="L2852" s="133"/>
    </row>
    <row r="2853" spans="1:14" x14ac:dyDescent="0.2">
      <c r="A2853" s="158"/>
      <c r="B2853" s="55"/>
      <c r="C2853" s="175"/>
      <c r="D2853" s="175"/>
      <c r="E2853" s="172"/>
      <c r="F2853" s="172"/>
      <c r="G2853" s="172"/>
      <c r="H2853" s="172"/>
      <c r="I2853" s="172"/>
      <c r="J2853" s="173"/>
      <c r="K2853" s="132"/>
      <c r="L2853" s="133"/>
    </row>
    <row r="2854" spans="1:14" ht="13.5" thickBot="1" x14ac:dyDescent="0.25">
      <c r="A2854" s="149"/>
      <c r="B2854" s="167"/>
      <c r="C2854" s="151"/>
      <c r="D2854" s="151"/>
      <c r="E2854" s="151"/>
      <c r="F2854" s="151"/>
      <c r="G2854" s="151"/>
      <c r="H2854" s="151"/>
      <c r="I2854" s="151"/>
      <c r="J2854" s="168"/>
      <c r="K2854" s="132"/>
      <c r="L2854" s="133"/>
    </row>
    <row r="2855" spans="1:14" ht="15.75" x14ac:dyDescent="0.2">
      <c r="A2855" s="602" t="s">
        <v>4</v>
      </c>
      <c r="B2855" s="603"/>
      <c r="C2855" s="603" t="str">
        <f>'A IV.A'!$B$43</f>
        <v>FECHAMENTOS, PROTEÇÕES E ALVENARIAS EM GERAL</v>
      </c>
      <c r="D2855" s="603"/>
      <c r="E2855" s="603"/>
      <c r="F2855" s="603"/>
      <c r="G2855" s="603"/>
      <c r="H2855" s="603"/>
      <c r="I2855" s="603"/>
      <c r="J2855" s="604"/>
      <c r="K2855" s="132"/>
      <c r="L2855" s="133"/>
    </row>
    <row r="2856" spans="1:14" x14ac:dyDescent="0.2">
      <c r="A2856" s="609" t="str">
        <f>'A IV.A'!$A$43</f>
        <v>3.0</v>
      </c>
      <c r="B2856" s="610"/>
      <c r="C2856" s="605"/>
      <c r="D2856" s="605"/>
      <c r="E2856" s="605"/>
      <c r="F2856" s="605"/>
      <c r="G2856" s="605"/>
      <c r="H2856" s="605"/>
      <c r="I2856" s="605"/>
      <c r="J2856" s="606"/>
      <c r="K2856" s="132"/>
      <c r="L2856" s="133"/>
    </row>
    <row r="2857" spans="1:14" ht="13.5" thickBot="1" x14ac:dyDescent="0.25">
      <c r="A2857" s="611"/>
      <c r="B2857" s="612"/>
      <c r="C2857" s="607"/>
      <c r="D2857" s="607"/>
      <c r="E2857" s="607"/>
      <c r="F2857" s="607"/>
      <c r="G2857" s="607"/>
      <c r="H2857" s="607"/>
      <c r="I2857" s="607"/>
      <c r="J2857" s="608"/>
      <c r="K2857" s="132"/>
      <c r="L2857" s="133"/>
    </row>
    <row r="2858" spans="1:14" ht="13.5" thickBot="1" x14ac:dyDescent="0.25">
      <c r="A2858" s="169"/>
      <c r="B2858" s="169"/>
      <c r="C2858" s="613"/>
      <c r="D2858" s="613"/>
      <c r="E2858" s="613"/>
      <c r="F2858" s="613"/>
      <c r="G2858" s="613"/>
      <c r="H2858" s="613"/>
      <c r="I2858" s="613"/>
      <c r="J2858" s="169"/>
      <c r="K2858" s="132"/>
      <c r="L2858" s="133"/>
    </row>
    <row r="2859" spans="1:14" ht="13.5" thickBot="1" x14ac:dyDescent="0.25">
      <c r="A2859" s="632" t="s">
        <v>60</v>
      </c>
      <c r="B2859" s="633"/>
      <c r="C2859" s="656" t="s">
        <v>61</v>
      </c>
      <c r="D2859" s="656"/>
      <c r="E2859" s="656"/>
      <c r="F2859" s="656"/>
      <c r="G2859" s="656"/>
      <c r="H2859" s="656"/>
      <c r="I2859" s="656"/>
      <c r="J2859" s="260" t="s">
        <v>0</v>
      </c>
      <c r="K2859" s="132"/>
      <c r="L2859" s="133"/>
    </row>
    <row r="2860" spans="1:14" x14ac:dyDescent="0.2">
      <c r="A2860" s="136"/>
      <c r="B2860" s="137"/>
      <c r="C2860" s="619"/>
      <c r="D2860" s="620"/>
      <c r="E2860" s="621"/>
      <c r="F2860" s="621"/>
      <c r="G2860" s="621"/>
      <c r="H2860" s="621"/>
      <c r="I2860" s="622"/>
      <c r="J2860" s="138"/>
      <c r="K2860" s="132"/>
      <c r="L2860" s="133"/>
    </row>
    <row r="2861" spans="1:14" x14ac:dyDescent="0.2">
      <c r="A2861" s="623" t="str">
        <f>'A IV.A'!$A$92</f>
        <v>3.8.1</v>
      </c>
      <c r="B2861" s="624"/>
      <c r="C2861" s="626" t="str">
        <f>'A IV.A'!$B$92</f>
        <v xml:space="preserve">CHAPISCO COM ARGAMASSA DE CIMENTO E AREIA TRAÇO 1:3, E=5 MM </v>
      </c>
      <c r="D2861" s="627"/>
      <c r="E2861" s="627"/>
      <c r="F2861" s="627"/>
      <c r="G2861" s="627"/>
      <c r="H2861" s="627"/>
      <c r="I2861" s="628"/>
      <c r="J2861" s="629" t="str">
        <f>'A IV.A'!$C$92</f>
        <v>M2</v>
      </c>
      <c r="K2861" s="630" t="str">
        <f>VLOOKUP(A2861,'A IV.A'!$A$14:$M$233,2,FALSE)</f>
        <v xml:space="preserve">CHAPISCO COM ARGAMASSA DE CIMENTO E AREIA TRAÇO 1:3, E=5 MM </v>
      </c>
      <c r="L2861" s="631" t="str">
        <f>IF(C2861=K2861,"sim","nao")</f>
        <v>sim</v>
      </c>
      <c r="M2861" s="631" t="str">
        <f>VLOOKUP(A2861,'A IV.A'!$A$14:$M$233,3,FALSE)</f>
        <v>M2</v>
      </c>
      <c r="N2861" s="631" t="str">
        <f>IF(J2861=M2861,"sim","nao")</f>
        <v>sim</v>
      </c>
    </row>
    <row r="2862" spans="1:14" x14ac:dyDescent="0.2">
      <c r="A2862" s="625"/>
      <c r="B2862" s="624"/>
      <c r="C2862" s="626"/>
      <c r="D2862" s="627"/>
      <c r="E2862" s="627"/>
      <c r="F2862" s="627"/>
      <c r="G2862" s="627"/>
      <c r="H2862" s="627"/>
      <c r="I2862" s="628"/>
      <c r="J2862" s="629"/>
      <c r="K2862" s="630"/>
      <c r="L2862" s="631"/>
      <c r="M2862" s="631"/>
      <c r="N2862" s="631"/>
    </row>
    <row r="2863" spans="1:14" x14ac:dyDescent="0.2">
      <c r="A2863" s="139"/>
      <c r="B2863" s="140"/>
      <c r="C2863" s="141"/>
      <c r="D2863" s="142"/>
      <c r="E2863" s="142"/>
      <c r="F2863" s="142"/>
      <c r="G2863" s="142"/>
      <c r="H2863" s="142"/>
      <c r="I2863" s="143"/>
      <c r="J2863" s="144"/>
      <c r="K2863" s="132"/>
      <c r="L2863" s="133"/>
    </row>
    <row r="2864" spans="1:14" x14ac:dyDescent="0.2">
      <c r="A2864" s="158"/>
      <c r="B2864" s="188"/>
      <c r="C2864" s="189"/>
      <c r="D2864" s="165"/>
      <c r="E2864" s="165"/>
      <c r="F2864" s="165"/>
      <c r="G2864" s="165"/>
      <c r="H2864" s="165"/>
      <c r="I2864" s="190"/>
      <c r="J2864" s="191"/>
      <c r="K2864" s="192"/>
      <c r="L2864" s="55"/>
      <c r="M2864" s="55"/>
      <c r="N2864" s="55"/>
    </row>
    <row r="2865" spans="1:14" x14ac:dyDescent="0.2">
      <c r="A2865" s="158"/>
      <c r="B2865" s="188"/>
      <c r="C2865" s="189"/>
      <c r="D2865" s="165"/>
      <c r="E2865" s="165"/>
      <c r="F2865" s="165"/>
      <c r="G2865" s="165"/>
      <c r="H2865" s="165"/>
      <c r="I2865" s="190"/>
      <c r="J2865" s="191"/>
      <c r="K2865" s="192"/>
      <c r="L2865" s="55"/>
      <c r="M2865" s="55"/>
      <c r="N2865" s="55"/>
    </row>
    <row r="2866" spans="1:14" x14ac:dyDescent="0.2">
      <c r="A2866" s="145"/>
      <c r="B2866" s="146"/>
      <c r="C2866" s="147"/>
      <c r="D2866" s="147"/>
      <c r="E2866" s="147"/>
      <c r="F2866" s="147"/>
      <c r="G2866" s="147"/>
      <c r="H2866" s="147"/>
      <c r="I2866" s="147"/>
      <c r="J2866" s="148"/>
      <c r="K2866" s="132"/>
      <c r="L2866" s="133"/>
    </row>
    <row r="2867" spans="1:14" x14ac:dyDescent="0.2">
      <c r="A2867" s="158"/>
      <c r="B2867" s="188"/>
      <c r="C2867" s="189"/>
      <c r="D2867" s="165"/>
      <c r="E2867" s="165"/>
      <c r="F2867" s="165"/>
      <c r="G2867" s="165"/>
      <c r="H2867" s="165"/>
      <c r="I2867" s="190"/>
      <c r="J2867" s="191"/>
      <c r="K2867" s="630"/>
      <c r="L2867" s="631"/>
      <c r="M2867" s="631"/>
      <c r="N2867" s="631"/>
    </row>
    <row r="2868" spans="1:14" x14ac:dyDescent="0.2">
      <c r="A2868" s="158"/>
      <c r="B2868" s="188"/>
      <c r="C2868" s="189"/>
      <c r="D2868" s="165"/>
      <c r="E2868" s="165"/>
      <c r="F2868" s="165"/>
      <c r="G2868" s="165"/>
      <c r="H2868" s="165"/>
      <c r="I2868" s="190"/>
      <c r="J2868" s="191"/>
      <c r="K2868" s="630"/>
      <c r="L2868" s="631"/>
      <c r="M2868" s="631"/>
      <c r="N2868" s="631"/>
    </row>
    <row r="2869" spans="1:14" x14ac:dyDescent="0.2">
      <c r="A2869" s="145"/>
      <c r="B2869" s="146"/>
      <c r="C2869" s="147"/>
      <c r="D2869" s="147"/>
      <c r="E2869" s="147"/>
      <c r="F2869" s="147"/>
      <c r="G2869" s="147"/>
      <c r="H2869" s="147"/>
      <c r="I2869" s="147"/>
      <c r="J2869" s="148"/>
      <c r="K2869" s="132"/>
      <c r="L2869" s="133"/>
    </row>
    <row r="2870" spans="1:14" x14ac:dyDescent="0.2">
      <c r="A2870" s="145"/>
      <c r="B2870" s="146"/>
      <c r="C2870" s="147"/>
      <c r="D2870" s="147"/>
      <c r="E2870" s="147"/>
      <c r="F2870" s="147"/>
      <c r="G2870" s="147"/>
      <c r="H2870" s="147"/>
      <c r="I2870" s="147"/>
      <c r="J2870" s="148"/>
      <c r="K2870" s="132"/>
      <c r="L2870" s="133"/>
    </row>
    <row r="2871" spans="1:14" x14ac:dyDescent="0.2">
      <c r="A2871" s="145"/>
      <c r="B2871" s="146"/>
      <c r="C2871" s="147"/>
      <c r="D2871" s="147"/>
      <c r="E2871" s="147"/>
      <c r="F2871" s="147"/>
      <c r="G2871" s="147"/>
      <c r="H2871" s="147"/>
      <c r="I2871" s="147"/>
      <c r="J2871" s="148"/>
      <c r="K2871" s="132"/>
      <c r="L2871" s="133"/>
    </row>
    <row r="2872" spans="1:14" x14ac:dyDescent="0.2">
      <c r="A2872" s="145"/>
      <c r="B2872" s="146"/>
      <c r="C2872" s="147"/>
      <c r="D2872" s="147"/>
      <c r="E2872" s="147"/>
      <c r="F2872" s="147"/>
      <c r="G2872" s="147"/>
      <c r="H2872" s="147"/>
      <c r="I2872" s="147"/>
      <c r="J2872" s="148"/>
      <c r="K2872" s="132"/>
      <c r="L2872" s="133"/>
    </row>
    <row r="2873" spans="1:14" x14ac:dyDescent="0.2">
      <c r="A2873" s="145"/>
      <c r="B2873" s="146"/>
      <c r="C2873" s="147"/>
      <c r="D2873" s="147"/>
      <c r="E2873" s="147"/>
      <c r="F2873" s="147"/>
      <c r="G2873" s="147"/>
      <c r="H2873" s="147"/>
      <c r="I2873" s="147"/>
      <c r="J2873" s="148"/>
      <c r="K2873" s="132"/>
      <c r="L2873" s="133"/>
    </row>
    <row r="2874" spans="1:14" x14ac:dyDescent="0.2">
      <c r="A2874" s="145"/>
      <c r="B2874" s="146"/>
      <c r="C2874" s="147"/>
      <c r="D2874" s="147"/>
      <c r="E2874" s="147"/>
      <c r="F2874" s="147"/>
      <c r="G2874" s="147"/>
      <c r="H2874" s="147"/>
      <c r="I2874" s="147"/>
      <c r="J2874" s="148"/>
      <c r="K2874" s="132"/>
      <c r="L2874" s="133"/>
    </row>
    <row r="2875" spans="1:14" x14ac:dyDescent="0.2">
      <c r="A2875" s="145"/>
      <c r="B2875" s="146"/>
      <c r="C2875" s="147"/>
      <c r="D2875" s="147"/>
      <c r="E2875" s="147"/>
      <c r="F2875" s="147"/>
      <c r="G2875" s="147"/>
      <c r="H2875" s="147"/>
      <c r="I2875" s="147"/>
      <c r="J2875" s="148"/>
      <c r="K2875" s="132"/>
      <c r="L2875" s="133"/>
    </row>
    <row r="2876" spans="1:14" x14ac:dyDescent="0.2">
      <c r="A2876" s="145"/>
      <c r="B2876" s="146"/>
      <c r="C2876" s="147"/>
      <c r="D2876" s="147"/>
      <c r="E2876" s="147"/>
      <c r="F2876" s="147"/>
      <c r="G2876" s="147"/>
      <c r="H2876" s="147"/>
      <c r="I2876" s="147"/>
      <c r="J2876" s="148"/>
      <c r="K2876" s="132"/>
      <c r="L2876" s="133"/>
    </row>
    <row r="2877" spans="1:14" x14ac:dyDescent="0.2">
      <c r="A2877" s="145"/>
      <c r="B2877" s="146"/>
      <c r="C2877" s="147"/>
      <c r="D2877" s="147"/>
      <c r="E2877" s="147"/>
      <c r="F2877" s="147"/>
      <c r="G2877" s="147"/>
      <c r="H2877" s="147"/>
      <c r="I2877" s="147"/>
      <c r="J2877" s="148"/>
      <c r="K2877" s="132"/>
      <c r="L2877" s="133"/>
    </row>
    <row r="2878" spans="1:14" x14ac:dyDescent="0.2">
      <c r="A2878" s="145"/>
      <c r="B2878" s="146"/>
      <c r="C2878" s="147"/>
      <c r="D2878" s="147"/>
      <c r="E2878" s="147"/>
      <c r="F2878" s="147"/>
      <c r="G2878" s="147"/>
      <c r="H2878" s="147"/>
      <c r="I2878" s="147"/>
      <c r="J2878" s="148"/>
      <c r="K2878" s="132"/>
      <c r="L2878" s="133"/>
    </row>
    <row r="2879" spans="1:14" x14ac:dyDescent="0.2">
      <c r="A2879" s="145"/>
      <c r="B2879" s="146"/>
      <c r="C2879" s="147"/>
      <c r="D2879" s="147"/>
      <c r="E2879" s="147"/>
      <c r="F2879" s="147"/>
      <c r="G2879" s="147"/>
      <c r="H2879" s="147"/>
      <c r="I2879" s="147"/>
      <c r="J2879" s="148"/>
      <c r="K2879" s="132"/>
      <c r="L2879" s="133"/>
    </row>
    <row r="2880" spans="1:14" x14ac:dyDescent="0.2">
      <c r="A2880" s="145"/>
      <c r="B2880" s="146"/>
      <c r="C2880" s="147"/>
      <c r="D2880" s="147"/>
      <c r="E2880" s="147"/>
      <c r="F2880" s="147"/>
      <c r="G2880" s="147"/>
      <c r="H2880" s="147"/>
      <c r="I2880" s="147"/>
      <c r="J2880" s="148"/>
      <c r="K2880" s="132"/>
      <c r="L2880" s="133"/>
    </row>
    <row r="2881" spans="1:12" x14ac:dyDescent="0.2">
      <c r="A2881" s="145"/>
      <c r="B2881" s="146"/>
      <c r="C2881" s="147"/>
      <c r="D2881" s="147"/>
      <c r="E2881" s="147"/>
      <c r="F2881" s="147"/>
      <c r="G2881" s="147"/>
      <c r="H2881" s="147"/>
      <c r="I2881" s="147"/>
      <c r="J2881" s="148"/>
      <c r="K2881" s="132"/>
      <c r="L2881" s="133"/>
    </row>
    <row r="2882" spans="1:12" ht="13.5" thickBot="1" x14ac:dyDescent="0.25">
      <c r="A2882" s="149"/>
      <c r="B2882" s="150"/>
      <c r="C2882" s="151"/>
      <c r="D2882" s="151"/>
      <c r="E2882" s="151"/>
      <c r="F2882" s="151"/>
      <c r="G2882" s="151"/>
      <c r="H2882" s="151"/>
      <c r="I2882" s="151"/>
      <c r="J2882" s="152"/>
      <c r="K2882" s="132"/>
      <c r="L2882" s="133"/>
    </row>
    <row r="2883" spans="1:12" ht="13.5" thickBot="1" x14ac:dyDescent="0.25">
      <c r="A2883" s="153"/>
      <c r="B2883" s="153"/>
      <c r="C2883" s="154"/>
      <c r="D2883" s="154"/>
      <c r="E2883" s="154"/>
      <c r="F2883" s="154"/>
      <c r="G2883" s="154"/>
      <c r="H2883" s="154"/>
      <c r="I2883" s="154"/>
      <c r="J2883" s="153"/>
      <c r="K2883" s="132"/>
      <c r="L2883" s="133"/>
    </row>
    <row r="2884" spans="1:12" ht="13.5" thickBot="1" x14ac:dyDescent="0.25">
      <c r="A2884" s="614" t="s">
        <v>62</v>
      </c>
      <c r="B2884" s="648"/>
      <c r="C2884" s="648"/>
      <c r="D2884" s="648"/>
      <c r="E2884" s="648"/>
      <c r="F2884" s="648"/>
      <c r="G2884" s="648"/>
      <c r="H2884" s="648"/>
      <c r="I2884" s="648"/>
      <c r="J2884" s="649"/>
      <c r="K2884" s="132"/>
      <c r="L2884" s="133"/>
    </row>
    <row r="2885" spans="1:12" x14ac:dyDescent="0.2">
      <c r="A2885" s="136"/>
      <c r="B2885" s="155"/>
      <c r="C2885" s="156"/>
      <c r="D2885" s="156"/>
      <c r="E2885" s="156"/>
      <c r="F2885" s="156"/>
      <c r="G2885" s="156"/>
      <c r="H2885" s="156"/>
      <c r="I2885" s="156"/>
      <c r="J2885" s="157"/>
      <c r="K2885" s="132"/>
      <c r="L2885" s="133"/>
    </row>
    <row r="2886" spans="1:12" ht="12.75" customHeight="1" x14ac:dyDescent="0.2">
      <c r="A2886" s="677" t="s">
        <v>63</v>
      </c>
      <c r="B2886" s="662"/>
      <c r="C2886" s="596" t="s">
        <v>144</v>
      </c>
      <c r="D2886" s="596"/>
      <c r="E2886" s="596"/>
      <c r="F2886" s="596"/>
      <c r="G2886" s="596"/>
      <c r="H2886" s="596"/>
      <c r="I2886" s="596"/>
      <c r="J2886" s="597"/>
      <c r="K2886" s="132"/>
      <c r="L2886" s="133"/>
    </row>
    <row r="2887" spans="1:12" x14ac:dyDescent="0.2">
      <c r="A2887" s="203"/>
      <c r="B2887" s="159"/>
      <c r="C2887" s="596"/>
      <c r="D2887" s="596"/>
      <c r="E2887" s="596"/>
      <c r="F2887" s="596"/>
      <c r="G2887" s="596"/>
      <c r="H2887" s="596"/>
      <c r="I2887" s="596"/>
      <c r="J2887" s="597"/>
      <c r="K2887" s="132"/>
      <c r="L2887" s="133"/>
    </row>
    <row r="2888" spans="1:12" x14ac:dyDescent="0.2">
      <c r="A2888" s="213"/>
      <c r="B2888" s="214"/>
      <c r="C2888" s="596"/>
      <c r="D2888" s="596"/>
      <c r="E2888" s="596"/>
      <c r="F2888" s="596"/>
      <c r="G2888" s="596"/>
      <c r="H2888" s="596"/>
      <c r="I2888" s="596"/>
      <c r="J2888" s="597"/>
      <c r="K2888" s="132"/>
      <c r="L2888" s="133"/>
    </row>
    <row r="2889" spans="1:12" x14ac:dyDescent="0.2">
      <c r="A2889" s="158"/>
      <c r="B2889" s="55"/>
      <c r="C2889" s="178"/>
      <c r="D2889" s="178"/>
      <c r="E2889" s="178"/>
      <c r="F2889" s="178"/>
      <c r="G2889" s="178"/>
      <c r="H2889" s="178"/>
      <c r="I2889" s="178"/>
      <c r="J2889" s="179"/>
      <c r="K2889" s="132"/>
      <c r="L2889" s="133"/>
    </row>
    <row r="2890" spans="1:12" ht="12.75" customHeight="1" x14ac:dyDescent="0.2">
      <c r="A2890" s="598" t="s">
        <v>64</v>
      </c>
      <c r="B2890" s="638"/>
      <c r="C2890" s="596" t="s">
        <v>593</v>
      </c>
      <c r="D2890" s="596"/>
      <c r="E2890" s="596"/>
      <c r="F2890" s="596"/>
      <c r="G2890" s="596"/>
      <c r="H2890" s="596"/>
      <c r="I2890" s="596"/>
      <c r="J2890" s="597"/>
      <c r="K2890" s="283"/>
      <c r="L2890" s="132" t="s">
        <v>594</v>
      </c>
    </row>
    <row r="2891" spans="1:12" x14ac:dyDescent="0.2">
      <c r="A2891" s="158"/>
      <c r="B2891" s="55"/>
      <c r="C2891" s="596"/>
      <c r="D2891" s="596"/>
      <c r="E2891" s="596"/>
      <c r="F2891" s="596"/>
      <c r="G2891" s="596"/>
      <c r="H2891" s="596"/>
      <c r="I2891" s="596"/>
      <c r="J2891" s="597"/>
      <c r="K2891" s="132"/>
      <c r="L2891" s="133"/>
    </row>
    <row r="2892" spans="1:12" x14ac:dyDescent="0.2">
      <c r="A2892" s="158"/>
      <c r="B2892" s="55"/>
      <c r="C2892" s="71"/>
      <c r="D2892" s="71"/>
      <c r="E2892" s="71"/>
      <c r="F2892" s="71"/>
      <c r="G2892" s="71"/>
      <c r="H2892" s="71"/>
      <c r="I2892" s="71"/>
      <c r="J2892" s="174"/>
      <c r="K2892" s="132"/>
      <c r="L2892" s="133"/>
    </row>
    <row r="2893" spans="1:12" x14ac:dyDescent="0.2">
      <c r="A2893" s="158"/>
      <c r="B2893" s="55"/>
      <c r="C2893" s="71"/>
      <c r="D2893" s="71"/>
      <c r="E2893" s="71"/>
      <c r="F2893" s="71"/>
      <c r="G2893" s="71"/>
      <c r="H2893" s="71"/>
      <c r="I2893" s="71"/>
      <c r="J2893" s="174"/>
      <c r="K2893" s="132"/>
      <c r="L2893" s="133"/>
    </row>
    <row r="2894" spans="1:12" x14ac:dyDescent="0.2">
      <c r="A2894" s="158"/>
      <c r="B2894" s="55"/>
      <c r="C2894" s="71"/>
      <c r="D2894" s="71"/>
      <c r="E2894" s="71"/>
      <c r="F2894" s="71"/>
      <c r="G2894" s="71"/>
      <c r="H2894" s="71"/>
      <c r="I2894" s="71"/>
      <c r="J2894" s="174"/>
      <c r="K2894" s="132"/>
      <c r="L2894" s="133"/>
    </row>
    <row r="2895" spans="1:12" x14ac:dyDescent="0.2">
      <c r="A2895" s="158"/>
      <c r="B2895" s="55"/>
      <c r="C2895" s="71"/>
      <c r="D2895" s="71"/>
      <c r="E2895" s="71"/>
      <c r="F2895" s="71"/>
      <c r="G2895" s="71"/>
      <c r="H2895" s="71"/>
      <c r="I2895" s="71"/>
      <c r="J2895" s="174"/>
      <c r="K2895" s="132"/>
      <c r="L2895" s="133"/>
    </row>
    <row r="2896" spans="1:12" x14ac:dyDescent="0.2">
      <c r="A2896" s="158"/>
      <c r="B2896" s="55"/>
      <c r="C2896" s="71"/>
      <c r="D2896" s="71"/>
      <c r="E2896" s="71"/>
      <c r="F2896" s="71"/>
      <c r="G2896" s="71"/>
      <c r="H2896" s="71"/>
      <c r="I2896" s="71"/>
      <c r="J2896" s="174"/>
      <c r="K2896" s="132"/>
      <c r="L2896" s="133"/>
    </row>
    <row r="2897" spans="1:12" x14ac:dyDescent="0.2">
      <c r="A2897" s="158"/>
      <c r="B2897" s="55"/>
      <c r="C2897" s="71"/>
      <c r="D2897" s="71"/>
      <c r="E2897" s="71"/>
      <c r="F2897" s="71"/>
      <c r="G2897" s="71"/>
      <c r="H2897" s="71"/>
      <c r="I2897" s="71"/>
      <c r="J2897" s="174"/>
      <c r="K2897" s="132"/>
      <c r="L2897" s="133"/>
    </row>
    <row r="2898" spans="1:12" x14ac:dyDescent="0.2">
      <c r="A2898" s="158"/>
      <c r="B2898" s="55"/>
      <c r="C2898" s="71"/>
      <c r="D2898" s="71"/>
      <c r="E2898" s="71"/>
      <c r="F2898" s="71"/>
      <c r="G2898" s="71"/>
      <c r="H2898" s="71"/>
      <c r="I2898" s="71"/>
      <c r="J2898" s="174"/>
      <c r="K2898" s="132"/>
      <c r="L2898" s="133"/>
    </row>
    <row r="2899" spans="1:12" x14ac:dyDescent="0.2">
      <c r="A2899" s="158"/>
      <c r="B2899" s="55"/>
      <c r="C2899" s="71"/>
      <c r="D2899" s="71"/>
      <c r="E2899" s="71"/>
      <c r="F2899" s="71"/>
      <c r="G2899" s="71"/>
      <c r="H2899" s="71"/>
      <c r="I2899" s="71"/>
      <c r="J2899" s="174"/>
      <c r="K2899" s="132"/>
      <c r="L2899" s="133"/>
    </row>
    <row r="2900" spans="1:12" x14ac:dyDescent="0.2">
      <c r="A2900" s="158"/>
      <c r="B2900" s="55"/>
      <c r="C2900" s="71"/>
      <c r="D2900" s="71"/>
      <c r="E2900" s="71"/>
      <c r="F2900" s="71"/>
      <c r="G2900" s="71"/>
      <c r="H2900" s="71"/>
      <c r="I2900" s="71"/>
      <c r="J2900" s="174"/>
      <c r="K2900" s="132"/>
      <c r="L2900" s="133"/>
    </row>
    <row r="2901" spans="1:12" x14ac:dyDescent="0.2">
      <c r="A2901" s="158"/>
      <c r="B2901" s="55"/>
      <c r="C2901" s="175"/>
      <c r="D2901" s="175"/>
      <c r="E2901" s="172"/>
      <c r="F2901" s="172"/>
      <c r="G2901" s="172"/>
      <c r="H2901" s="172"/>
      <c r="I2901" s="172"/>
      <c r="J2901" s="173"/>
      <c r="K2901" s="132"/>
      <c r="L2901" s="133"/>
    </row>
    <row r="2902" spans="1:12" x14ac:dyDescent="0.2">
      <c r="A2902" s="158"/>
      <c r="B2902" s="55"/>
      <c r="C2902" s="175"/>
      <c r="D2902" s="175"/>
      <c r="E2902" s="172"/>
      <c r="F2902" s="172"/>
      <c r="G2902" s="172"/>
      <c r="H2902" s="172"/>
      <c r="I2902" s="172"/>
      <c r="J2902" s="173"/>
      <c r="K2902" s="132"/>
      <c r="L2902" s="133"/>
    </row>
    <row r="2903" spans="1:12" x14ac:dyDescent="0.2">
      <c r="A2903" s="158"/>
      <c r="B2903" s="55"/>
      <c r="C2903" s="175"/>
      <c r="D2903" s="175"/>
      <c r="E2903" s="172"/>
      <c r="F2903" s="172"/>
      <c r="G2903" s="172"/>
      <c r="H2903" s="172"/>
      <c r="I2903" s="172"/>
      <c r="J2903" s="173"/>
      <c r="K2903" s="132"/>
      <c r="L2903" s="133"/>
    </row>
    <row r="2904" spans="1:12" x14ac:dyDescent="0.2">
      <c r="A2904" s="158"/>
      <c r="B2904" s="55"/>
      <c r="C2904" s="175"/>
      <c r="D2904" s="175"/>
      <c r="E2904" s="175"/>
      <c r="F2904" s="175"/>
      <c r="G2904" s="175"/>
      <c r="H2904" s="175"/>
      <c r="I2904" s="175"/>
      <c r="J2904" s="176"/>
      <c r="K2904" s="132"/>
      <c r="L2904" s="133"/>
    </row>
    <row r="2905" spans="1:12" x14ac:dyDescent="0.2">
      <c r="A2905" s="158"/>
      <c r="B2905" s="55"/>
      <c r="C2905" s="175"/>
      <c r="D2905" s="175"/>
      <c r="E2905" s="175"/>
      <c r="F2905" s="175"/>
      <c r="G2905" s="175"/>
      <c r="H2905" s="175"/>
      <c r="I2905" s="175"/>
      <c r="J2905" s="176"/>
      <c r="K2905" s="132"/>
      <c r="L2905" s="133"/>
    </row>
    <row r="2906" spans="1:12" x14ac:dyDescent="0.2">
      <c r="A2906" s="158"/>
      <c r="B2906" s="55"/>
      <c r="C2906" s="175"/>
      <c r="D2906" s="175"/>
      <c r="E2906" s="175"/>
      <c r="F2906" s="175"/>
      <c r="G2906" s="175"/>
      <c r="H2906" s="175"/>
      <c r="I2906" s="175"/>
      <c r="J2906" s="176"/>
      <c r="K2906" s="132"/>
      <c r="L2906" s="133"/>
    </row>
    <row r="2907" spans="1:12" x14ac:dyDescent="0.2">
      <c r="A2907" s="158"/>
      <c r="B2907" s="55"/>
      <c r="C2907" s="175"/>
      <c r="D2907" s="175"/>
      <c r="E2907" s="175"/>
      <c r="F2907" s="175"/>
      <c r="G2907" s="175"/>
      <c r="H2907" s="175"/>
      <c r="I2907" s="175"/>
      <c r="J2907" s="176"/>
      <c r="K2907" s="132"/>
      <c r="L2907" s="133"/>
    </row>
    <row r="2908" spans="1:12" ht="13.5" thickBot="1" x14ac:dyDescent="0.25">
      <c r="A2908" s="149"/>
      <c r="B2908" s="167"/>
      <c r="C2908" s="151"/>
      <c r="D2908" s="151"/>
      <c r="E2908" s="151"/>
      <c r="F2908" s="151"/>
      <c r="G2908" s="151"/>
      <c r="H2908" s="151"/>
      <c r="I2908" s="151"/>
      <c r="J2908" s="168"/>
      <c r="K2908" s="132"/>
      <c r="L2908" s="133"/>
    </row>
    <row r="2909" spans="1:12" ht="15.75" x14ac:dyDescent="0.2">
      <c r="A2909" s="602" t="s">
        <v>4</v>
      </c>
      <c r="B2909" s="603"/>
      <c r="C2909" s="603" t="str">
        <f>'A IV.A'!$B$43</f>
        <v>FECHAMENTOS, PROTEÇÕES E ALVENARIAS EM GERAL</v>
      </c>
      <c r="D2909" s="603"/>
      <c r="E2909" s="603"/>
      <c r="F2909" s="603"/>
      <c r="G2909" s="603"/>
      <c r="H2909" s="603"/>
      <c r="I2909" s="603"/>
      <c r="J2909" s="604"/>
      <c r="K2909" s="132"/>
      <c r="L2909" s="133"/>
    </row>
    <row r="2910" spans="1:12" x14ac:dyDescent="0.2">
      <c r="A2910" s="609" t="str">
        <f>'A IV.A'!$A$43</f>
        <v>3.0</v>
      </c>
      <c r="B2910" s="610"/>
      <c r="C2910" s="605"/>
      <c r="D2910" s="605"/>
      <c r="E2910" s="605"/>
      <c r="F2910" s="605"/>
      <c r="G2910" s="605"/>
      <c r="H2910" s="605"/>
      <c r="I2910" s="605"/>
      <c r="J2910" s="606"/>
      <c r="K2910" s="132"/>
      <c r="L2910" s="133"/>
    </row>
    <row r="2911" spans="1:12" ht="13.5" thickBot="1" x14ac:dyDescent="0.25">
      <c r="A2911" s="611"/>
      <c r="B2911" s="612"/>
      <c r="C2911" s="607"/>
      <c r="D2911" s="607"/>
      <c r="E2911" s="607"/>
      <c r="F2911" s="607"/>
      <c r="G2911" s="607"/>
      <c r="H2911" s="607"/>
      <c r="I2911" s="607"/>
      <c r="J2911" s="608"/>
      <c r="K2911" s="132"/>
      <c r="L2911" s="133"/>
    </row>
    <row r="2912" spans="1:12" ht="13.5" thickBot="1" x14ac:dyDescent="0.25">
      <c r="A2912" s="169"/>
      <c r="B2912" s="169"/>
      <c r="C2912" s="613"/>
      <c r="D2912" s="613"/>
      <c r="E2912" s="613"/>
      <c r="F2912" s="613"/>
      <c r="G2912" s="613"/>
      <c r="H2912" s="613"/>
      <c r="I2912" s="613"/>
      <c r="J2912" s="169"/>
      <c r="K2912" s="132"/>
      <c r="L2912" s="133"/>
    </row>
    <row r="2913" spans="1:14" ht="13.5" thickBot="1" x14ac:dyDescent="0.25">
      <c r="A2913" s="632" t="s">
        <v>60</v>
      </c>
      <c r="B2913" s="633"/>
      <c r="C2913" s="656" t="s">
        <v>61</v>
      </c>
      <c r="D2913" s="656"/>
      <c r="E2913" s="656"/>
      <c r="F2913" s="656"/>
      <c r="G2913" s="656"/>
      <c r="H2913" s="656"/>
      <c r="I2913" s="656"/>
      <c r="J2913" s="260" t="s">
        <v>0</v>
      </c>
      <c r="K2913" s="132"/>
      <c r="L2913" s="133"/>
    </row>
    <row r="2914" spans="1:14" x14ac:dyDescent="0.2">
      <c r="A2914" s="136"/>
      <c r="B2914" s="137"/>
      <c r="C2914" s="619"/>
      <c r="D2914" s="620"/>
      <c r="E2914" s="621"/>
      <c r="F2914" s="621"/>
      <c r="G2914" s="621"/>
      <c r="H2914" s="621"/>
      <c r="I2914" s="622"/>
      <c r="J2914" s="138"/>
      <c r="K2914" s="132"/>
      <c r="L2914" s="133"/>
    </row>
    <row r="2915" spans="1:14" ht="12.75" customHeight="1" x14ac:dyDescent="0.2">
      <c r="A2915" s="623" t="str">
        <f>'A IV.A'!$A$93</f>
        <v>3.8.2</v>
      </c>
      <c r="B2915" s="636"/>
      <c r="C2915" s="626" t="str">
        <f>'A IV.A'!$B$93</f>
        <v xml:space="preserve">REBOCO/MASSA ÚNICA, PAREDE INTERNA/EXTERNA COM ARGAMASSA DE CIMENTO, CAL E AREIA 1:2:8, E=20 MM </v>
      </c>
      <c r="D2915" s="627"/>
      <c r="E2915" s="627"/>
      <c r="F2915" s="627"/>
      <c r="G2915" s="627"/>
      <c r="H2915" s="627"/>
      <c r="I2915" s="628"/>
      <c r="J2915" s="629" t="str">
        <f>'A IV.A'!$C$93</f>
        <v>M2</v>
      </c>
      <c r="K2915" s="630" t="str">
        <f>VLOOKUP(A2915,'A IV.A'!$A$14:$M$233,2,FALSE)</f>
        <v xml:space="preserve">REBOCO/MASSA ÚNICA, PAREDE INTERNA/EXTERNA COM ARGAMASSA DE CIMENTO, CAL E AREIA 1:2:8, E=20 MM </v>
      </c>
      <c r="L2915" s="631" t="str">
        <f>IF(C2915=K2915,"sim","nao")</f>
        <v>sim</v>
      </c>
      <c r="M2915" s="631" t="str">
        <f>VLOOKUP(A2915,'A IV.A'!$A$14:$M$233,3,FALSE)</f>
        <v>M2</v>
      </c>
      <c r="N2915" s="631" t="str">
        <f>IF(J2915=M2915,"sim","nao")</f>
        <v>sim</v>
      </c>
    </row>
    <row r="2916" spans="1:14" x14ac:dyDescent="0.2">
      <c r="A2916" s="623"/>
      <c r="B2916" s="636"/>
      <c r="C2916" s="626"/>
      <c r="D2916" s="627"/>
      <c r="E2916" s="627"/>
      <c r="F2916" s="627"/>
      <c r="G2916" s="627"/>
      <c r="H2916" s="627"/>
      <c r="I2916" s="628"/>
      <c r="J2916" s="629"/>
      <c r="K2916" s="630"/>
      <c r="L2916" s="631"/>
      <c r="M2916" s="631"/>
      <c r="N2916" s="631"/>
    </row>
    <row r="2917" spans="1:14" x14ac:dyDescent="0.2">
      <c r="A2917" s="623"/>
      <c r="B2917" s="636"/>
      <c r="C2917" s="626"/>
      <c r="D2917" s="627"/>
      <c r="E2917" s="627"/>
      <c r="F2917" s="627"/>
      <c r="G2917" s="627"/>
      <c r="H2917" s="627"/>
      <c r="I2917" s="628"/>
      <c r="J2917" s="629"/>
      <c r="K2917" s="132"/>
      <c r="L2917" s="133"/>
    </row>
    <row r="2918" spans="1:14" x14ac:dyDescent="0.2">
      <c r="A2918" s="158"/>
      <c r="B2918" s="188"/>
      <c r="C2918" s="189"/>
      <c r="D2918" s="165"/>
      <c r="E2918" s="165"/>
      <c r="F2918" s="165"/>
      <c r="G2918" s="165"/>
      <c r="H2918" s="165"/>
      <c r="I2918" s="190"/>
      <c r="J2918" s="191"/>
      <c r="K2918" s="192"/>
      <c r="L2918" s="55"/>
      <c r="M2918" s="55"/>
      <c r="N2918" s="55"/>
    </row>
    <row r="2919" spans="1:14" x14ac:dyDescent="0.2">
      <c r="A2919" s="158"/>
      <c r="B2919" s="188"/>
      <c r="C2919" s="189"/>
      <c r="D2919" s="165"/>
      <c r="E2919" s="165"/>
      <c r="F2919" s="165"/>
      <c r="G2919" s="165"/>
      <c r="H2919" s="165"/>
      <c r="I2919" s="190"/>
      <c r="J2919" s="191"/>
      <c r="K2919" s="192"/>
      <c r="L2919" s="55"/>
      <c r="M2919" s="55"/>
      <c r="N2919" s="55"/>
    </row>
    <row r="2920" spans="1:14" x14ac:dyDescent="0.2">
      <c r="A2920" s="145"/>
      <c r="B2920" s="146"/>
      <c r="C2920" s="147"/>
      <c r="D2920" s="147"/>
      <c r="E2920" s="147"/>
      <c r="F2920" s="147"/>
      <c r="G2920" s="147"/>
      <c r="H2920" s="147"/>
      <c r="I2920" s="147"/>
      <c r="J2920" s="148"/>
      <c r="K2920" s="132"/>
      <c r="L2920" s="133"/>
    </row>
    <row r="2921" spans="1:14" x14ac:dyDescent="0.2">
      <c r="A2921" s="158"/>
      <c r="B2921" s="188"/>
      <c r="C2921" s="189"/>
      <c r="D2921" s="165"/>
      <c r="E2921" s="165"/>
      <c r="F2921" s="165"/>
      <c r="G2921" s="165"/>
      <c r="H2921" s="165"/>
      <c r="I2921" s="190"/>
      <c r="J2921" s="191"/>
      <c r="K2921" s="630"/>
      <c r="L2921" s="631"/>
      <c r="M2921" s="631"/>
      <c r="N2921" s="631"/>
    </row>
    <row r="2922" spans="1:14" x14ac:dyDescent="0.2">
      <c r="A2922" s="158"/>
      <c r="B2922" s="188"/>
      <c r="C2922" s="189"/>
      <c r="D2922" s="165"/>
      <c r="E2922" s="165"/>
      <c r="F2922" s="165"/>
      <c r="G2922" s="165"/>
      <c r="H2922" s="165"/>
      <c r="I2922" s="190"/>
      <c r="J2922" s="191"/>
      <c r="K2922" s="630"/>
      <c r="L2922" s="631"/>
      <c r="M2922" s="631"/>
      <c r="N2922" s="631"/>
    </row>
    <row r="2923" spans="1:14" x14ac:dyDescent="0.2">
      <c r="A2923" s="145"/>
      <c r="B2923" s="146"/>
      <c r="C2923" s="147"/>
      <c r="D2923" s="147"/>
      <c r="E2923" s="147"/>
      <c r="F2923" s="147"/>
      <c r="G2923" s="147"/>
      <c r="H2923" s="147"/>
      <c r="I2923" s="147"/>
      <c r="J2923" s="148"/>
      <c r="K2923" s="132"/>
      <c r="L2923" s="133"/>
    </row>
    <row r="2924" spans="1:14" x14ac:dyDescent="0.2">
      <c r="A2924" s="145"/>
      <c r="B2924" s="146"/>
      <c r="C2924" s="147"/>
      <c r="D2924" s="147"/>
      <c r="E2924" s="147"/>
      <c r="F2924" s="147"/>
      <c r="G2924" s="147"/>
      <c r="H2924" s="147"/>
      <c r="I2924" s="147"/>
      <c r="J2924" s="148"/>
      <c r="K2924" s="132"/>
      <c r="L2924" s="133"/>
    </row>
    <row r="2925" spans="1:14" x14ac:dyDescent="0.2">
      <c r="A2925" s="145"/>
      <c r="B2925" s="146"/>
      <c r="C2925" s="147"/>
      <c r="D2925" s="147"/>
      <c r="E2925" s="147"/>
      <c r="F2925" s="147"/>
      <c r="G2925" s="147"/>
      <c r="H2925" s="147"/>
      <c r="I2925" s="147"/>
      <c r="J2925" s="148"/>
      <c r="K2925" s="132"/>
      <c r="L2925" s="133"/>
    </row>
    <row r="2926" spans="1:14" x14ac:dyDescent="0.2">
      <c r="A2926" s="145"/>
      <c r="B2926" s="146"/>
      <c r="C2926" s="147"/>
      <c r="D2926" s="147"/>
      <c r="E2926" s="147"/>
      <c r="F2926" s="147"/>
      <c r="G2926" s="147"/>
      <c r="H2926" s="147"/>
      <c r="I2926" s="147"/>
      <c r="J2926" s="148"/>
      <c r="K2926" s="132"/>
      <c r="L2926" s="133"/>
    </row>
    <row r="2927" spans="1:14" x14ac:dyDescent="0.2">
      <c r="A2927" s="145"/>
      <c r="B2927" s="146"/>
      <c r="C2927" s="147"/>
      <c r="D2927" s="147"/>
      <c r="E2927" s="147"/>
      <c r="F2927" s="147"/>
      <c r="G2927" s="147"/>
      <c r="H2927" s="147"/>
      <c r="I2927" s="147"/>
      <c r="J2927" s="148"/>
      <c r="K2927" s="132"/>
      <c r="L2927" s="133"/>
    </row>
    <row r="2928" spans="1:14" x14ac:dyDescent="0.2">
      <c r="A2928" s="145"/>
      <c r="B2928" s="146"/>
      <c r="C2928" s="147"/>
      <c r="D2928" s="147"/>
      <c r="E2928" s="147"/>
      <c r="F2928" s="147"/>
      <c r="G2928" s="147"/>
      <c r="H2928" s="147"/>
      <c r="I2928" s="147"/>
      <c r="J2928" s="148"/>
      <c r="K2928" s="132"/>
      <c r="L2928" s="133"/>
    </row>
    <row r="2929" spans="1:12" x14ac:dyDescent="0.2">
      <c r="A2929" s="145"/>
      <c r="B2929" s="146"/>
      <c r="C2929" s="147"/>
      <c r="D2929" s="147"/>
      <c r="E2929" s="147"/>
      <c r="F2929" s="147"/>
      <c r="G2929" s="147"/>
      <c r="H2929" s="147"/>
      <c r="I2929" s="147"/>
      <c r="J2929" s="148"/>
      <c r="K2929" s="132"/>
      <c r="L2929" s="133"/>
    </row>
    <row r="2930" spans="1:12" x14ac:dyDescent="0.2">
      <c r="A2930" s="145"/>
      <c r="B2930" s="146"/>
      <c r="C2930" s="147"/>
      <c r="D2930" s="147"/>
      <c r="E2930" s="147"/>
      <c r="F2930" s="147"/>
      <c r="G2930" s="147"/>
      <c r="H2930" s="147"/>
      <c r="I2930" s="147"/>
      <c r="J2930" s="148"/>
      <c r="K2930" s="132"/>
      <c r="L2930" s="133"/>
    </row>
    <row r="2931" spans="1:12" x14ac:dyDescent="0.2">
      <c r="A2931" s="145"/>
      <c r="B2931" s="146"/>
      <c r="C2931" s="147"/>
      <c r="D2931" s="147"/>
      <c r="E2931" s="147"/>
      <c r="F2931" s="147"/>
      <c r="G2931" s="147"/>
      <c r="H2931" s="147"/>
      <c r="I2931" s="147"/>
      <c r="J2931" s="148"/>
      <c r="K2931" s="132"/>
      <c r="L2931" s="133"/>
    </row>
    <row r="2932" spans="1:12" x14ac:dyDescent="0.2">
      <c r="A2932" s="145"/>
      <c r="B2932" s="146"/>
      <c r="C2932" s="147"/>
      <c r="D2932" s="147"/>
      <c r="E2932" s="147"/>
      <c r="F2932" s="147"/>
      <c r="G2932" s="147"/>
      <c r="H2932" s="147"/>
      <c r="I2932" s="147"/>
      <c r="J2932" s="148"/>
      <c r="K2932" s="132"/>
      <c r="L2932" s="133"/>
    </row>
    <row r="2933" spans="1:12" x14ac:dyDescent="0.2">
      <c r="A2933" s="145"/>
      <c r="B2933" s="146"/>
      <c r="C2933" s="147"/>
      <c r="D2933" s="147"/>
      <c r="E2933" s="147"/>
      <c r="F2933" s="147"/>
      <c r="G2933" s="147"/>
      <c r="H2933" s="147"/>
      <c r="I2933" s="147"/>
      <c r="J2933" s="148"/>
      <c r="K2933" s="132"/>
      <c r="L2933" s="133"/>
    </row>
    <row r="2934" spans="1:12" x14ac:dyDescent="0.2">
      <c r="A2934" s="145"/>
      <c r="B2934" s="146"/>
      <c r="C2934" s="147"/>
      <c r="D2934" s="147"/>
      <c r="E2934" s="147"/>
      <c r="F2934" s="147"/>
      <c r="G2934" s="147"/>
      <c r="H2934" s="147"/>
      <c r="I2934" s="147"/>
      <c r="J2934" s="148"/>
      <c r="K2934" s="132"/>
      <c r="L2934" s="133"/>
    </row>
    <row r="2935" spans="1:12" x14ac:dyDescent="0.2">
      <c r="A2935" s="145"/>
      <c r="B2935" s="146"/>
      <c r="C2935" s="147"/>
      <c r="D2935" s="147"/>
      <c r="E2935" s="147"/>
      <c r="F2935" s="147"/>
      <c r="G2935" s="147"/>
      <c r="H2935" s="147"/>
      <c r="I2935" s="147"/>
      <c r="J2935" s="148"/>
      <c r="K2935" s="132"/>
      <c r="L2935" s="133"/>
    </row>
    <row r="2936" spans="1:12" ht="13.5" thickBot="1" x14ac:dyDescent="0.25">
      <c r="A2936" s="149"/>
      <c r="B2936" s="150"/>
      <c r="C2936" s="151"/>
      <c r="D2936" s="151"/>
      <c r="E2936" s="151"/>
      <c r="F2936" s="151"/>
      <c r="G2936" s="151"/>
      <c r="H2936" s="151"/>
      <c r="I2936" s="151"/>
      <c r="J2936" s="152"/>
      <c r="K2936" s="132"/>
      <c r="L2936" s="133"/>
    </row>
    <row r="2937" spans="1:12" ht="13.5" thickBot="1" x14ac:dyDescent="0.25">
      <c r="A2937" s="153"/>
      <c r="B2937" s="153"/>
      <c r="C2937" s="154"/>
      <c r="D2937" s="154"/>
      <c r="E2937" s="154"/>
      <c r="F2937" s="154"/>
      <c r="G2937" s="154"/>
      <c r="H2937" s="154"/>
      <c r="I2937" s="154"/>
      <c r="J2937" s="153"/>
      <c r="K2937" s="132"/>
      <c r="L2937" s="133"/>
    </row>
    <row r="2938" spans="1:12" ht="13.5" thickBot="1" x14ac:dyDescent="0.25">
      <c r="A2938" s="614" t="s">
        <v>62</v>
      </c>
      <c r="B2938" s="648"/>
      <c r="C2938" s="648"/>
      <c r="D2938" s="648"/>
      <c r="E2938" s="648"/>
      <c r="F2938" s="648"/>
      <c r="G2938" s="648"/>
      <c r="H2938" s="648"/>
      <c r="I2938" s="648"/>
      <c r="J2938" s="649"/>
      <c r="K2938" s="132"/>
      <c r="L2938" s="133"/>
    </row>
    <row r="2939" spans="1:12" x14ac:dyDescent="0.2">
      <c r="A2939" s="136"/>
      <c r="B2939" s="155"/>
      <c r="C2939" s="156"/>
      <c r="D2939" s="156"/>
      <c r="E2939" s="156"/>
      <c r="F2939" s="156"/>
      <c r="G2939" s="156"/>
      <c r="H2939" s="156"/>
      <c r="I2939" s="156"/>
      <c r="J2939" s="157"/>
      <c r="K2939" s="132"/>
      <c r="L2939" s="133"/>
    </row>
    <row r="2940" spans="1:12" ht="12.75" customHeight="1" x14ac:dyDescent="0.2">
      <c r="A2940" s="158" t="s">
        <v>63</v>
      </c>
      <c r="B2940" s="55"/>
      <c r="C2940" s="596" t="s">
        <v>134</v>
      </c>
      <c r="D2940" s="596"/>
      <c r="E2940" s="596"/>
      <c r="F2940" s="596"/>
      <c r="G2940" s="596"/>
      <c r="H2940" s="596"/>
      <c r="I2940" s="596"/>
      <c r="J2940" s="597"/>
      <c r="K2940" s="132"/>
      <c r="L2940" s="133"/>
    </row>
    <row r="2941" spans="1:12" x14ac:dyDescent="0.2">
      <c r="A2941" s="158"/>
      <c r="B2941" s="55"/>
      <c r="C2941" s="596"/>
      <c r="D2941" s="596"/>
      <c r="E2941" s="596"/>
      <c r="F2941" s="596"/>
      <c r="G2941" s="596"/>
      <c r="H2941" s="596"/>
      <c r="I2941" s="596"/>
      <c r="J2941" s="597"/>
      <c r="K2941" s="132"/>
      <c r="L2941" s="133"/>
    </row>
    <row r="2942" spans="1:12" x14ac:dyDescent="0.2">
      <c r="A2942" s="158"/>
      <c r="B2942" s="55"/>
      <c r="C2942" s="178"/>
      <c r="D2942" s="178"/>
      <c r="E2942" s="178"/>
      <c r="F2942" s="178"/>
      <c r="G2942" s="178"/>
      <c r="H2942" s="178"/>
      <c r="I2942" s="178"/>
      <c r="J2942" s="179"/>
      <c r="K2942" s="132"/>
      <c r="L2942" s="133"/>
    </row>
    <row r="2943" spans="1:12" ht="12.75" customHeight="1" x14ac:dyDescent="0.2">
      <c r="A2943" s="671" t="s">
        <v>64</v>
      </c>
      <c r="B2943" s="672"/>
      <c r="C2943" s="596" t="s">
        <v>595</v>
      </c>
      <c r="D2943" s="596"/>
      <c r="E2943" s="596"/>
      <c r="F2943" s="596"/>
      <c r="G2943" s="596"/>
      <c r="H2943" s="596"/>
      <c r="I2943" s="596"/>
      <c r="J2943" s="597"/>
      <c r="K2943" s="132"/>
      <c r="L2943" s="133"/>
    </row>
    <row r="2944" spans="1:12" x14ac:dyDescent="0.2">
      <c r="A2944" s="158"/>
      <c r="B2944" s="55"/>
      <c r="C2944" s="596"/>
      <c r="D2944" s="596"/>
      <c r="E2944" s="596"/>
      <c r="F2944" s="596"/>
      <c r="G2944" s="596"/>
      <c r="H2944" s="596"/>
      <c r="I2944" s="596"/>
      <c r="J2944" s="597"/>
      <c r="K2944" s="132"/>
      <c r="L2944" s="133"/>
    </row>
    <row r="2945" spans="1:12" x14ac:dyDescent="0.2">
      <c r="A2945" s="158"/>
      <c r="B2945" s="55"/>
      <c r="C2945" s="180"/>
      <c r="D2945" s="180"/>
      <c r="E2945" s="180"/>
      <c r="F2945" s="180"/>
      <c r="G2945" s="180"/>
      <c r="H2945" s="180"/>
      <c r="I2945" s="180"/>
      <c r="J2945" s="181"/>
      <c r="K2945" s="132"/>
      <c r="L2945" s="133"/>
    </row>
    <row r="2946" spans="1:12" x14ac:dyDescent="0.2">
      <c r="A2946" s="158"/>
      <c r="B2946" s="55"/>
      <c r="C2946" s="71"/>
      <c r="D2946" s="71"/>
      <c r="E2946" s="71"/>
      <c r="F2946" s="71"/>
      <c r="G2946" s="71"/>
      <c r="H2946" s="71"/>
      <c r="I2946" s="71"/>
      <c r="J2946" s="174"/>
      <c r="K2946" s="132"/>
      <c r="L2946" s="133"/>
    </row>
    <row r="2947" spans="1:12" x14ac:dyDescent="0.2">
      <c r="A2947" s="158"/>
      <c r="B2947" s="55"/>
      <c r="C2947" s="71"/>
      <c r="D2947" s="71"/>
      <c r="E2947" s="71"/>
      <c r="F2947" s="71"/>
      <c r="G2947" s="71"/>
      <c r="H2947" s="71"/>
      <c r="I2947" s="71"/>
      <c r="J2947" s="174"/>
      <c r="K2947" s="132"/>
      <c r="L2947" s="133"/>
    </row>
    <row r="2948" spans="1:12" x14ac:dyDescent="0.2">
      <c r="A2948" s="158"/>
      <c r="B2948" s="55"/>
      <c r="C2948" s="71"/>
      <c r="D2948" s="71"/>
      <c r="E2948" s="71"/>
      <c r="F2948" s="71"/>
      <c r="G2948" s="71"/>
      <c r="H2948" s="71"/>
      <c r="I2948" s="71"/>
      <c r="J2948" s="174"/>
      <c r="K2948" s="132"/>
      <c r="L2948" s="133"/>
    </row>
    <row r="2949" spans="1:12" x14ac:dyDescent="0.2">
      <c r="A2949" s="158"/>
      <c r="B2949" s="55"/>
      <c r="C2949" s="71"/>
      <c r="D2949" s="71"/>
      <c r="E2949" s="71"/>
      <c r="F2949" s="71"/>
      <c r="G2949" s="71"/>
      <c r="H2949" s="71"/>
      <c r="I2949" s="71"/>
      <c r="J2949" s="174"/>
      <c r="K2949" s="132"/>
      <c r="L2949" s="133"/>
    </row>
    <row r="2950" spans="1:12" x14ac:dyDescent="0.2">
      <c r="A2950" s="158"/>
      <c r="B2950" s="55"/>
      <c r="C2950" s="71"/>
      <c r="D2950" s="71"/>
      <c r="E2950" s="71"/>
      <c r="F2950" s="71"/>
      <c r="G2950" s="71"/>
      <c r="H2950" s="71"/>
      <c r="I2950" s="71"/>
      <c r="J2950" s="174"/>
      <c r="K2950" s="132"/>
      <c r="L2950" s="133"/>
    </row>
    <row r="2951" spans="1:12" x14ac:dyDescent="0.2">
      <c r="A2951" s="158"/>
      <c r="B2951" s="55"/>
      <c r="C2951" s="71"/>
      <c r="D2951" s="71"/>
      <c r="E2951" s="71"/>
      <c r="F2951" s="71"/>
      <c r="G2951" s="71"/>
      <c r="H2951" s="71"/>
      <c r="I2951" s="71"/>
      <c r="J2951" s="174"/>
      <c r="K2951" s="132"/>
      <c r="L2951" s="133"/>
    </row>
    <row r="2952" spans="1:12" x14ac:dyDescent="0.2">
      <c r="A2952" s="158"/>
      <c r="B2952" s="55"/>
      <c r="C2952" s="71"/>
      <c r="D2952" s="71"/>
      <c r="E2952" s="71"/>
      <c r="F2952" s="71"/>
      <c r="G2952" s="71"/>
      <c r="H2952" s="71"/>
      <c r="I2952" s="71"/>
      <c r="J2952" s="174"/>
      <c r="K2952" s="132"/>
      <c r="L2952" s="133"/>
    </row>
    <row r="2953" spans="1:12" x14ac:dyDescent="0.2">
      <c r="A2953" s="158"/>
      <c r="B2953" s="55"/>
      <c r="C2953" s="71"/>
      <c r="D2953" s="71"/>
      <c r="E2953" s="71"/>
      <c r="F2953" s="71"/>
      <c r="G2953" s="71"/>
      <c r="H2953" s="71"/>
      <c r="I2953" s="71"/>
      <c r="J2953" s="174"/>
      <c r="K2953" s="132"/>
      <c r="L2953" s="133"/>
    </row>
    <row r="2954" spans="1:12" x14ac:dyDescent="0.2">
      <c r="A2954" s="158"/>
      <c r="B2954" s="55"/>
      <c r="C2954" s="71"/>
      <c r="D2954" s="71"/>
      <c r="E2954" s="71"/>
      <c r="F2954" s="71"/>
      <c r="G2954" s="71"/>
      <c r="H2954" s="71"/>
      <c r="I2954" s="71"/>
      <c r="J2954" s="174"/>
      <c r="K2954" s="132"/>
      <c r="L2954" s="133"/>
    </row>
    <row r="2955" spans="1:12" x14ac:dyDescent="0.2">
      <c r="A2955" s="158"/>
      <c r="B2955" s="55"/>
      <c r="C2955" s="71"/>
      <c r="D2955" s="71"/>
      <c r="E2955" s="71"/>
      <c r="F2955" s="71"/>
      <c r="G2955" s="71"/>
      <c r="H2955" s="71"/>
      <c r="I2955" s="71"/>
      <c r="J2955" s="174"/>
      <c r="K2955" s="132"/>
      <c r="L2955" s="133"/>
    </row>
    <row r="2956" spans="1:12" x14ac:dyDescent="0.2">
      <c r="A2956" s="158"/>
      <c r="B2956" s="55"/>
      <c r="C2956" s="175"/>
      <c r="D2956" s="175"/>
      <c r="E2956" s="172"/>
      <c r="F2956" s="172"/>
      <c r="G2956" s="172"/>
      <c r="H2956" s="172"/>
      <c r="I2956" s="172"/>
      <c r="J2956" s="173"/>
      <c r="K2956" s="132"/>
      <c r="L2956" s="133"/>
    </row>
    <row r="2957" spans="1:12" x14ac:dyDescent="0.2">
      <c r="A2957" s="158"/>
      <c r="B2957" s="55"/>
      <c r="C2957" s="175"/>
      <c r="D2957" s="175"/>
      <c r="E2957" s="172"/>
      <c r="F2957" s="172"/>
      <c r="G2957" s="172"/>
      <c r="H2957" s="172"/>
      <c r="I2957" s="172"/>
      <c r="J2957" s="173"/>
      <c r="K2957" s="132"/>
      <c r="L2957" s="133"/>
    </row>
    <row r="2958" spans="1:12" x14ac:dyDescent="0.2">
      <c r="A2958" s="158"/>
      <c r="B2958" s="55"/>
      <c r="C2958" s="175"/>
      <c r="D2958" s="175"/>
      <c r="E2958" s="172"/>
      <c r="F2958" s="172"/>
      <c r="G2958" s="172"/>
      <c r="H2958" s="172"/>
      <c r="I2958" s="172"/>
      <c r="J2958" s="173"/>
      <c r="K2958" s="132"/>
      <c r="L2958" s="133"/>
    </row>
    <row r="2959" spans="1:12" x14ac:dyDescent="0.2">
      <c r="A2959" s="158"/>
      <c r="B2959" s="55"/>
      <c r="C2959" s="175"/>
      <c r="D2959" s="175"/>
      <c r="E2959" s="175"/>
      <c r="F2959" s="175"/>
      <c r="G2959" s="175"/>
      <c r="H2959" s="175"/>
      <c r="I2959" s="175"/>
      <c r="J2959" s="176"/>
      <c r="K2959" s="132"/>
      <c r="L2959" s="133"/>
    </row>
    <row r="2960" spans="1:12" x14ac:dyDescent="0.2">
      <c r="A2960" s="158"/>
      <c r="B2960" s="55"/>
      <c r="C2960" s="175"/>
      <c r="D2960" s="175"/>
      <c r="E2960" s="175"/>
      <c r="F2960" s="175"/>
      <c r="G2960" s="175"/>
      <c r="H2960" s="175"/>
      <c r="I2960" s="175"/>
      <c r="J2960" s="176"/>
      <c r="K2960" s="132"/>
      <c r="L2960" s="133"/>
    </row>
    <row r="2961" spans="1:14" ht="13.5" thickBot="1" x14ac:dyDescent="0.25">
      <c r="A2961" s="149"/>
      <c r="B2961" s="167"/>
      <c r="C2961" s="151"/>
      <c r="D2961" s="151"/>
      <c r="E2961" s="151"/>
      <c r="F2961" s="151"/>
      <c r="G2961" s="151"/>
      <c r="H2961" s="151"/>
      <c r="I2961" s="151"/>
      <c r="J2961" s="168"/>
      <c r="K2961" s="132"/>
      <c r="L2961" s="133"/>
    </row>
    <row r="2962" spans="1:14" ht="15.75" x14ac:dyDescent="0.2">
      <c r="A2962" s="602" t="s">
        <v>4</v>
      </c>
      <c r="B2962" s="603"/>
      <c r="C2962" s="603" t="str">
        <f>'A IV.A'!$B$43</f>
        <v>FECHAMENTOS, PROTEÇÕES E ALVENARIAS EM GERAL</v>
      </c>
      <c r="D2962" s="603"/>
      <c r="E2962" s="603"/>
      <c r="F2962" s="603"/>
      <c r="G2962" s="603"/>
      <c r="H2962" s="603"/>
      <c r="I2962" s="603"/>
      <c r="J2962" s="604"/>
      <c r="K2962" s="132"/>
      <c r="L2962" s="133"/>
    </row>
    <row r="2963" spans="1:14" x14ac:dyDescent="0.2">
      <c r="A2963" s="609" t="str">
        <f>'A IV.A'!$A$43</f>
        <v>3.0</v>
      </c>
      <c r="B2963" s="610"/>
      <c r="C2963" s="605"/>
      <c r="D2963" s="605"/>
      <c r="E2963" s="605"/>
      <c r="F2963" s="605"/>
      <c r="G2963" s="605"/>
      <c r="H2963" s="605"/>
      <c r="I2963" s="605"/>
      <c r="J2963" s="606"/>
      <c r="K2963" s="132"/>
      <c r="L2963" s="133"/>
    </row>
    <row r="2964" spans="1:14" ht="13.5" thickBot="1" x14ac:dyDescent="0.25">
      <c r="A2964" s="611"/>
      <c r="B2964" s="612"/>
      <c r="C2964" s="607"/>
      <c r="D2964" s="607"/>
      <c r="E2964" s="607"/>
      <c r="F2964" s="607"/>
      <c r="G2964" s="607"/>
      <c r="H2964" s="607"/>
      <c r="I2964" s="607"/>
      <c r="J2964" s="608"/>
      <c r="K2964" s="132"/>
      <c r="L2964" s="133"/>
    </row>
    <row r="2965" spans="1:14" ht="13.5" thickBot="1" x14ac:dyDescent="0.25">
      <c r="A2965" s="169"/>
      <c r="B2965" s="169"/>
      <c r="C2965" s="613"/>
      <c r="D2965" s="613"/>
      <c r="E2965" s="613"/>
      <c r="F2965" s="613"/>
      <c r="G2965" s="613"/>
      <c r="H2965" s="613"/>
      <c r="I2965" s="613"/>
      <c r="J2965" s="169"/>
      <c r="K2965" s="132"/>
      <c r="L2965" s="133"/>
    </row>
    <row r="2966" spans="1:14" ht="13.5" thickBot="1" x14ac:dyDescent="0.25">
      <c r="A2966" s="632" t="s">
        <v>60</v>
      </c>
      <c r="B2966" s="633"/>
      <c r="C2966" s="656" t="s">
        <v>61</v>
      </c>
      <c r="D2966" s="656"/>
      <c r="E2966" s="656"/>
      <c r="F2966" s="656"/>
      <c r="G2966" s="656"/>
      <c r="H2966" s="656"/>
      <c r="I2966" s="656"/>
      <c r="J2966" s="260" t="s">
        <v>0</v>
      </c>
      <c r="K2966" s="132"/>
      <c r="L2966" s="133"/>
    </row>
    <row r="2967" spans="1:14" x14ac:dyDescent="0.2">
      <c r="A2967" s="136"/>
      <c r="B2967" s="137"/>
      <c r="C2967" s="619"/>
      <c r="D2967" s="620"/>
      <c r="E2967" s="621"/>
      <c r="F2967" s="621"/>
      <c r="G2967" s="621"/>
      <c r="H2967" s="621"/>
      <c r="I2967" s="622"/>
      <c r="J2967" s="138"/>
      <c r="K2967" s="132"/>
      <c r="L2967" s="133"/>
    </row>
    <row r="2968" spans="1:14" x14ac:dyDescent="0.2">
      <c r="A2968" s="623" t="str">
        <f>'A IV.A'!$A$94</f>
        <v>3.8.3</v>
      </c>
      <c r="B2968" s="624"/>
      <c r="C2968" s="626" t="str">
        <f>'A IV.A'!$B$94</f>
        <v xml:space="preserve">RECUPERAÇÃO E REGULARIZAÇÃO DO REVESTIMENTO EM EMBOÇO/MASSA ÚNICA/REBOCO </v>
      </c>
      <c r="D2968" s="627"/>
      <c r="E2968" s="627"/>
      <c r="F2968" s="627"/>
      <c r="G2968" s="627"/>
      <c r="H2968" s="627"/>
      <c r="I2968" s="628"/>
      <c r="J2968" s="629" t="str">
        <f>'A IV.A'!$C$94</f>
        <v>M2</v>
      </c>
      <c r="K2968" s="630" t="str">
        <f>VLOOKUP(A2968,'A IV.A'!$A$14:$M$233,2,FALSE)</f>
        <v xml:space="preserve">RECUPERAÇÃO E REGULARIZAÇÃO DO REVESTIMENTO EM EMBOÇO/MASSA ÚNICA/REBOCO </v>
      </c>
      <c r="L2968" s="631" t="str">
        <f>IF(C2968=K2968,"sim","nao")</f>
        <v>sim</v>
      </c>
      <c r="M2968" s="631" t="str">
        <f>VLOOKUP(A2968,'A IV.A'!$A$14:$M$233,3,FALSE)</f>
        <v>M2</v>
      </c>
      <c r="N2968" s="631" t="str">
        <f>IF(J2968=M2968,"sim","nao")</f>
        <v>sim</v>
      </c>
    </row>
    <row r="2969" spans="1:14" x14ac:dyDescent="0.2">
      <c r="A2969" s="625"/>
      <c r="B2969" s="624"/>
      <c r="C2969" s="626"/>
      <c r="D2969" s="627"/>
      <c r="E2969" s="627"/>
      <c r="F2969" s="627"/>
      <c r="G2969" s="627"/>
      <c r="H2969" s="627"/>
      <c r="I2969" s="628"/>
      <c r="J2969" s="629"/>
      <c r="K2969" s="630"/>
      <c r="L2969" s="631"/>
      <c r="M2969" s="631"/>
      <c r="N2969" s="631"/>
    </row>
    <row r="2970" spans="1:14" x14ac:dyDescent="0.2">
      <c r="A2970" s="139"/>
      <c r="B2970" s="140"/>
      <c r="C2970" s="141"/>
      <c r="D2970" s="142"/>
      <c r="E2970" s="142"/>
      <c r="F2970" s="142"/>
      <c r="G2970" s="142"/>
      <c r="H2970" s="142"/>
      <c r="I2970" s="143"/>
      <c r="J2970" s="144"/>
      <c r="K2970" s="132"/>
      <c r="L2970" s="133"/>
    </row>
    <row r="2971" spans="1:14" x14ac:dyDescent="0.2">
      <c r="A2971" s="158"/>
      <c r="B2971" s="188"/>
      <c r="C2971" s="189"/>
      <c r="D2971" s="165"/>
      <c r="E2971" s="165"/>
      <c r="F2971" s="165"/>
      <c r="G2971" s="165"/>
      <c r="H2971" s="165"/>
      <c r="I2971" s="190"/>
      <c r="J2971" s="191"/>
      <c r="K2971" s="192"/>
      <c r="L2971" s="55"/>
      <c r="M2971" s="55"/>
      <c r="N2971" s="55"/>
    </row>
    <row r="2972" spans="1:14" x14ac:dyDescent="0.2">
      <c r="A2972" s="158"/>
      <c r="B2972" s="188"/>
      <c r="C2972" s="189"/>
      <c r="D2972" s="165"/>
      <c r="E2972" s="165"/>
      <c r="F2972" s="165"/>
      <c r="G2972" s="165"/>
      <c r="H2972" s="165"/>
      <c r="I2972" s="190"/>
      <c r="J2972" s="191"/>
      <c r="K2972" s="192"/>
      <c r="L2972" s="55"/>
      <c r="M2972" s="55"/>
      <c r="N2972" s="55"/>
    </row>
    <row r="2973" spans="1:14" x14ac:dyDescent="0.2">
      <c r="A2973" s="145"/>
      <c r="B2973" s="146"/>
      <c r="C2973" s="147"/>
      <c r="D2973" s="147"/>
      <c r="E2973" s="147"/>
      <c r="F2973" s="147"/>
      <c r="G2973" s="147"/>
      <c r="H2973" s="147"/>
      <c r="I2973" s="147"/>
      <c r="J2973" s="148"/>
      <c r="K2973" s="132"/>
      <c r="L2973" s="133"/>
    </row>
    <row r="2974" spans="1:14" x14ac:dyDescent="0.2">
      <c r="A2974" s="158"/>
      <c r="B2974" s="188"/>
      <c r="C2974" s="189"/>
      <c r="D2974" s="165"/>
      <c r="E2974" s="165"/>
      <c r="F2974" s="165"/>
      <c r="G2974" s="165"/>
      <c r="H2974" s="165"/>
      <c r="I2974" s="190"/>
      <c r="J2974" s="191"/>
      <c r="K2974" s="630"/>
      <c r="L2974" s="631"/>
      <c r="M2974" s="631"/>
      <c r="N2974" s="631"/>
    </row>
    <row r="2975" spans="1:14" x14ac:dyDescent="0.2">
      <c r="A2975" s="158"/>
      <c r="B2975" s="188"/>
      <c r="C2975" s="189"/>
      <c r="D2975" s="165"/>
      <c r="E2975" s="165"/>
      <c r="F2975" s="165"/>
      <c r="G2975" s="165"/>
      <c r="H2975" s="165"/>
      <c r="I2975" s="190"/>
      <c r="J2975" s="191"/>
      <c r="K2975" s="630"/>
      <c r="L2975" s="631"/>
      <c r="M2975" s="631"/>
      <c r="N2975" s="631"/>
    </row>
    <row r="2976" spans="1:14" x14ac:dyDescent="0.2">
      <c r="A2976" s="145"/>
      <c r="B2976" s="146"/>
      <c r="C2976" s="147"/>
      <c r="D2976" s="147"/>
      <c r="E2976" s="147"/>
      <c r="F2976" s="147"/>
      <c r="G2976" s="147"/>
      <c r="H2976" s="147"/>
      <c r="I2976" s="147"/>
      <c r="J2976" s="148"/>
      <c r="K2976" s="132"/>
      <c r="L2976" s="133"/>
    </row>
    <row r="2977" spans="1:12" x14ac:dyDescent="0.2">
      <c r="A2977" s="145"/>
      <c r="B2977" s="146"/>
      <c r="C2977" s="147"/>
      <c r="D2977" s="147"/>
      <c r="E2977" s="147"/>
      <c r="F2977" s="147"/>
      <c r="G2977" s="147"/>
      <c r="H2977" s="147"/>
      <c r="I2977" s="147"/>
      <c r="J2977" s="148"/>
      <c r="K2977" s="132"/>
      <c r="L2977" s="133"/>
    </row>
    <row r="2978" spans="1:12" x14ac:dyDescent="0.2">
      <c r="A2978" s="145"/>
      <c r="B2978" s="146"/>
      <c r="C2978" s="147"/>
      <c r="D2978" s="147"/>
      <c r="E2978" s="147"/>
      <c r="F2978" s="147"/>
      <c r="G2978" s="147"/>
      <c r="H2978" s="147"/>
      <c r="I2978" s="147"/>
      <c r="J2978" s="148"/>
      <c r="K2978" s="132"/>
      <c r="L2978" s="133"/>
    </row>
    <row r="2979" spans="1:12" x14ac:dyDescent="0.2">
      <c r="A2979" s="145"/>
      <c r="B2979" s="146"/>
      <c r="C2979" s="147"/>
      <c r="D2979" s="147"/>
      <c r="E2979" s="147"/>
      <c r="F2979" s="147"/>
      <c r="G2979" s="147"/>
      <c r="H2979" s="147"/>
      <c r="I2979" s="147"/>
      <c r="J2979" s="148"/>
      <c r="K2979" s="132"/>
      <c r="L2979" s="133"/>
    </row>
    <row r="2980" spans="1:12" x14ac:dyDescent="0.2">
      <c r="A2980" s="145"/>
      <c r="B2980" s="146"/>
      <c r="C2980" s="147"/>
      <c r="D2980" s="147"/>
      <c r="E2980" s="147"/>
      <c r="F2980" s="147"/>
      <c r="G2980" s="147"/>
      <c r="H2980" s="147"/>
      <c r="I2980" s="147"/>
      <c r="J2980" s="148"/>
      <c r="K2980" s="132"/>
      <c r="L2980" s="133"/>
    </row>
    <row r="2981" spans="1:12" x14ac:dyDescent="0.2">
      <c r="A2981" s="145"/>
      <c r="B2981" s="146"/>
      <c r="C2981" s="147"/>
      <c r="D2981" s="147"/>
      <c r="E2981" s="147"/>
      <c r="F2981" s="147"/>
      <c r="G2981" s="147"/>
      <c r="H2981" s="147"/>
      <c r="I2981" s="147"/>
      <c r="J2981" s="148"/>
      <c r="K2981" s="132"/>
      <c r="L2981" s="133"/>
    </row>
    <row r="2982" spans="1:12" x14ac:dyDescent="0.2">
      <c r="A2982" s="145"/>
      <c r="B2982" s="146"/>
      <c r="C2982" s="147"/>
      <c r="D2982" s="147"/>
      <c r="E2982" s="147"/>
      <c r="F2982" s="147"/>
      <c r="G2982" s="147"/>
      <c r="H2982" s="147"/>
      <c r="I2982" s="147"/>
      <c r="J2982" s="148"/>
      <c r="K2982" s="132"/>
      <c r="L2982" s="133"/>
    </row>
    <row r="2983" spans="1:12" x14ac:dyDescent="0.2">
      <c r="A2983" s="145"/>
      <c r="B2983" s="146"/>
      <c r="C2983" s="147"/>
      <c r="D2983" s="147"/>
      <c r="E2983" s="147"/>
      <c r="F2983" s="147"/>
      <c r="G2983" s="147"/>
      <c r="H2983" s="147"/>
      <c r="I2983" s="147"/>
      <c r="J2983" s="148"/>
      <c r="K2983" s="132"/>
      <c r="L2983" s="133"/>
    </row>
    <row r="2984" spans="1:12" x14ac:dyDescent="0.2">
      <c r="A2984" s="145"/>
      <c r="B2984" s="146"/>
      <c r="C2984" s="147"/>
      <c r="D2984" s="147"/>
      <c r="E2984" s="147"/>
      <c r="F2984" s="147"/>
      <c r="G2984" s="147"/>
      <c r="H2984" s="147"/>
      <c r="I2984" s="147"/>
      <c r="J2984" s="148"/>
      <c r="K2984" s="132"/>
      <c r="L2984" s="133"/>
    </row>
    <row r="2985" spans="1:12" x14ac:dyDescent="0.2">
      <c r="A2985" s="145"/>
      <c r="B2985" s="146"/>
      <c r="C2985" s="147"/>
      <c r="D2985" s="147"/>
      <c r="E2985" s="147"/>
      <c r="F2985" s="147"/>
      <c r="G2985" s="147"/>
      <c r="H2985" s="147"/>
      <c r="I2985" s="147"/>
      <c r="J2985" s="148"/>
      <c r="K2985" s="132"/>
      <c r="L2985" s="133"/>
    </row>
    <row r="2986" spans="1:12" x14ac:dyDescent="0.2">
      <c r="A2986" s="145"/>
      <c r="B2986" s="146"/>
      <c r="C2986" s="147"/>
      <c r="D2986" s="147"/>
      <c r="E2986" s="147"/>
      <c r="F2986" s="147"/>
      <c r="G2986" s="147"/>
      <c r="H2986" s="147"/>
      <c r="I2986" s="147"/>
      <c r="J2986" s="148"/>
      <c r="K2986" s="132"/>
      <c r="L2986" s="133"/>
    </row>
    <row r="2987" spans="1:12" x14ac:dyDescent="0.2">
      <c r="A2987" s="145"/>
      <c r="B2987" s="146"/>
      <c r="C2987" s="147"/>
      <c r="D2987" s="147"/>
      <c r="E2987" s="147"/>
      <c r="F2987" s="147"/>
      <c r="G2987" s="147"/>
      <c r="H2987" s="147"/>
      <c r="I2987" s="147"/>
      <c r="J2987" s="148"/>
      <c r="K2987" s="132"/>
      <c r="L2987" s="133"/>
    </row>
    <row r="2988" spans="1:12" x14ac:dyDescent="0.2">
      <c r="A2988" s="145"/>
      <c r="B2988" s="146"/>
      <c r="C2988" s="147"/>
      <c r="D2988" s="147"/>
      <c r="E2988" s="147"/>
      <c r="F2988" s="147"/>
      <c r="G2988" s="147"/>
      <c r="H2988" s="147"/>
      <c r="I2988" s="147"/>
      <c r="J2988" s="148"/>
      <c r="K2988" s="132"/>
      <c r="L2988" s="133"/>
    </row>
    <row r="2989" spans="1:12" ht="13.5" thickBot="1" x14ac:dyDescent="0.25">
      <c r="A2989" s="149"/>
      <c r="B2989" s="150"/>
      <c r="C2989" s="151"/>
      <c r="D2989" s="151"/>
      <c r="E2989" s="151"/>
      <c r="F2989" s="151"/>
      <c r="G2989" s="151"/>
      <c r="H2989" s="151"/>
      <c r="I2989" s="151"/>
      <c r="J2989" s="152"/>
      <c r="K2989" s="132"/>
      <c r="L2989" s="133"/>
    </row>
    <row r="2990" spans="1:12" ht="13.5" thickBot="1" x14ac:dyDescent="0.25">
      <c r="A2990" s="153"/>
      <c r="B2990" s="153"/>
      <c r="C2990" s="154"/>
      <c r="D2990" s="154"/>
      <c r="E2990" s="154"/>
      <c r="F2990" s="154"/>
      <c r="G2990" s="154"/>
      <c r="H2990" s="154"/>
      <c r="I2990" s="154"/>
      <c r="J2990" s="153"/>
      <c r="K2990" s="132"/>
      <c r="L2990" s="133"/>
    </row>
    <row r="2991" spans="1:12" ht="13.5" thickBot="1" x14ac:dyDescent="0.25">
      <c r="A2991" s="614" t="s">
        <v>62</v>
      </c>
      <c r="B2991" s="648"/>
      <c r="C2991" s="648"/>
      <c r="D2991" s="648"/>
      <c r="E2991" s="648"/>
      <c r="F2991" s="648"/>
      <c r="G2991" s="648"/>
      <c r="H2991" s="648"/>
      <c r="I2991" s="648"/>
      <c r="J2991" s="649"/>
      <c r="K2991" s="132"/>
      <c r="L2991" s="133"/>
    </row>
    <row r="2992" spans="1:12" x14ac:dyDescent="0.2">
      <c r="A2992" s="136"/>
      <c r="B2992" s="155"/>
      <c r="C2992" s="156"/>
      <c r="D2992" s="156"/>
      <c r="E2992" s="156"/>
      <c r="F2992" s="156"/>
      <c r="G2992" s="156"/>
      <c r="H2992" s="156"/>
      <c r="I2992" s="156"/>
      <c r="J2992" s="157"/>
      <c r="K2992" s="132"/>
      <c r="L2992" s="133"/>
    </row>
    <row r="2993" spans="1:12" ht="12.75" customHeight="1" x14ac:dyDescent="0.2">
      <c r="A2993" s="158" t="s">
        <v>63</v>
      </c>
      <c r="B2993" s="55"/>
      <c r="C2993" s="596" t="s">
        <v>53</v>
      </c>
      <c r="D2993" s="596"/>
      <c r="E2993" s="596"/>
      <c r="F2993" s="596"/>
      <c r="G2993" s="596"/>
      <c r="H2993" s="596"/>
      <c r="I2993" s="596"/>
      <c r="J2993" s="597"/>
      <c r="K2993" s="132"/>
      <c r="L2993" s="133"/>
    </row>
    <row r="2994" spans="1:12" x14ac:dyDescent="0.2">
      <c r="A2994" s="158"/>
      <c r="B2994" s="55"/>
      <c r="C2994" s="596"/>
      <c r="D2994" s="596"/>
      <c r="E2994" s="596"/>
      <c r="F2994" s="596"/>
      <c r="G2994" s="596"/>
      <c r="H2994" s="596"/>
      <c r="I2994" s="596"/>
      <c r="J2994" s="597"/>
      <c r="K2994" s="132"/>
      <c r="L2994" s="133"/>
    </row>
    <row r="2995" spans="1:12" x14ac:dyDescent="0.2">
      <c r="A2995" s="158"/>
      <c r="B2995" s="55"/>
      <c r="C2995" s="596"/>
      <c r="D2995" s="596"/>
      <c r="E2995" s="596"/>
      <c r="F2995" s="596"/>
      <c r="G2995" s="596"/>
      <c r="H2995" s="596"/>
      <c r="I2995" s="596"/>
      <c r="J2995" s="597"/>
      <c r="K2995" s="132"/>
      <c r="L2995" s="133"/>
    </row>
    <row r="2996" spans="1:12" x14ac:dyDescent="0.2">
      <c r="A2996" s="158"/>
      <c r="B2996" s="55"/>
      <c r="C2996" s="596"/>
      <c r="D2996" s="596"/>
      <c r="E2996" s="596"/>
      <c r="F2996" s="596"/>
      <c r="G2996" s="596"/>
      <c r="H2996" s="596"/>
      <c r="I2996" s="596"/>
      <c r="J2996" s="597"/>
      <c r="K2996" s="132"/>
      <c r="L2996" s="133"/>
    </row>
    <row r="2997" spans="1:12" x14ac:dyDescent="0.2">
      <c r="A2997" s="158"/>
      <c r="B2997" s="55"/>
      <c r="C2997" s="596"/>
      <c r="D2997" s="596"/>
      <c r="E2997" s="596"/>
      <c r="F2997" s="596"/>
      <c r="G2997" s="596"/>
      <c r="H2997" s="596"/>
      <c r="I2997" s="596"/>
      <c r="J2997" s="597"/>
      <c r="K2997" s="132"/>
      <c r="L2997" s="133"/>
    </row>
    <row r="2998" spans="1:12" x14ac:dyDescent="0.2">
      <c r="A2998" s="158"/>
      <c r="B2998" s="55"/>
      <c r="C2998" s="596"/>
      <c r="D2998" s="596"/>
      <c r="E2998" s="596"/>
      <c r="F2998" s="596"/>
      <c r="G2998" s="596"/>
      <c r="H2998" s="596"/>
      <c r="I2998" s="596"/>
      <c r="J2998" s="597"/>
      <c r="K2998" s="132"/>
      <c r="L2998" s="133"/>
    </row>
    <row r="2999" spans="1:12" x14ac:dyDescent="0.2">
      <c r="A2999" s="158"/>
      <c r="B2999" s="55"/>
      <c r="C2999" s="596"/>
      <c r="D2999" s="596"/>
      <c r="E2999" s="596"/>
      <c r="F2999" s="596"/>
      <c r="G2999" s="596"/>
      <c r="H2999" s="596"/>
      <c r="I2999" s="596"/>
      <c r="J2999" s="597"/>
      <c r="K2999" s="132"/>
      <c r="L2999" s="133"/>
    </row>
    <row r="3000" spans="1:12" ht="12.75" customHeight="1" x14ac:dyDescent="0.2">
      <c r="A3000" s="158"/>
      <c r="B3000" s="55"/>
      <c r="C3000" s="652" t="s">
        <v>596</v>
      </c>
      <c r="D3000" s="652"/>
      <c r="E3000" s="652"/>
      <c r="F3000" s="652"/>
      <c r="G3000" s="652"/>
      <c r="H3000" s="652"/>
      <c r="I3000" s="652"/>
      <c r="J3000" s="653"/>
      <c r="K3000" s="132"/>
      <c r="L3000" s="133"/>
    </row>
    <row r="3001" spans="1:12" x14ac:dyDescent="0.2">
      <c r="C3001" s="652"/>
      <c r="D3001" s="652"/>
      <c r="E3001" s="652"/>
      <c r="F3001" s="652"/>
      <c r="G3001" s="652"/>
      <c r="H3001" s="652"/>
      <c r="I3001" s="652"/>
      <c r="J3001" s="653"/>
      <c r="K3001" s="132"/>
      <c r="L3001" s="133"/>
    </row>
    <row r="3002" spans="1:12" x14ac:dyDescent="0.2">
      <c r="A3002" s="158"/>
      <c r="B3002" s="55"/>
      <c r="C3002" s="652"/>
      <c r="D3002" s="652"/>
      <c r="E3002" s="652"/>
      <c r="F3002" s="652"/>
      <c r="G3002" s="652"/>
      <c r="H3002" s="652"/>
      <c r="I3002" s="652"/>
      <c r="J3002" s="653"/>
      <c r="K3002" s="132"/>
      <c r="L3002" s="133"/>
    </row>
    <row r="3003" spans="1:12" x14ac:dyDescent="0.2">
      <c r="A3003" s="158"/>
      <c r="B3003" s="55"/>
      <c r="C3003" s="652"/>
      <c r="D3003" s="652"/>
      <c r="E3003" s="652"/>
      <c r="F3003" s="652"/>
      <c r="G3003" s="652"/>
      <c r="H3003" s="652"/>
      <c r="I3003" s="652"/>
      <c r="J3003" s="653"/>
      <c r="K3003" s="132"/>
      <c r="L3003" s="133"/>
    </row>
    <row r="3004" spans="1:12" x14ac:dyDescent="0.2">
      <c r="A3004" s="158"/>
      <c r="B3004" s="55"/>
      <c r="C3004" s="71"/>
      <c r="D3004" s="71"/>
      <c r="E3004" s="71"/>
      <c r="F3004" s="71"/>
      <c r="G3004" s="71"/>
      <c r="H3004" s="71"/>
      <c r="I3004" s="71"/>
      <c r="J3004" s="174"/>
      <c r="K3004" s="132"/>
      <c r="L3004" s="133"/>
    </row>
    <row r="3005" spans="1:12" ht="12.75" customHeight="1" x14ac:dyDescent="0.2">
      <c r="A3005" s="598" t="s">
        <v>64</v>
      </c>
      <c r="B3005" s="638"/>
      <c r="C3005" s="596" t="s">
        <v>597</v>
      </c>
      <c r="D3005" s="596"/>
      <c r="E3005" s="596"/>
      <c r="F3005" s="596"/>
      <c r="G3005" s="596"/>
      <c r="H3005" s="596"/>
      <c r="I3005" s="596"/>
      <c r="J3005" s="597"/>
      <c r="K3005" s="132"/>
      <c r="L3005" s="133"/>
    </row>
    <row r="3006" spans="1:12" x14ac:dyDescent="0.2">
      <c r="A3006" s="158"/>
      <c r="B3006" s="55"/>
      <c r="C3006" s="596"/>
      <c r="D3006" s="596"/>
      <c r="E3006" s="596"/>
      <c r="F3006" s="596"/>
      <c r="G3006" s="596"/>
      <c r="H3006" s="596"/>
      <c r="I3006" s="596"/>
      <c r="J3006" s="597"/>
      <c r="K3006" s="132"/>
      <c r="L3006" s="133"/>
    </row>
    <row r="3007" spans="1:12" x14ac:dyDescent="0.2">
      <c r="A3007" s="158"/>
      <c r="B3007" s="55"/>
      <c r="C3007" s="71"/>
      <c r="D3007" s="71"/>
      <c r="E3007" s="71"/>
      <c r="F3007" s="71"/>
      <c r="G3007" s="71"/>
      <c r="H3007" s="71"/>
      <c r="I3007" s="71"/>
      <c r="J3007" s="174"/>
      <c r="K3007" s="132"/>
      <c r="L3007" s="133"/>
    </row>
    <row r="3008" spans="1:12" x14ac:dyDescent="0.2">
      <c r="A3008" s="158"/>
      <c r="B3008" s="55"/>
      <c r="C3008" s="71"/>
      <c r="D3008" s="71"/>
      <c r="E3008" s="71"/>
      <c r="F3008" s="71"/>
      <c r="G3008" s="71"/>
      <c r="H3008" s="71"/>
      <c r="I3008" s="71"/>
      <c r="J3008" s="174"/>
      <c r="K3008" s="132"/>
      <c r="L3008" s="133"/>
    </row>
    <row r="3009" spans="1:14" x14ac:dyDescent="0.2">
      <c r="A3009" s="158"/>
      <c r="B3009" s="55"/>
      <c r="C3009" s="71"/>
      <c r="D3009" s="71"/>
      <c r="E3009" s="71"/>
      <c r="F3009" s="71"/>
      <c r="G3009" s="71"/>
      <c r="H3009" s="71"/>
      <c r="I3009" s="71"/>
      <c r="J3009" s="174"/>
      <c r="K3009" s="132"/>
      <c r="L3009" s="133"/>
    </row>
    <row r="3010" spans="1:14" x14ac:dyDescent="0.2">
      <c r="A3010" s="158"/>
      <c r="B3010" s="55"/>
      <c r="C3010" s="71"/>
      <c r="D3010" s="71"/>
      <c r="E3010" s="71"/>
      <c r="F3010" s="71"/>
      <c r="G3010" s="71"/>
      <c r="H3010" s="71"/>
      <c r="I3010" s="71"/>
      <c r="J3010" s="174"/>
      <c r="K3010" s="132"/>
      <c r="L3010" s="133"/>
    </row>
    <row r="3011" spans="1:14" x14ac:dyDescent="0.2">
      <c r="A3011" s="158"/>
      <c r="B3011" s="55"/>
      <c r="C3011" s="71"/>
      <c r="D3011" s="71"/>
      <c r="E3011" s="71"/>
      <c r="F3011" s="71"/>
      <c r="G3011" s="71"/>
      <c r="H3011" s="71"/>
      <c r="I3011" s="71"/>
      <c r="J3011" s="174"/>
      <c r="K3011" s="132"/>
      <c r="L3011" s="133"/>
    </row>
    <row r="3012" spans="1:14" x14ac:dyDescent="0.2">
      <c r="A3012" s="158"/>
      <c r="B3012" s="55"/>
      <c r="C3012" s="71"/>
      <c r="D3012" s="71"/>
      <c r="E3012" s="71"/>
      <c r="F3012" s="71"/>
      <c r="G3012" s="71"/>
      <c r="H3012" s="71"/>
      <c r="I3012" s="71"/>
      <c r="J3012" s="174"/>
      <c r="K3012" s="132"/>
      <c r="L3012" s="133"/>
    </row>
    <row r="3013" spans="1:14" x14ac:dyDescent="0.2">
      <c r="A3013" s="158"/>
      <c r="B3013" s="55"/>
      <c r="C3013" s="175"/>
      <c r="D3013" s="175"/>
      <c r="E3013" s="172"/>
      <c r="F3013" s="172"/>
      <c r="G3013" s="172"/>
      <c r="H3013" s="172"/>
      <c r="I3013" s="172"/>
      <c r="J3013" s="173"/>
      <c r="K3013" s="132"/>
      <c r="L3013" s="133"/>
    </row>
    <row r="3014" spans="1:14" x14ac:dyDescent="0.2">
      <c r="A3014" s="158"/>
      <c r="B3014" s="55"/>
      <c r="C3014" s="175"/>
      <c r="D3014" s="175"/>
      <c r="E3014" s="172"/>
      <c r="F3014" s="172"/>
      <c r="G3014" s="172"/>
      <c r="H3014" s="172"/>
      <c r="I3014" s="172"/>
      <c r="J3014" s="173"/>
      <c r="K3014" s="132"/>
      <c r="L3014" s="133"/>
    </row>
    <row r="3015" spans="1:14" ht="13.5" thickBot="1" x14ac:dyDescent="0.25">
      <c r="A3015" s="149"/>
      <c r="B3015" s="167"/>
      <c r="C3015" s="151"/>
      <c r="D3015" s="151"/>
      <c r="E3015" s="151"/>
      <c r="F3015" s="151"/>
      <c r="G3015" s="151"/>
      <c r="H3015" s="151"/>
      <c r="I3015" s="151"/>
      <c r="J3015" s="168"/>
      <c r="K3015" s="132"/>
      <c r="L3015" s="133"/>
    </row>
    <row r="3016" spans="1:14" ht="15.75" x14ac:dyDescent="0.2">
      <c r="A3016" s="602" t="s">
        <v>4</v>
      </c>
      <c r="B3016" s="603"/>
      <c r="C3016" s="603" t="str">
        <f>'A IV.A'!$B$43</f>
        <v>FECHAMENTOS, PROTEÇÕES E ALVENARIAS EM GERAL</v>
      </c>
      <c r="D3016" s="603"/>
      <c r="E3016" s="603"/>
      <c r="F3016" s="603"/>
      <c r="G3016" s="603"/>
      <c r="H3016" s="603"/>
      <c r="I3016" s="603"/>
      <c r="J3016" s="604"/>
      <c r="K3016" s="132"/>
      <c r="L3016" s="133"/>
    </row>
    <row r="3017" spans="1:14" x14ac:dyDescent="0.2">
      <c r="A3017" s="609" t="str">
        <f>'A IV.A'!$A$43</f>
        <v>3.0</v>
      </c>
      <c r="B3017" s="610"/>
      <c r="C3017" s="605"/>
      <c r="D3017" s="605"/>
      <c r="E3017" s="605"/>
      <c r="F3017" s="605"/>
      <c r="G3017" s="605"/>
      <c r="H3017" s="605"/>
      <c r="I3017" s="605"/>
      <c r="J3017" s="606"/>
      <c r="K3017" s="132"/>
      <c r="L3017" s="133"/>
    </row>
    <row r="3018" spans="1:14" ht="13.5" thickBot="1" x14ac:dyDescent="0.25">
      <c r="A3018" s="611"/>
      <c r="B3018" s="612"/>
      <c r="C3018" s="607"/>
      <c r="D3018" s="607"/>
      <c r="E3018" s="607"/>
      <c r="F3018" s="607"/>
      <c r="G3018" s="607"/>
      <c r="H3018" s="607"/>
      <c r="I3018" s="607"/>
      <c r="J3018" s="608"/>
      <c r="K3018" s="132"/>
      <c r="L3018" s="133"/>
    </row>
    <row r="3019" spans="1:14" ht="13.5" thickBot="1" x14ac:dyDescent="0.25">
      <c r="A3019" s="169"/>
      <c r="B3019" s="169"/>
      <c r="C3019" s="613"/>
      <c r="D3019" s="613"/>
      <c r="E3019" s="613"/>
      <c r="F3019" s="613"/>
      <c r="G3019" s="613"/>
      <c r="H3019" s="613"/>
      <c r="I3019" s="613"/>
      <c r="J3019" s="169"/>
      <c r="K3019" s="132"/>
      <c r="L3019" s="133"/>
    </row>
    <row r="3020" spans="1:14" ht="13.5" thickBot="1" x14ac:dyDescent="0.25">
      <c r="A3020" s="632" t="s">
        <v>60</v>
      </c>
      <c r="B3020" s="633"/>
      <c r="C3020" s="656" t="s">
        <v>61</v>
      </c>
      <c r="D3020" s="656"/>
      <c r="E3020" s="656"/>
      <c r="F3020" s="656"/>
      <c r="G3020" s="656"/>
      <c r="H3020" s="656"/>
      <c r="I3020" s="656"/>
      <c r="J3020" s="260" t="s">
        <v>0</v>
      </c>
      <c r="K3020" s="132"/>
      <c r="L3020" s="133"/>
    </row>
    <row r="3021" spans="1:14" x14ac:dyDescent="0.2">
      <c r="A3021" s="136"/>
      <c r="B3021" s="137"/>
      <c r="C3021" s="619"/>
      <c r="D3021" s="620"/>
      <c r="E3021" s="621"/>
      <c r="F3021" s="621"/>
      <c r="G3021" s="621"/>
      <c r="H3021" s="621"/>
      <c r="I3021" s="622"/>
      <c r="J3021" s="138"/>
      <c r="K3021" s="132"/>
      <c r="L3021" s="133"/>
    </row>
    <row r="3022" spans="1:14" x14ac:dyDescent="0.2">
      <c r="A3022" s="623" t="str">
        <f>'A IV.A'!$A$96</f>
        <v>3.9.1</v>
      </c>
      <c r="B3022" s="624"/>
      <c r="C3022" s="626" t="str">
        <f>'A IV.A'!$B$96</f>
        <v>AZULEJO CERÂMICO ESMALTADO EXTRA, ASSENTADO COM ARGAMASSA COLANTE, JUNTAS A PRUMO, INCLUSO REJUNTAMENTO</v>
      </c>
      <c r="D3022" s="627"/>
      <c r="E3022" s="627"/>
      <c r="F3022" s="627"/>
      <c r="G3022" s="627"/>
      <c r="H3022" s="627"/>
      <c r="I3022" s="628"/>
      <c r="J3022" s="629" t="str">
        <f>'A IV.A'!$C$96</f>
        <v>M2</v>
      </c>
      <c r="K3022" s="630" t="str">
        <f>VLOOKUP(A3022,'A IV.A'!$A$14:$M$233,2,FALSE)</f>
        <v>AZULEJO CERÂMICO ESMALTADO EXTRA, ASSENTADO COM ARGAMASSA COLANTE, JUNTAS A PRUMO, INCLUSO REJUNTAMENTO</v>
      </c>
      <c r="L3022" s="631" t="str">
        <f>IF(C3022=K3022,"sim","nao")</f>
        <v>sim</v>
      </c>
      <c r="M3022" s="631" t="str">
        <f>VLOOKUP(A3022,'A IV.A'!$A$14:$M$233,3,FALSE)</f>
        <v>M2</v>
      </c>
      <c r="N3022" s="631" t="str">
        <f>IF(J3022=M3022,"sim","nao")</f>
        <v>sim</v>
      </c>
    </row>
    <row r="3023" spans="1:14" x14ac:dyDescent="0.2">
      <c r="A3023" s="625"/>
      <c r="B3023" s="624"/>
      <c r="C3023" s="626"/>
      <c r="D3023" s="627"/>
      <c r="E3023" s="627"/>
      <c r="F3023" s="627"/>
      <c r="G3023" s="627"/>
      <c r="H3023" s="627"/>
      <c r="I3023" s="628"/>
      <c r="J3023" s="629"/>
      <c r="K3023" s="630"/>
      <c r="L3023" s="631"/>
      <c r="M3023" s="631"/>
      <c r="N3023" s="631"/>
    </row>
    <row r="3024" spans="1:14" x14ac:dyDescent="0.2">
      <c r="A3024" s="139"/>
      <c r="B3024" s="140"/>
      <c r="C3024" s="141"/>
      <c r="D3024" s="142"/>
      <c r="E3024" s="142"/>
      <c r="F3024" s="142"/>
      <c r="G3024" s="142"/>
      <c r="H3024" s="142"/>
      <c r="I3024" s="143"/>
      <c r="J3024" s="144"/>
      <c r="K3024" s="132"/>
      <c r="L3024" s="133"/>
    </row>
    <row r="3025" spans="1:14" x14ac:dyDescent="0.2">
      <c r="A3025" s="158"/>
      <c r="B3025" s="188"/>
      <c r="C3025" s="189"/>
      <c r="D3025" s="165"/>
      <c r="E3025" s="165"/>
      <c r="F3025" s="165"/>
      <c r="G3025" s="165"/>
      <c r="H3025" s="165"/>
      <c r="I3025" s="190"/>
      <c r="J3025" s="191"/>
      <c r="K3025" s="192"/>
      <c r="L3025" s="55"/>
      <c r="M3025" s="55"/>
      <c r="N3025" s="55"/>
    </row>
    <row r="3026" spans="1:14" x14ac:dyDescent="0.2">
      <c r="A3026" s="158"/>
      <c r="B3026" s="188"/>
      <c r="C3026" s="189"/>
      <c r="D3026" s="165"/>
      <c r="E3026" s="165"/>
      <c r="F3026" s="165"/>
      <c r="G3026" s="165"/>
      <c r="H3026" s="165"/>
      <c r="I3026" s="190"/>
      <c r="J3026" s="191"/>
      <c r="K3026" s="192"/>
      <c r="L3026" s="55"/>
      <c r="M3026" s="55"/>
      <c r="N3026" s="55"/>
    </row>
    <row r="3027" spans="1:14" x14ac:dyDescent="0.2">
      <c r="A3027" s="145"/>
      <c r="B3027" s="146"/>
      <c r="C3027" s="147"/>
      <c r="D3027" s="147"/>
      <c r="E3027" s="147"/>
      <c r="F3027" s="147"/>
      <c r="G3027" s="147"/>
      <c r="H3027" s="147"/>
      <c r="I3027" s="147"/>
      <c r="J3027" s="148"/>
      <c r="K3027" s="132"/>
      <c r="L3027" s="133"/>
    </row>
    <row r="3028" spans="1:14" x14ac:dyDescent="0.2">
      <c r="A3028" s="158"/>
      <c r="B3028" s="188"/>
      <c r="C3028" s="189"/>
      <c r="D3028" s="165"/>
      <c r="E3028" s="165"/>
      <c r="F3028" s="165"/>
      <c r="G3028" s="165"/>
      <c r="H3028" s="165"/>
      <c r="I3028" s="190"/>
      <c r="J3028" s="191"/>
      <c r="K3028" s="630"/>
      <c r="L3028" s="631"/>
      <c r="M3028" s="631"/>
      <c r="N3028" s="631"/>
    </row>
    <row r="3029" spans="1:14" x14ac:dyDescent="0.2">
      <c r="A3029" s="158"/>
      <c r="B3029" s="188"/>
      <c r="C3029" s="189"/>
      <c r="D3029" s="165"/>
      <c r="E3029" s="165"/>
      <c r="F3029" s="165"/>
      <c r="G3029" s="165"/>
      <c r="H3029" s="165"/>
      <c r="I3029" s="190"/>
      <c r="J3029" s="191"/>
      <c r="K3029" s="630"/>
      <c r="L3029" s="631"/>
      <c r="M3029" s="631"/>
      <c r="N3029" s="631"/>
    </row>
    <row r="3030" spans="1:14" x14ac:dyDescent="0.2">
      <c r="A3030" s="145"/>
      <c r="B3030" s="146"/>
      <c r="C3030" s="147"/>
      <c r="D3030" s="147"/>
      <c r="E3030" s="147"/>
      <c r="F3030" s="147"/>
      <c r="G3030" s="147"/>
      <c r="H3030" s="147"/>
      <c r="I3030" s="147"/>
      <c r="J3030" s="148"/>
      <c r="K3030" s="132"/>
      <c r="L3030" s="133"/>
    </row>
    <row r="3031" spans="1:14" x14ac:dyDescent="0.2">
      <c r="A3031" s="145"/>
      <c r="B3031" s="146"/>
      <c r="C3031" s="147"/>
      <c r="D3031" s="147"/>
      <c r="E3031" s="147"/>
      <c r="F3031" s="147"/>
      <c r="G3031" s="147"/>
      <c r="H3031" s="147"/>
      <c r="I3031" s="147"/>
      <c r="J3031" s="148"/>
      <c r="K3031" s="132"/>
      <c r="L3031" s="133"/>
    </row>
    <row r="3032" spans="1:14" x14ac:dyDescent="0.2">
      <c r="A3032" s="145"/>
      <c r="B3032" s="146"/>
      <c r="C3032" s="147"/>
      <c r="D3032" s="147"/>
      <c r="E3032" s="147"/>
      <c r="F3032" s="147"/>
      <c r="G3032" s="147"/>
      <c r="H3032" s="147"/>
      <c r="I3032" s="147"/>
      <c r="J3032" s="148"/>
      <c r="K3032" s="132"/>
      <c r="L3032" s="133"/>
    </row>
    <row r="3033" spans="1:14" x14ac:dyDescent="0.2">
      <c r="A3033" s="145"/>
      <c r="B3033" s="146"/>
      <c r="C3033" s="147"/>
      <c r="D3033" s="147"/>
      <c r="E3033" s="147"/>
      <c r="F3033" s="147"/>
      <c r="G3033" s="147"/>
      <c r="H3033" s="147"/>
      <c r="I3033" s="147"/>
      <c r="J3033" s="148"/>
      <c r="K3033" s="132"/>
      <c r="L3033" s="133"/>
    </row>
    <row r="3034" spans="1:14" x14ac:dyDescent="0.2">
      <c r="A3034" s="145"/>
      <c r="B3034" s="146"/>
      <c r="C3034" s="147"/>
      <c r="D3034" s="147"/>
      <c r="E3034" s="147"/>
      <c r="F3034" s="147"/>
      <c r="G3034" s="147"/>
      <c r="H3034" s="147"/>
      <c r="I3034" s="147"/>
      <c r="J3034" s="148"/>
      <c r="K3034" s="132"/>
      <c r="L3034" s="133"/>
    </row>
    <row r="3035" spans="1:14" x14ac:dyDescent="0.2">
      <c r="A3035" s="145"/>
      <c r="B3035" s="146"/>
      <c r="C3035" s="147"/>
      <c r="D3035" s="147"/>
      <c r="E3035" s="147"/>
      <c r="F3035" s="147"/>
      <c r="G3035" s="147"/>
      <c r="H3035" s="147"/>
      <c r="I3035" s="147"/>
      <c r="J3035" s="148"/>
      <c r="K3035" s="132"/>
      <c r="L3035" s="133"/>
    </row>
    <row r="3036" spans="1:14" x14ac:dyDescent="0.2">
      <c r="A3036" s="145"/>
      <c r="B3036" s="146"/>
      <c r="C3036" s="147"/>
      <c r="D3036" s="147"/>
      <c r="E3036" s="147"/>
      <c r="F3036" s="147"/>
      <c r="G3036" s="147"/>
      <c r="H3036" s="147"/>
      <c r="I3036" s="147"/>
      <c r="J3036" s="148"/>
      <c r="K3036" s="132"/>
      <c r="L3036" s="133"/>
    </row>
    <row r="3037" spans="1:14" x14ac:dyDescent="0.2">
      <c r="A3037" s="145"/>
      <c r="B3037" s="146"/>
      <c r="C3037" s="147"/>
      <c r="D3037" s="147"/>
      <c r="E3037" s="147"/>
      <c r="F3037" s="147"/>
      <c r="G3037" s="147"/>
      <c r="H3037" s="147"/>
      <c r="I3037" s="147"/>
      <c r="J3037" s="148"/>
      <c r="K3037" s="132"/>
      <c r="L3037" s="133"/>
    </row>
    <row r="3038" spans="1:14" x14ac:dyDescent="0.2">
      <c r="A3038" s="145"/>
      <c r="B3038" s="146"/>
      <c r="C3038" s="147"/>
      <c r="D3038" s="147"/>
      <c r="E3038" s="147"/>
      <c r="F3038" s="147"/>
      <c r="G3038" s="147"/>
      <c r="H3038" s="147"/>
      <c r="I3038" s="147"/>
      <c r="J3038" s="148"/>
      <c r="K3038" s="132"/>
      <c r="L3038" s="133"/>
    </row>
    <row r="3039" spans="1:14" x14ac:dyDescent="0.2">
      <c r="A3039" s="145"/>
      <c r="B3039" s="146"/>
      <c r="C3039" s="147"/>
      <c r="D3039" s="147"/>
      <c r="E3039" s="147"/>
      <c r="F3039" s="147"/>
      <c r="G3039" s="147"/>
      <c r="H3039" s="147"/>
      <c r="I3039" s="147"/>
      <c r="J3039" s="148"/>
      <c r="K3039" s="132"/>
      <c r="L3039" s="133"/>
    </row>
    <row r="3040" spans="1:14" x14ac:dyDescent="0.2">
      <c r="A3040" s="145"/>
      <c r="B3040" s="146"/>
      <c r="C3040" s="147"/>
      <c r="D3040" s="147"/>
      <c r="E3040" s="147"/>
      <c r="F3040" s="147"/>
      <c r="G3040" s="147"/>
      <c r="H3040" s="147"/>
      <c r="I3040" s="147"/>
      <c r="J3040" s="148"/>
      <c r="K3040" s="132"/>
      <c r="L3040" s="133"/>
    </row>
    <row r="3041" spans="1:12" x14ac:dyDescent="0.2">
      <c r="A3041" s="145"/>
      <c r="B3041" s="146"/>
      <c r="C3041" s="147"/>
      <c r="D3041" s="147"/>
      <c r="E3041" s="147"/>
      <c r="F3041" s="147"/>
      <c r="G3041" s="147"/>
      <c r="H3041" s="147"/>
      <c r="I3041" s="147"/>
      <c r="J3041" s="148"/>
      <c r="K3041" s="132"/>
      <c r="L3041" s="133"/>
    </row>
    <row r="3042" spans="1:12" x14ac:dyDescent="0.2">
      <c r="A3042" s="145"/>
      <c r="B3042" s="146"/>
      <c r="C3042" s="147"/>
      <c r="D3042" s="147"/>
      <c r="E3042" s="147"/>
      <c r="F3042" s="147"/>
      <c r="G3042" s="147"/>
      <c r="H3042" s="147"/>
      <c r="I3042" s="147"/>
      <c r="J3042" s="148"/>
      <c r="K3042" s="132"/>
      <c r="L3042" s="133"/>
    </row>
    <row r="3043" spans="1:12" ht="13.5" thickBot="1" x14ac:dyDescent="0.25">
      <c r="A3043" s="149"/>
      <c r="B3043" s="150"/>
      <c r="C3043" s="151"/>
      <c r="D3043" s="151"/>
      <c r="E3043" s="151"/>
      <c r="F3043" s="151"/>
      <c r="G3043" s="151"/>
      <c r="H3043" s="151"/>
      <c r="I3043" s="151"/>
      <c r="J3043" s="152"/>
      <c r="K3043" s="132"/>
      <c r="L3043" s="133"/>
    </row>
    <row r="3044" spans="1:12" ht="13.5" thickBot="1" x14ac:dyDescent="0.25">
      <c r="A3044" s="153"/>
      <c r="B3044" s="153"/>
      <c r="C3044" s="154"/>
      <c r="D3044" s="154"/>
      <c r="E3044" s="154"/>
      <c r="F3044" s="154"/>
      <c r="G3044" s="154"/>
      <c r="H3044" s="154"/>
      <c r="I3044" s="154"/>
      <c r="J3044" s="153"/>
      <c r="K3044" s="132"/>
      <c r="L3044" s="133"/>
    </row>
    <row r="3045" spans="1:12" ht="13.5" thickBot="1" x14ac:dyDescent="0.25">
      <c r="A3045" s="614" t="s">
        <v>62</v>
      </c>
      <c r="B3045" s="648"/>
      <c r="C3045" s="648"/>
      <c r="D3045" s="648"/>
      <c r="E3045" s="648"/>
      <c r="F3045" s="648"/>
      <c r="G3045" s="648"/>
      <c r="H3045" s="648"/>
      <c r="I3045" s="648"/>
      <c r="J3045" s="649"/>
      <c r="K3045" s="132"/>
      <c r="L3045" s="133"/>
    </row>
    <row r="3046" spans="1:12" x14ac:dyDescent="0.2">
      <c r="A3046" s="136"/>
      <c r="B3046" s="155"/>
      <c r="C3046" s="156"/>
      <c r="D3046" s="156"/>
      <c r="E3046" s="156"/>
      <c r="F3046" s="156"/>
      <c r="G3046" s="156"/>
      <c r="H3046" s="156"/>
      <c r="I3046" s="156"/>
      <c r="J3046" s="157"/>
      <c r="K3046" s="132"/>
      <c r="L3046" s="133"/>
    </row>
    <row r="3047" spans="1:12" ht="12.75" customHeight="1" x14ac:dyDescent="0.2">
      <c r="A3047" s="158" t="s">
        <v>63</v>
      </c>
      <c r="B3047" s="55"/>
      <c r="C3047" s="652" t="s">
        <v>1059</v>
      </c>
      <c r="D3047" s="652"/>
      <c r="E3047" s="652"/>
      <c r="F3047" s="652"/>
      <c r="G3047" s="652"/>
      <c r="H3047" s="652"/>
      <c r="I3047" s="652"/>
      <c r="J3047" s="653"/>
      <c r="K3047" s="132"/>
      <c r="L3047" s="133"/>
    </row>
    <row r="3048" spans="1:12" x14ac:dyDescent="0.2">
      <c r="A3048" s="158"/>
      <c r="B3048" s="55"/>
      <c r="C3048" s="652"/>
      <c r="D3048" s="652"/>
      <c r="E3048" s="652"/>
      <c r="F3048" s="652"/>
      <c r="G3048" s="652"/>
      <c r="H3048" s="652"/>
      <c r="I3048" s="652"/>
      <c r="J3048" s="653"/>
      <c r="K3048" s="132"/>
      <c r="L3048" s="133"/>
    </row>
    <row r="3049" spans="1:12" x14ac:dyDescent="0.2">
      <c r="A3049" s="158"/>
      <c r="B3049" s="55"/>
      <c r="C3049" s="652"/>
      <c r="D3049" s="652"/>
      <c r="E3049" s="652"/>
      <c r="F3049" s="652"/>
      <c r="G3049" s="652"/>
      <c r="H3049" s="652"/>
      <c r="I3049" s="652"/>
      <c r="J3049" s="653"/>
      <c r="K3049" s="132"/>
      <c r="L3049" s="133"/>
    </row>
    <row r="3050" spans="1:12" x14ac:dyDescent="0.2">
      <c r="A3050" s="158"/>
      <c r="B3050" s="55"/>
      <c r="C3050" s="652"/>
      <c r="D3050" s="652"/>
      <c r="E3050" s="652"/>
      <c r="F3050" s="652"/>
      <c r="G3050" s="652"/>
      <c r="H3050" s="652"/>
      <c r="I3050" s="652"/>
      <c r="J3050" s="653"/>
      <c r="K3050" s="132"/>
      <c r="L3050" s="133"/>
    </row>
    <row r="3051" spans="1:12" x14ac:dyDescent="0.2">
      <c r="A3051" s="158"/>
      <c r="B3051" s="55"/>
      <c r="C3051" s="652"/>
      <c r="D3051" s="652"/>
      <c r="E3051" s="652"/>
      <c r="F3051" s="652"/>
      <c r="G3051" s="652"/>
      <c r="H3051" s="652"/>
      <c r="I3051" s="652"/>
      <c r="J3051" s="653"/>
      <c r="K3051" s="132"/>
      <c r="L3051" s="133"/>
    </row>
    <row r="3052" spans="1:12" ht="12.75" customHeight="1" x14ac:dyDescent="0.2">
      <c r="A3052" s="158"/>
      <c r="B3052" s="55"/>
      <c r="C3052" s="652" t="s">
        <v>598</v>
      </c>
      <c r="D3052" s="652"/>
      <c r="E3052" s="652"/>
      <c r="F3052" s="652"/>
      <c r="G3052" s="652"/>
      <c r="H3052" s="652"/>
      <c r="I3052" s="652"/>
      <c r="J3052" s="653"/>
      <c r="K3052" s="132"/>
      <c r="L3052" s="133"/>
    </row>
    <row r="3053" spans="1:12" x14ac:dyDescent="0.2">
      <c r="A3053" s="158"/>
      <c r="B3053" s="55"/>
      <c r="C3053" s="652"/>
      <c r="D3053" s="652"/>
      <c r="E3053" s="652"/>
      <c r="F3053" s="652"/>
      <c r="G3053" s="652"/>
      <c r="H3053" s="652"/>
      <c r="I3053" s="652"/>
      <c r="J3053" s="653"/>
      <c r="K3053" s="132"/>
      <c r="L3053" s="133"/>
    </row>
    <row r="3054" spans="1:12" x14ac:dyDescent="0.2">
      <c r="A3054" s="158"/>
      <c r="B3054" s="55"/>
      <c r="C3054" s="652"/>
      <c r="D3054" s="652"/>
      <c r="E3054" s="652"/>
      <c r="F3054" s="652"/>
      <c r="G3054" s="652"/>
      <c r="H3054" s="652"/>
      <c r="I3054" s="652"/>
      <c r="J3054" s="653"/>
      <c r="K3054" s="132"/>
      <c r="L3054" s="133"/>
    </row>
    <row r="3055" spans="1:12" ht="12.75" customHeight="1" x14ac:dyDescent="0.2">
      <c r="A3055" s="158"/>
      <c r="B3055" s="55"/>
      <c r="C3055" s="652"/>
      <c r="D3055" s="652"/>
      <c r="E3055" s="652"/>
      <c r="F3055" s="652"/>
      <c r="G3055" s="652"/>
      <c r="H3055" s="652"/>
      <c r="I3055" s="652"/>
      <c r="J3055" s="653"/>
      <c r="K3055" s="132"/>
      <c r="L3055" s="133"/>
    </row>
    <row r="3056" spans="1:12" x14ac:dyDescent="0.2">
      <c r="A3056" s="158"/>
      <c r="B3056" s="55"/>
      <c r="C3056" s="159"/>
      <c r="D3056" s="159"/>
      <c r="E3056" s="159"/>
      <c r="F3056" s="159"/>
      <c r="G3056" s="159"/>
      <c r="H3056" s="159"/>
      <c r="I3056" s="159"/>
      <c r="J3056" s="160"/>
      <c r="K3056" s="132"/>
      <c r="L3056" s="133"/>
    </row>
    <row r="3057" spans="1:12" x14ac:dyDescent="0.2">
      <c r="A3057" s="158" t="s">
        <v>64</v>
      </c>
      <c r="B3057" s="55"/>
      <c r="C3057" s="652" t="s">
        <v>599</v>
      </c>
      <c r="D3057" s="652"/>
      <c r="E3057" s="652"/>
      <c r="F3057" s="652"/>
      <c r="G3057" s="652"/>
      <c r="H3057" s="652"/>
      <c r="I3057" s="652"/>
      <c r="J3057" s="653"/>
      <c r="K3057" s="132"/>
      <c r="L3057" s="133"/>
    </row>
    <row r="3058" spans="1:12" x14ac:dyDescent="0.2">
      <c r="A3058" s="158"/>
      <c r="B3058" s="55"/>
      <c r="C3058" s="652"/>
      <c r="D3058" s="652"/>
      <c r="E3058" s="652"/>
      <c r="F3058" s="652"/>
      <c r="G3058" s="652"/>
      <c r="H3058" s="652"/>
      <c r="I3058" s="652"/>
      <c r="J3058" s="653"/>
      <c r="K3058" s="132"/>
      <c r="L3058" s="133"/>
    </row>
    <row r="3059" spans="1:12" x14ac:dyDescent="0.2">
      <c r="A3059" s="158"/>
      <c r="B3059" s="55"/>
      <c r="C3059" s="55"/>
      <c r="D3059" s="55"/>
      <c r="E3059" s="55"/>
      <c r="F3059" s="55"/>
      <c r="G3059" s="55"/>
      <c r="H3059" s="55"/>
      <c r="I3059" s="55"/>
      <c r="J3059" s="196"/>
      <c r="K3059" s="132"/>
      <c r="L3059" s="133"/>
    </row>
    <row r="3060" spans="1:12" x14ac:dyDescent="0.2">
      <c r="A3060" s="158" t="s">
        <v>157</v>
      </c>
      <c r="B3060" s="55"/>
      <c r="C3060" s="662" t="s">
        <v>864</v>
      </c>
      <c r="D3060" s="662"/>
      <c r="E3060" s="662"/>
      <c r="F3060" s="662"/>
      <c r="G3060" s="662"/>
      <c r="H3060" s="662"/>
      <c r="I3060" s="662"/>
      <c r="J3060" s="663"/>
      <c r="K3060" s="132"/>
      <c r="L3060" s="133"/>
    </row>
    <row r="3061" spans="1:12" x14ac:dyDescent="0.2">
      <c r="A3061" s="158"/>
      <c r="B3061" s="55"/>
      <c r="C3061" s="638" t="s">
        <v>865</v>
      </c>
      <c r="D3061" s="638"/>
      <c r="E3061" s="638"/>
      <c r="F3061" s="638"/>
      <c r="G3061" s="638"/>
      <c r="H3061" s="638"/>
      <c r="I3061" s="638"/>
      <c r="J3061" s="718"/>
      <c r="K3061" s="132"/>
      <c r="L3061" s="133"/>
    </row>
    <row r="3062" spans="1:12" x14ac:dyDescent="0.2">
      <c r="A3062" s="158"/>
      <c r="B3062" s="55"/>
      <c r="C3062" s="159"/>
      <c r="D3062" s="159"/>
      <c r="E3062" s="159"/>
      <c r="F3062" s="159"/>
      <c r="G3062" s="159"/>
      <c r="H3062" s="159"/>
      <c r="I3062" s="159"/>
      <c r="J3062" s="160"/>
      <c r="K3062" s="132"/>
      <c r="L3062" s="133"/>
    </row>
    <row r="3063" spans="1:12" x14ac:dyDescent="0.2">
      <c r="A3063" s="158"/>
      <c r="B3063" s="55"/>
      <c r="C3063" s="159"/>
      <c r="D3063" s="159"/>
      <c r="E3063" s="159"/>
      <c r="F3063" s="159"/>
      <c r="G3063" s="159"/>
      <c r="H3063" s="159"/>
      <c r="I3063" s="159"/>
      <c r="J3063" s="160"/>
      <c r="K3063" s="132"/>
      <c r="L3063" s="133"/>
    </row>
    <row r="3064" spans="1:12" x14ac:dyDescent="0.2">
      <c r="A3064" s="158"/>
      <c r="B3064" s="55"/>
      <c r="C3064" s="159"/>
      <c r="D3064" s="159"/>
      <c r="E3064" s="159"/>
      <c r="F3064" s="159"/>
      <c r="G3064" s="159"/>
      <c r="H3064" s="159"/>
      <c r="I3064" s="159"/>
      <c r="J3064" s="160"/>
      <c r="K3064" s="132"/>
      <c r="L3064" s="133"/>
    </row>
    <row r="3065" spans="1:12" x14ac:dyDescent="0.2">
      <c r="A3065" s="158"/>
      <c r="B3065" s="55"/>
      <c r="C3065" s="71"/>
      <c r="D3065" s="71"/>
      <c r="E3065" s="71"/>
      <c r="F3065" s="71"/>
      <c r="G3065" s="71"/>
      <c r="H3065" s="71"/>
      <c r="I3065" s="71"/>
      <c r="J3065" s="174"/>
      <c r="K3065" s="132"/>
      <c r="L3065" s="133"/>
    </row>
    <row r="3066" spans="1:12" x14ac:dyDescent="0.2">
      <c r="A3066" s="158"/>
      <c r="B3066" s="55"/>
      <c r="C3066" s="71"/>
      <c r="D3066" s="71"/>
      <c r="E3066" s="71"/>
      <c r="F3066" s="71"/>
      <c r="G3066" s="71"/>
      <c r="H3066" s="71"/>
      <c r="I3066" s="71"/>
      <c r="J3066" s="174"/>
      <c r="K3066" s="132"/>
      <c r="L3066" s="133"/>
    </row>
    <row r="3067" spans="1:12" x14ac:dyDescent="0.2">
      <c r="A3067" s="158"/>
      <c r="B3067" s="55"/>
      <c r="C3067" s="71"/>
      <c r="D3067" s="71"/>
      <c r="E3067" s="71"/>
      <c r="F3067" s="71"/>
      <c r="G3067" s="71"/>
      <c r="H3067" s="71"/>
      <c r="I3067" s="71"/>
      <c r="J3067" s="174"/>
      <c r="K3067" s="132"/>
      <c r="L3067" s="133"/>
    </row>
    <row r="3068" spans="1:12" x14ac:dyDescent="0.2">
      <c r="A3068" s="158"/>
      <c r="B3068" s="55"/>
      <c r="C3068" s="175"/>
      <c r="D3068" s="175"/>
      <c r="E3068" s="172"/>
      <c r="F3068" s="172"/>
      <c r="G3068" s="172"/>
      <c r="H3068" s="172"/>
      <c r="I3068" s="172"/>
      <c r="J3068" s="173"/>
      <c r="K3068" s="132"/>
      <c r="L3068" s="133"/>
    </row>
    <row r="3069" spans="1:12" ht="13.5" thickBot="1" x14ac:dyDescent="0.25">
      <c r="A3069" s="149"/>
      <c r="B3069" s="167"/>
      <c r="C3069" s="151"/>
      <c r="D3069" s="151"/>
      <c r="E3069" s="151"/>
      <c r="F3069" s="151"/>
      <c r="G3069" s="151"/>
      <c r="H3069" s="151"/>
      <c r="I3069" s="151"/>
      <c r="J3069" s="168"/>
      <c r="K3069" s="132"/>
      <c r="L3069" s="133"/>
    </row>
    <row r="3070" spans="1:12" ht="15.75" x14ac:dyDescent="0.2">
      <c r="A3070" s="602" t="s">
        <v>4</v>
      </c>
      <c r="B3070" s="603"/>
      <c r="C3070" s="603" t="str">
        <f>'A IV.A'!$B$43</f>
        <v>FECHAMENTOS, PROTEÇÕES E ALVENARIAS EM GERAL</v>
      </c>
      <c r="D3070" s="603"/>
      <c r="E3070" s="603"/>
      <c r="F3070" s="603"/>
      <c r="G3070" s="603"/>
      <c r="H3070" s="603"/>
      <c r="I3070" s="603"/>
      <c r="J3070" s="604"/>
      <c r="K3070" s="132"/>
      <c r="L3070" s="133"/>
    </row>
    <row r="3071" spans="1:12" x14ac:dyDescent="0.2">
      <c r="A3071" s="609" t="str">
        <f>'A IV.A'!$A$43</f>
        <v>3.0</v>
      </c>
      <c r="B3071" s="610"/>
      <c r="C3071" s="605"/>
      <c r="D3071" s="605"/>
      <c r="E3071" s="605"/>
      <c r="F3071" s="605"/>
      <c r="G3071" s="605"/>
      <c r="H3071" s="605"/>
      <c r="I3071" s="605"/>
      <c r="J3071" s="606"/>
      <c r="K3071" s="132"/>
      <c r="L3071" s="133"/>
    </row>
    <row r="3072" spans="1:12" ht="13.5" thickBot="1" x14ac:dyDescent="0.25">
      <c r="A3072" s="611"/>
      <c r="B3072" s="612"/>
      <c r="C3072" s="607"/>
      <c r="D3072" s="607"/>
      <c r="E3072" s="607"/>
      <c r="F3072" s="607"/>
      <c r="G3072" s="607"/>
      <c r="H3072" s="607"/>
      <c r="I3072" s="607"/>
      <c r="J3072" s="608"/>
      <c r="K3072" s="132"/>
      <c r="L3072" s="133"/>
    </row>
    <row r="3073" spans="1:14" ht="13.5" thickBot="1" x14ac:dyDescent="0.25">
      <c r="A3073" s="169"/>
      <c r="B3073" s="169"/>
      <c r="C3073" s="613"/>
      <c r="D3073" s="613"/>
      <c r="E3073" s="613"/>
      <c r="F3073" s="613"/>
      <c r="G3073" s="613"/>
      <c r="H3073" s="613"/>
      <c r="I3073" s="613"/>
      <c r="J3073" s="169"/>
      <c r="K3073" s="132"/>
      <c r="L3073" s="133"/>
    </row>
    <row r="3074" spans="1:14" ht="13.5" thickBot="1" x14ac:dyDescent="0.25">
      <c r="A3074" s="632" t="s">
        <v>60</v>
      </c>
      <c r="B3074" s="633"/>
      <c r="C3074" s="656" t="s">
        <v>61</v>
      </c>
      <c r="D3074" s="656"/>
      <c r="E3074" s="656"/>
      <c r="F3074" s="656"/>
      <c r="G3074" s="656"/>
      <c r="H3074" s="656"/>
      <c r="I3074" s="656"/>
      <c r="J3074" s="260" t="s">
        <v>0</v>
      </c>
      <c r="K3074" s="132"/>
      <c r="L3074" s="133"/>
    </row>
    <row r="3075" spans="1:14" x14ac:dyDescent="0.2">
      <c r="A3075" s="136"/>
      <c r="B3075" s="137"/>
      <c r="C3075" s="619"/>
      <c r="D3075" s="620"/>
      <c r="E3075" s="621"/>
      <c r="F3075" s="621"/>
      <c r="G3075" s="621"/>
      <c r="H3075" s="621"/>
      <c r="I3075" s="622"/>
      <c r="J3075" s="138"/>
      <c r="K3075" s="132"/>
      <c r="L3075" s="133"/>
    </row>
    <row r="3076" spans="1:14" x14ac:dyDescent="0.2">
      <c r="A3076" s="623" t="str">
        <f>'A IV.A'!A97</f>
        <v>3.9.2</v>
      </c>
      <c r="B3076" s="624"/>
      <c r="C3076" s="626" t="str">
        <f>'A IV.A'!B97</f>
        <v xml:space="preserve">CONTRAPISO EM ARGAMASSA, ADERIDO, TRAÇO 1:4, E=3 CM, COM ADITIVO ADESIVO </v>
      </c>
      <c r="D3076" s="627"/>
      <c r="E3076" s="627"/>
      <c r="F3076" s="627"/>
      <c r="G3076" s="627"/>
      <c r="H3076" s="627"/>
      <c r="I3076" s="628"/>
      <c r="J3076" s="629" t="str">
        <f>'A IV.A'!$C$97</f>
        <v>M2</v>
      </c>
      <c r="K3076" s="630" t="str">
        <f>VLOOKUP(A3076,'A IV.A'!$A$14:$M$233,2,FALSE)</f>
        <v xml:space="preserve">CONTRAPISO EM ARGAMASSA, ADERIDO, TRAÇO 1:4, E=3 CM, COM ADITIVO ADESIVO </v>
      </c>
      <c r="L3076" s="631" t="str">
        <f>IF(C3076=K3076,"sim","nao")</f>
        <v>sim</v>
      </c>
      <c r="M3076" s="631" t="str">
        <f>VLOOKUP(A3076,'A IV.A'!$A$14:$M$233,3,FALSE)</f>
        <v>M2</v>
      </c>
      <c r="N3076" s="631" t="str">
        <f>IF(J3076=M3076,"sim","nao")</f>
        <v>sim</v>
      </c>
    </row>
    <row r="3077" spans="1:14" x14ac:dyDescent="0.2">
      <c r="A3077" s="625"/>
      <c r="B3077" s="624"/>
      <c r="C3077" s="626"/>
      <c r="D3077" s="627"/>
      <c r="E3077" s="627"/>
      <c r="F3077" s="627"/>
      <c r="G3077" s="627"/>
      <c r="H3077" s="627"/>
      <c r="I3077" s="628"/>
      <c r="J3077" s="629"/>
      <c r="K3077" s="630"/>
      <c r="L3077" s="631"/>
      <c r="M3077" s="631"/>
      <c r="N3077" s="631"/>
    </row>
    <row r="3078" spans="1:14" x14ac:dyDescent="0.2">
      <c r="A3078" s="139"/>
      <c r="B3078" s="140"/>
      <c r="C3078" s="141"/>
      <c r="D3078" s="142"/>
      <c r="E3078" s="142"/>
      <c r="F3078" s="142"/>
      <c r="G3078" s="142"/>
      <c r="H3078" s="142"/>
      <c r="I3078" s="143"/>
      <c r="J3078" s="144"/>
      <c r="K3078" s="132"/>
      <c r="L3078" s="133"/>
    </row>
    <row r="3079" spans="1:14" x14ac:dyDescent="0.2">
      <c r="A3079" s="158"/>
      <c r="B3079" s="188"/>
      <c r="C3079" s="189"/>
      <c r="D3079" s="165"/>
      <c r="E3079" s="165"/>
      <c r="F3079" s="165"/>
      <c r="G3079" s="165"/>
      <c r="H3079" s="165"/>
      <c r="I3079" s="190"/>
      <c r="J3079" s="191"/>
      <c r="K3079" s="192"/>
      <c r="L3079" s="55"/>
      <c r="M3079" s="55"/>
      <c r="N3079" s="55"/>
    </row>
    <row r="3080" spans="1:14" x14ac:dyDescent="0.2">
      <c r="A3080" s="158"/>
      <c r="B3080" s="188"/>
      <c r="C3080" s="189"/>
      <c r="D3080" s="165"/>
      <c r="E3080" s="165"/>
      <c r="F3080" s="165"/>
      <c r="G3080" s="165"/>
      <c r="H3080" s="165"/>
      <c r="I3080" s="190"/>
      <c r="J3080" s="191"/>
      <c r="K3080" s="192"/>
      <c r="L3080" s="55"/>
      <c r="M3080" s="55"/>
      <c r="N3080" s="55"/>
    </row>
    <row r="3081" spans="1:14" x14ac:dyDescent="0.2">
      <c r="A3081" s="145"/>
      <c r="B3081" s="146"/>
      <c r="C3081" s="147"/>
      <c r="D3081" s="147"/>
      <c r="E3081" s="147"/>
      <c r="F3081" s="147"/>
      <c r="G3081" s="147"/>
      <c r="H3081" s="147"/>
      <c r="I3081" s="147"/>
      <c r="J3081" s="148"/>
      <c r="K3081" s="132"/>
      <c r="L3081" s="133"/>
    </row>
    <row r="3082" spans="1:14" x14ac:dyDescent="0.2">
      <c r="A3082" s="158"/>
      <c r="B3082" s="188"/>
      <c r="C3082" s="189"/>
      <c r="D3082" s="165"/>
      <c r="E3082" s="165"/>
      <c r="F3082" s="165"/>
      <c r="G3082" s="165"/>
      <c r="H3082" s="165"/>
      <c r="I3082" s="190"/>
      <c r="J3082" s="191"/>
      <c r="K3082" s="630"/>
      <c r="L3082" s="631"/>
      <c r="M3082" s="631"/>
      <c r="N3082" s="631"/>
    </row>
    <row r="3083" spans="1:14" x14ac:dyDescent="0.2">
      <c r="A3083" s="158"/>
      <c r="B3083" s="188"/>
      <c r="C3083" s="189"/>
      <c r="D3083" s="165"/>
      <c r="E3083" s="165"/>
      <c r="F3083" s="165"/>
      <c r="G3083" s="165"/>
      <c r="H3083" s="165"/>
      <c r="I3083" s="190"/>
      <c r="J3083" s="191"/>
      <c r="K3083" s="630"/>
      <c r="L3083" s="631"/>
      <c r="M3083" s="631"/>
      <c r="N3083" s="631"/>
    </row>
    <row r="3084" spans="1:14" x14ac:dyDescent="0.2">
      <c r="A3084" s="145"/>
      <c r="B3084" s="146"/>
      <c r="C3084" s="147"/>
      <c r="D3084" s="147"/>
      <c r="E3084" s="147"/>
      <c r="F3084" s="147"/>
      <c r="G3084" s="147"/>
      <c r="H3084" s="147"/>
      <c r="I3084" s="147"/>
      <c r="J3084" s="148"/>
      <c r="K3084" s="132"/>
      <c r="L3084" s="133"/>
    </row>
    <row r="3085" spans="1:14" x14ac:dyDescent="0.2">
      <c r="A3085" s="145"/>
      <c r="B3085" s="146"/>
      <c r="C3085" s="147"/>
      <c r="D3085" s="147"/>
      <c r="E3085" s="147"/>
      <c r="F3085" s="147"/>
      <c r="G3085" s="147"/>
      <c r="H3085" s="147"/>
      <c r="I3085" s="147"/>
      <c r="J3085" s="148"/>
      <c r="K3085" s="132"/>
      <c r="L3085" s="133"/>
    </row>
    <row r="3086" spans="1:14" x14ac:dyDescent="0.2">
      <c r="A3086" s="145"/>
      <c r="B3086" s="146"/>
      <c r="C3086" s="147"/>
      <c r="D3086" s="147"/>
      <c r="E3086" s="147"/>
      <c r="F3086" s="147"/>
      <c r="G3086" s="147"/>
      <c r="H3086" s="147"/>
      <c r="I3086" s="147"/>
      <c r="J3086" s="148"/>
      <c r="K3086" s="132"/>
      <c r="L3086" s="133"/>
    </row>
    <row r="3087" spans="1:14" x14ac:dyDescent="0.2">
      <c r="A3087" s="145"/>
      <c r="B3087" s="146"/>
      <c r="C3087" s="147"/>
      <c r="D3087" s="147"/>
      <c r="E3087" s="147"/>
      <c r="F3087" s="147"/>
      <c r="G3087" s="147"/>
      <c r="H3087" s="147"/>
      <c r="I3087" s="147"/>
      <c r="J3087" s="148"/>
      <c r="K3087" s="132"/>
      <c r="L3087" s="133"/>
    </row>
    <row r="3088" spans="1:14" x14ac:dyDescent="0.2">
      <c r="A3088" s="145"/>
      <c r="B3088" s="146"/>
      <c r="C3088" s="147"/>
      <c r="D3088" s="147"/>
      <c r="E3088" s="147"/>
      <c r="F3088" s="147"/>
      <c r="G3088" s="147"/>
      <c r="H3088" s="147"/>
      <c r="I3088" s="147"/>
      <c r="J3088" s="148"/>
      <c r="K3088" s="132"/>
      <c r="L3088" s="133"/>
    </row>
    <row r="3089" spans="1:12" x14ac:dyDescent="0.2">
      <c r="A3089" s="145"/>
      <c r="B3089" s="146"/>
      <c r="C3089" s="147"/>
      <c r="D3089" s="147"/>
      <c r="E3089" s="147"/>
      <c r="F3089" s="147"/>
      <c r="G3089" s="147"/>
      <c r="H3089" s="147"/>
      <c r="I3089" s="147"/>
      <c r="J3089" s="148"/>
      <c r="K3089" s="132"/>
      <c r="L3089" s="133"/>
    </row>
    <row r="3090" spans="1:12" x14ac:dyDescent="0.2">
      <c r="A3090" s="145"/>
      <c r="B3090" s="146"/>
      <c r="C3090" s="147"/>
      <c r="D3090" s="147"/>
      <c r="E3090" s="147"/>
      <c r="F3090" s="147"/>
      <c r="G3090" s="147"/>
      <c r="H3090" s="147"/>
      <c r="I3090" s="147"/>
      <c r="J3090" s="148"/>
      <c r="K3090" s="132"/>
      <c r="L3090" s="133"/>
    </row>
    <row r="3091" spans="1:12" x14ac:dyDescent="0.2">
      <c r="A3091" s="145"/>
      <c r="B3091" s="146"/>
      <c r="C3091" s="147"/>
      <c r="D3091" s="147"/>
      <c r="E3091" s="147"/>
      <c r="F3091" s="147"/>
      <c r="G3091" s="147"/>
      <c r="H3091" s="147"/>
      <c r="I3091" s="147"/>
      <c r="J3091" s="148"/>
      <c r="K3091" s="132"/>
      <c r="L3091" s="133"/>
    </row>
    <row r="3092" spans="1:12" x14ac:dyDescent="0.2">
      <c r="A3092" s="145"/>
      <c r="B3092" s="146"/>
      <c r="C3092" s="147"/>
      <c r="D3092" s="147"/>
      <c r="E3092" s="147"/>
      <c r="F3092" s="147"/>
      <c r="G3092" s="147"/>
      <c r="H3092" s="147"/>
      <c r="I3092" s="147"/>
      <c r="J3092" s="148"/>
      <c r="K3092" s="132"/>
      <c r="L3092" s="133"/>
    </row>
    <row r="3093" spans="1:12" x14ac:dyDescent="0.2">
      <c r="A3093" s="145"/>
      <c r="B3093" s="146"/>
      <c r="C3093" s="147"/>
      <c r="D3093" s="147"/>
      <c r="E3093" s="147"/>
      <c r="F3093" s="147"/>
      <c r="G3093" s="147"/>
      <c r="H3093" s="147"/>
      <c r="I3093" s="147"/>
      <c r="J3093" s="148"/>
      <c r="K3093" s="132"/>
      <c r="L3093" s="133"/>
    </row>
    <row r="3094" spans="1:12" x14ac:dyDescent="0.2">
      <c r="A3094" s="145"/>
      <c r="B3094" s="146"/>
      <c r="C3094" s="147"/>
      <c r="D3094" s="147"/>
      <c r="E3094" s="147"/>
      <c r="F3094" s="147"/>
      <c r="G3094" s="147"/>
      <c r="H3094" s="147"/>
      <c r="I3094" s="147"/>
      <c r="J3094" s="148"/>
      <c r="K3094" s="132"/>
      <c r="L3094" s="133"/>
    </row>
    <row r="3095" spans="1:12" x14ac:dyDescent="0.2">
      <c r="A3095" s="145"/>
      <c r="B3095" s="146"/>
      <c r="C3095" s="147"/>
      <c r="D3095" s="147"/>
      <c r="E3095" s="147"/>
      <c r="F3095" s="147"/>
      <c r="G3095" s="147"/>
      <c r="H3095" s="147"/>
      <c r="I3095" s="147"/>
      <c r="J3095" s="148"/>
      <c r="K3095" s="132"/>
      <c r="L3095" s="133"/>
    </row>
    <row r="3096" spans="1:12" x14ac:dyDescent="0.2">
      <c r="A3096" s="145"/>
      <c r="B3096" s="146"/>
      <c r="C3096" s="147"/>
      <c r="D3096" s="147"/>
      <c r="E3096" s="147"/>
      <c r="F3096" s="147"/>
      <c r="G3096" s="147"/>
      <c r="H3096" s="147"/>
      <c r="I3096" s="147"/>
      <c r="J3096" s="148"/>
      <c r="K3096" s="132"/>
      <c r="L3096" s="133"/>
    </row>
    <row r="3097" spans="1:12" ht="13.5" thickBot="1" x14ac:dyDescent="0.25">
      <c r="A3097" s="149"/>
      <c r="B3097" s="150"/>
      <c r="C3097" s="151"/>
      <c r="D3097" s="151"/>
      <c r="E3097" s="151"/>
      <c r="F3097" s="151"/>
      <c r="G3097" s="151"/>
      <c r="H3097" s="151"/>
      <c r="I3097" s="151"/>
      <c r="J3097" s="152"/>
      <c r="K3097" s="132"/>
      <c r="L3097" s="133"/>
    </row>
    <row r="3098" spans="1:12" ht="13.5" thickBot="1" x14ac:dyDescent="0.25">
      <c r="A3098" s="153"/>
      <c r="B3098" s="153"/>
      <c r="C3098" s="154"/>
      <c r="D3098" s="154"/>
      <c r="E3098" s="154"/>
      <c r="F3098" s="154"/>
      <c r="G3098" s="154"/>
      <c r="H3098" s="154"/>
      <c r="I3098" s="154"/>
      <c r="J3098" s="153"/>
      <c r="K3098" s="132"/>
      <c r="L3098" s="133"/>
    </row>
    <row r="3099" spans="1:12" ht="13.5" thickBot="1" x14ac:dyDescent="0.25">
      <c r="A3099" s="614" t="s">
        <v>62</v>
      </c>
      <c r="B3099" s="648"/>
      <c r="C3099" s="648"/>
      <c r="D3099" s="648"/>
      <c r="E3099" s="648"/>
      <c r="F3099" s="648"/>
      <c r="G3099" s="648"/>
      <c r="H3099" s="648"/>
      <c r="I3099" s="648"/>
      <c r="J3099" s="649"/>
      <c r="K3099" s="132"/>
      <c r="L3099" s="133"/>
    </row>
    <row r="3100" spans="1:12" x14ac:dyDescent="0.2">
      <c r="A3100" s="136"/>
      <c r="B3100" s="155"/>
      <c r="C3100" s="156"/>
      <c r="D3100" s="156"/>
      <c r="E3100" s="156"/>
      <c r="F3100" s="156"/>
      <c r="G3100" s="156"/>
      <c r="H3100" s="156"/>
      <c r="I3100" s="156"/>
      <c r="J3100" s="157"/>
      <c r="K3100" s="132"/>
      <c r="L3100" s="133"/>
    </row>
    <row r="3101" spans="1:12" ht="12.75" customHeight="1" x14ac:dyDescent="0.2">
      <c r="A3101" s="158" t="s">
        <v>63</v>
      </c>
      <c r="B3101" s="55"/>
      <c r="C3101" s="652" t="s">
        <v>600</v>
      </c>
      <c r="D3101" s="652"/>
      <c r="E3101" s="652"/>
      <c r="F3101" s="652"/>
      <c r="G3101" s="652"/>
      <c r="H3101" s="652"/>
      <c r="I3101" s="652"/>
      <c r="J3101" s="653"/>
      <c r="K3101" s="132"/>
      <c r="L3101" s="133"/>
    </row>
    <row r="3102" spans="1:12" x14ac:dyDescent="0.2">
      <c r="A3102" s="158"/>
      <c r="B3102" s="55"/>
      <c r="C3102" s="652"/>
      <c r="D3102" s="652"/>
      <c r="E3102" s="652"/>
      <c r="F3102" s="652"/>
      <c r="G3102" s="652"/>
      <c r="H3102" s="652"/>
      <c r="I3102" s="652"/>
      <c r="J3102" s="653"/>
      <c r="K3102" s="132"/>
      <c r="L3102" s="133"/>
    </row>
    <row r="3103" spans="1:12" x14ac:dyDescent="0.2">
      <c r="A3103" s="158"/>
      <c r="B3103" s="55"/>
      <c r="C3103" s="652"/>
      <c r="D3103" s="652"/>
      <c r="E3103" s="652"/>
      <c r="F3103" s="652"/>
      <c r="G3103" s="652"/>
      <c r="H3103" s="652"/>
      <c r="I3103" s="652"/>
      <c r="J3103" s="653"/>
      <c r="K3103" s="132"/>
      <c r="L3103" s="133"/>
    </row>
    <row r="3104" spans="1:12" x14ac:dyDescent="0.2">
      <c r="A3104" s="158"/>
      <c r="B3104" s="55"/>
      <c r="C3104" s="652"/>
      <c r="D3104" s="652"/>
      <c r="E3104" s="652"/>
      <c r="F3104" s="652"/>
      <c r="G3104" s="652"/>
      <c r="H3104" s="652"/>
      <c r="I3104" s="652"/>
      <c r="J3104" s="653"/>
      <c r="K3104" s="132"/>
      <c r="L3104" s="133"/>
    </row>
    <row r="3105" spans="1:12" x14ac:dyDescent="0.2">
      <c r="A3105" s="158"/>
      <c r="B3105" s="55"/>
      <c r="C3105" s="652"/>
      <c r="D3105" s="652"/>
      <c r="E3105" s="652"/>
      <c r="F3105" s="652"/>
      <c r="G3105" s="652"/>
      <c r="H3105" s="652"/>
      <c r="I3105" s="652"/>
      <c r="J3105" s="653"/>
      <c r="K3105" s="132"/>
      <c r="L3105" s="133"/>
    </row>
    <row r="3106" spans="1:12" x14ac:dyDescent="0.2">
      <c r="C3106" s="652"/>
      <c r="D3106" s="652"/>
      <c r="E3106" s="652"/>
      <c r="F3106" s="652"/>
      <c r="G3106" s="652"/>
      <c r="H3106" s="652"/>
      <c r="I3106" s="652"/>
      <c r="J3106" s="653"/>
      <c r="K3106" s="132"/>
      <c r="L3106" s="133"/>
    </row>
    <row r="3107" spans="1:12" ht="12.75" customHeight="1" x14ac:dyDescent="0.2">
      <c r="A3107" s="598"/>
      <c r="B3107" s="638"/>
      <c r="C3107" s="175"/>
      <c r="D3107" s="175"/>
      <c r="E3107" s="175"/>
      <c r="F3107" s="175"/>
      <c r="G3107" s="175"/>
      <c r="H3107" s="175"/>
      <c r="I3107" s="175"/>
      <c r="J3107" s="176"/>
      <c r="K3107" s="132"/>
      <c r="L3107" s="133"/>
    </row>
    <row r="3108" spans="1:12" x14ac:dyDescent="0.2">
      <c r="A3108" s="158" t="s">
        <v>64</v>
      </c>
      <c r="B3108" s="55"/>
      <c r="C3108" s="657" t="s">
        <v>601</v>
      </c>
      <c r="D3108" s="657"/>
      <c r="E3108" s="657"/>
      <c r="F3108" s="657"/>
      <c r="G3108" s="657"/>
      <c r="H3108" s="657"/>
      <c r="I3108" s="657"/>
      <c r="J3108" s="717"/>
      <c r="K3108" s="132"/>
      <c r="L3108" s="133"/>
    </row>
    <row r="3109" spans="1:12" x14ac:dyDescent="0.2">
      <c r="A3109" s="158"/>
      <c r="B3109" s="55"/>
      <c r="C3109" s="159"/>
      <c r="D3109" s="159"/>
      <c r="E3109" s="159"/>
      <c r="F3109" s="159"/>
      <c r="G3109" s="159"/>
      <c r="H3109" s="159"/>
      <c r="I3109" s="159"/>
      <c r="J3109" s="160"/>
      <c r="K3109" s="132"/>
      <c r="L3109" s="133"/>
    </row>
    <row r="3110" spans="1:12" x14ac:dyDescent="0.2">
      <c r="A3110" s="158"/>
      <c r="B3110" s="55"/>
      <c r="C3110" s="159"/>
      <c r="D3110" s="159"/>
      <c r="E3110" s="159"/>
      <c r="F3110" s="159"/>
      <c r="G3110" s="159"/>
      <c r="H3110" s="159"/>
      <c r="I3110" s="159"/>
      <c r="J3110" s="160"/>
      <c r="K3110" s="132"/>
      <c r="L3110" s="133"/>
    </row>
    <row r="3111" spans="1:12" x14ac:dyDescent="0.2">
      <c r="A3111" s="158"/>
      <c r="B3111" s="55"/>
      <c r="C3111" s="159"/>
      <c r="D3111" s="159"/>
      <c r="E3111" s="159"/>
      <c r="F3111" s="159"/>
      <c r="G3111" s="159"/>
      <c r="H3111" s="159"/>
      <c r="I3111" s="159"/>
      <c r="J3111" s="160"/>
      <c r="K3111" s="132"/>
      <c r="L3111" s="133"/>
    </row>
    <row r="3112" spans="1:12" x14ac:dyDescent="0.2">
      <c r="A3112" s="158"/>
      <c r="B3112" s="55"/>
      <c r="C3112" s="175"/>
      <c r="D3112" s="175"/>
      <c r="E3112" s="175"/>
      <c r="F3112" s="175"/>
      <c r="G3112" s="175"/>
      <c r="H3112" s="175"/>
      <c r="I3112" s="175"/>
      <c r="J3112" s="176"/>
      <c r="K3112" s="132"/>
      <c r="L3112" s="133"/>
    </row>
    <row r="3113" spans="1:12" x14ac:dyDescent="0.2">
      <c r="A3113" s="158"/>
      <c r="B3113" s="55"/>
      <c r="C3113" s="159"/>
      <c r="D3113" s="159"/>
      <c r="E3113" s="159"/>
      <c r="F3113" s="159"/>
      <c r="G3113" s="159"/>
      <c r="H3113" s="159"/>
      <c r="I3113" s="159"/>
      <c r="J3113" s="160"/>
      <c r="K3113" s="132"/>
      <c r="L3113" s="133"/>
    </row>
    <row r="3114" spans="1:12" x14ac:dyDescent="0.2">
      <c r="A3114" s="158"/>
      <c r="B3114" s="55"/>
      <c r="C3114" s="159"/>
      <c r="D3114" s="159"/>
      <c r="E3114" s="159"/>
      <c r="F3114" s="159"/>
      <c r="G3114" s="159"/>
      <c r="H3114" s="159"/>
      <c r="I3114" s="159"/>
      <c r="J3114" s="160"/>
      <c r="K3114" s="132"/>
      <c r="L3114" s="133"/>
    </row>
    <row r="3115" spans="1:12" x14ac:dyDescent="0.2">
      <c r="A3115" s="158"/>
      <c r="B3115" s="55"/>
      <c r="C3115" s="71"/>
      <c r="D3115" s="71"/>
      <c r="E3115" s="71"/>
      <c r="F3115" s="71"/>
      <c r="G3115" s="71"/>
      <c r="H3115" s="71"/>
      <c r="I3115" s="71"/>
      <c r="J3115" s="174"/>
      <c r="K3115" s="132"/>
      <c r="L3115" s="133"/>
    </row>
    <row r="3116" spans="1:12" x14ac:dyDescent="0.2">
      <c r="A3116" s="158"/>
      <c r="B3116" s="55"/>
      <c r="C3116" s="71"/>
      <c r="D3116" s="71"/>
      <c r="E3116" s="71"/>
      <c r="F3116" s="71"/>
      <c r="G3116" s="71"/>
      <c r="H3116" s="71"/>
      <c r="I3116" s="71"/>
      <c r="J3116" s="174"/>
      <c r="K3116" s="132"/>
      <c r="L3116" s="133"/>
    </row>
    <row r="3117" spans="1:12" x14ac:dyDescent="0.2">
      <c r="A3117" s="158"/>
      <c r="B3117" s="55"/>
      <c r="C3117" s="71"/>
      <c r="D3117" s="71"/>
      <c r="E3117" s="71"/>
      <c r="F3117" s="71"/>
      <c r="G3117" s="71"/>
      <c r="H3117" s="71"/>
      <c r="I3117" s="71"/>
      <c r="J3117" s="174"/>
      <c r="K3117" s="132"/>
      <c r="L3117" s="133"/>
    </row>
    <row r="3118" spans="1:12" x14ac:dyDescent="0.2">
      <c r="A3118" s="158"/>
      <c r="B3118" s="55"/>
      <c r="C3118" s="71"/>
      <c r="D3118" s="71"/>
      <c r="E3118" s="71"/>
      <c r="F3118" s="71"/>
      <c r="G3118" s="71"/>
      <c r="H3118" s="71"/>
      <c r="I3118" s="71"/>
      <c r="J3118" s="174"/>
      <c r="K3118" s="132"/>
      <c r="L3118" s="133"/>
    </row>
    <row r="3119" spans="1:12" x14ac:dyDescent="0.2">
      <c r="A3119" s="158"/>
      <c r="B3119" s="55"/>
      <c r="C3119" s="71"/>
      <c r="D3119" s="71"/>
      <c r="E3119" s="71"/>
      <c r="F3119" s="71"/>
      <c r="G3119" s="71"/>
      <c r="H3119" s="71"/>
      <c r="I3119" s="71"/>
      <c r="J3119" s="174"/>
      <c r="K3119" s="132"/>
      <c r="L3119" s="133"/>
    </row>
    <row r="3120" spans="1:12" x14ac:dyDescent="0.2">
      <c r="A3120" s="158"/>
      <c r="B3120" s="55"/>
      <c r="C3120" s="71"/>
      <c r="D3120" s="71"/>
      <c r="E3120" s="71"/>
      <c r="F3120" s="71"/>
      <c r="G3120" s="71"/>
      <c r="H3120" s="71"/>
      <c r="I3120" s="71"/>
      <c r="J3120" s="174"/>
      <c r="K3120" s="132"/>
      <c r="L3120" s="133"/>
    </row>
    <row r="3121" spans="1:14" x14ac:dyDescent="0.2">
      <c r="A3121" s="158"/>
      <c r="B3121" s="55"/>
      <c r="C3121" s="175"/>
      <c r="D3121" s="175"/>
      <c r="E3121" s="172"/>
      <c r="F3121" s="172"/>
      <c r="G3121" s="172"/>
      <c r="H3121" s="172"/>
      <c r="I3121" s="172"/>
      <c r="J3121" s="173"/>
      <c r="K3121" s="132"/>
      <c r="L3121" s="133"/>
    </row>
    <row r="3122" spans="1:14" ht="13.5" thickBot="1" x14ac:dyDescent="0.25">
      <c r="A3122" s="149"/>
      <c r="B3122" s="167"/>
      <c r="C3122" s="151"/>
      <c r="D3122" s="151"/>
      <c r="E3122" s="151"/>
      <c r="F3122" s="151"/>
      <c r="G3122" s="151"/>
      <c r="H3122" s="151"/>
      <c r="I3122" s="151"/>
      <c r="J3122" s="168"/>
      <c r="K3122" s="132"/>
      <c r="L3122" s="133"/>
    </row>
    <row r="3123" spans="1:14" ht="15.75" x14ac:dyDescent="0.2">
      <c r="A3123" s="602" t="s">
        <v>4</v>
      </c>
      <c r="B3123" s="603"/>
      <c r="C3123" s="603" t="str">
        <f>'A IV.A'!$B$43</f>
        <v>FECHAMENTOS, PROTEÇÕES E ALVENARIAS EM GERAL</v>
      </c>
      <c r="D3123" s="603"/>
      <c r="E3123" s="603"/>
      <c r="F3123" s="603"/>
      <c r="G3123" s="603"/>
      <c r="H3123" s="603"/>
      <c r="I3123" s="603"/>
      <c r="J3123" s="604"/>
      <c r="K3123" s="132"/>
      <c r="L3123" s="133"/>
    </row>
    <row r="3124" spans="1:14" x14ac:dyDescent="0.2">
      <c r="A3124" s="609" t="str">
        <f>'A IV.A'!$A$43</f>
        <v>3.0</v>
      </c>
      <c r="B3124" s="610"/>
      <c r="C3124" s="605"/>
      <c r="D3124" s="605"/>
      <c r="E3124" s="605"/>
      <c r="F3124" s="605"/>
      <c r="G3124" s="605"/>
      <c r="H3124" s="605"/>
      <c r="I3124" s="605"/>
      <c r="J3124" s="606"/>
      <c r="K3124" s="132"/>
      <c r="L3124" s="133"/>
    </row>
    <row r="3125" spans="1:14" ht="13.5" thickBot="1" x14ac:dyDescent="0.25">
      <c r="A3125" s="611"/>
      <c r="B3125" s="612"/>
      <c r="C3125" s="607"/>
      <c r="D3125" s="607"/>
      <c r="E3125" s="607"/>
      <c r="F3125" s="607"/>
      <c r="G3125" s="607"/>
      <c r="H3125" s="607"/>
      <c r="I3125" s="607"/>
      <c r="J3125" s="608"/>
      <c r="K3125" s="132"/>
      <c r="L3125" s="133"/>
    </row>
    <row r="3126" spans="1:14" ht="13.5" thickBot="1" x14ac:dyDescent="0.25">
      <c r="A3126" s="169"/>
      <c r="B3126" s="169"/>
      <c r="C3126" s="613"/>
      <c r="D3126" s="613"/>
      <c r="E3126" s="613"/>
      <c r="F3126" s="613"/>
      <c r="G3126" s="613"/>
      <c r="H3126" s="613"/>
      <c r="I3126" s="613"/>
      <c r="J3126" s="169"/>
      <c r="K3126" s="132"/>
      <c r="L3126" s="133"/>
    </row>
    <row r="3127" spans="1:14" ht="13.5" thickBot="1" x14ac:dyDescent="0.25">
      <c r="A3127" s="632" t="s">
        <v>60</v>
      </c>
      <c r="B3127" s="633"/>
      <c r="C3127" s="656" t="s">
        <v>61</v>
      </c>
      <c r="D3127" s="656"/>
      <c r="E3127" s="656"/>
      <c r="F3127" s="656"/>
      <c r="G3127" s="656"/>
      <c r="H3127" s="656"/>
      <c r="I3127" s="656"/>
      <c r="J3127" s="260" t="s">
        <v>0</v>
      </c>
      <c r="K3127" s="132"/>
      <c r="L3127" s="133"/>
    </row>
    <row r="3128" spans="1:14" x14ac:dyDescent="0.2">
      <c r="A3128" s="136"/>
      <c r="B3128" s="137"/>
      <c r="C3128" s="619"/>
      <c r="D3128" s="620"/>
      <c r="E3128" s="621"/>
      <c r="F3128" s="621"/>
      <c r="G3128" s="621"/>
      <c r="H3128" s="621"/>
      <c r="I3128" s="622"/>
      <c r="J3128" s="138"/>
      <c r="K3128" s="132"/>
      <c r="L3128" s="133"/>
    </row>
    <row r="3129" spans="1:14" x14ac:dyDescent="0.2">
      <c r="A3129" s="623" t="str">
        <f>'A IV.A'!$A$98</f>
        <v>3.9.3</v>
      </c>
      <c r="B3129" s="624"/>
      <c r="C3129" s="626" t="str">
        <f>'A IV.A'!$B$98</f>
        <v xml:space="preserve">PISO COM CERÂMICA ESMALTADA PEI-5 </v>
      </c>
      <c r="D3129" s="627"/>
      <c r="E3129" s="627"/>
      <c r="F3129" s="627"/>
      <c r="G3129" s="627"/>
      <c r="H3129" s="627"/>
      <c r="I3129" s="628"/>
      <c r="J3129" s="629" t="str">
        <f>'A IV.A'!$C$98</f>
        <v>M2</v>
      </c>
      <c r="K3129" s="630" t="str">
        <f>VLOOKUP(A3129,'A IV.A'!$A$14:$M$233,2,FALSE)</f>
        <v xml:space="preserve">PISO COM CERÂMICA ESMALTADA PEI-5 </v>
      </c>
      <c r="L3129" s="631" t="str">
        <f>IF(C3129=K3129,"sim","nao")</f>
        <v>sim</v>
      </c>
      <c r="M3129" s="631" t="str">
        <f>VLOOKUP(A3129,'A IV.A'!$A$14:$M$233,3,FALSE)</f>
        <v>M2</v>
      </c>
      <c r="N3129" s="631" t="str">
        <f>IF(J3129=M3129,"sim","nao")</f>
        <v>sim</v>
      </c>
    </row>
    <row r="3130" spans="1:14" x14ac:dyDescent="0.2">
      <c r="A3130" s="625"/>
      <c r="B3130" s="624"/>
      <c r="C3130" s="626"/>
      <c r="D3130" s="627"/>
      <c r="E3130" s="627"/>
      <c r="F3130" s="627"/>
      <c r="G3130" s="627"/>
      <c r="H3130" s="627"/>
      <c r="I3130" s="628"/>
      <c r="J3130" s="629"/>
      <c r="K3130" s="630"/>
      <c r="L3130" s="631"/>
      <c r="M3130" s="631"/>
      <c r="N3130" s="631"/>
    </row>
    <row r="3131" spans="1:14" x14ac:dyDescent="0.2">
      <c r="A3131" s="139"/>
      <c r="B3131" s="140"/>
      <c r="C3131" s="141"/>
      <c r="D3131" s="142"/>
      <c r="E3131" s="142"/>
      <c r="F3131" s="142"/>
      <c r="G3131" s="142"/>
      <c r="H3131" s="142"/>
      <c r="I3131" s="143"/>
      <c r="J3131" s="144"/>
      <c r="K3131" s="132"/>
      <c r="L3131" s="133"/>
    </row>
    <row r="3132" spans="1:14" x14ac:dyDescent="0.2">
      <c r="A3132" s="158"/>
      <c r="B3132" s="188"/>
      <c r="C3132" s="189"/>
      <c r="D3132" s="165"/>
      <c r="E3132" s="165"/>
      <c r="F3132" s="165"/>
      <c r="G3132" s="165"/>
      <c r="H3132" s="165"/>
      <c r="I3132" s="190"/>
      <c r="J3132" s="191"/>
      <c r="K3132" s="192"/>
      <c r="L3132" s="55"/>
      <c r="M3132" s="55"/>
      <c r="N3132" s="55"/>
    </row>
    <row r="3133" spans="1:14" x14ac:dyDescent="0.2">
      <c r="A3133" s="158"/>
      <c r="B3133" s="188"/>
      <c r="C3133" s="189"/>
      <c r="D3133" s="165"/>
      <c r="E3133" s="165"/>
      <c r="F3133" s="165"/>
      <c r="G3133" s="165"/>
      <c r="H3133" s="165"/>
      <c r="I3133" s="190"/>
      <c r="J3133" s="191"/>
      <c r="K3133" s="192"/>
      <c r="L3133" s="55"/>
      <c r="M3133" s="55"/>
      <c r="N3133" s="55"/>
    </row>
    <row r="3134" spans="1:14" x14ac:dyDescent="0.2">
      <c r="A3134" s="145"/>
      <c r="B3134" s="146"/>
      <c r="C3134" s="147"/>
      <c r="D3134" s="147"/>
      <c r="E3134" s="147"/>
      <c r="F3134" s="147"/>
      <c r="G3134" s="147"/>
      <c r="H3134" s="147"/>
      <c r="I3134" s="147"/>
      <c r="J3134" s="148"/>
      <c r="K3134" s="132"/>
      <c r="L3134" s="133"/>
    </row>
    <row r="3135" spans="1:14" x14ac:dyDescent="0.2">
      <c r="A3135" s="158"/>
      <c r="B3135" s="188"/>
      <c r="C3135" s="189"/>
      <c r="D3135" s="165"/>
      <c r="E3135" s="165"/>
      <c r="F3135" s="165"/>
      <c r="G3135" s="165"/>
      <c r="H3135" s="165"/>
      <c r="I3135" s="190"/>
      <c r="J3135" s="191"/>
      <c r="K3135" s="630"/>
      <c r="L3135" s="631"/>
      <c r="M3135" s="631"/>
      <c r="N3135" s="631"/>
    </row>
    <row r="3136" spans="1:14" x14ac:dyDescent="0.2">
      <c r="A3136" s="158"/>
      <c r="B3136" s="188"/>
      <c r="C3136" s="189"/>
      <c r="D3136" s="165"/>
      <c r="E3136" s="165"/>
      <c r="F3136" s="165"/>
      <c r="G3136" s="165"/>
      <c r="H3136" s="165"/>
      <c r="I3136" s="190"/>
      <c r="J3136" s="191"/>
      <c r="K3136" s="630"/>
      <c r="L3136" s="631"/>
      <c r="M3136" s="631"/>
      <c r="N3136" s="631"/>
    </row>
    <row r="3137" spans="1:12" x14ac:dyDescent="0.2">
      <c r="A3137" s="145"/>
      <c r="B3137" s="146"/>
      <c r="C3137" s="147"/>
      <c r="D3137" s="147"/>
      <c r="E3137" s="147"/>
      <c r="F3137" s="147"/>
      <c r="G3137" s="147"/>
      <c r="H3137" s="147"/>
      <c r="I3137" s="147"/>
      <c r="J3137" s="148"/>
      <c r="K3137" s="132"/>
      <c r="L3137" s="133"/>
    </row>
    <row r="3138" spans="1:12" x14ac:dyDescent="0.2">
      <c r="A3138" s="145"/>
      <c r="B3138" s="146"/>
      <c r="C3138" s="147"/>
      <c r="D3138" s="147"/>
      <c r="E3138" s="147"/>
      <c r="F3138" s="147"/>
      <c r="G3138" s="147"/>
      <c r="H3138" s="147"/>
      <c r="I3138" s="147"/>
      <c r="J3138" s="148"/>
      <c r="K3138" s="132"/>
      <c r="L3138" s="133"/>
    </row>
    <row r="3139" spans="1:12" x14ac:dyDescent="0.2">
      <c r="A3139" s="145"/>
      <c r="B3139" s="146"/>
      <c r="C3139" s="147"/>
      <c r="D3139" s="147"/>
      <c r="E3139" s="147"/>
      <c r="F3139" s="147"/>
      <c r="G3139" s="147"/>
      <c r="H3139" s="147"/>
      <c r="I3139" s="147"/>
      <c r="J3139" s="148"/>
      <c r="K3139" s="132"/>
      <c r="L3139" s="133"/>
    </row>
    <row r="3140" spans="1:12" x14ac:dyDescent="0.2">
      <c r="A3140" s="145"/>
      <c r="B3140" s="146"/>
      <c r="C3140" s="147"/>
      <c r="D3140" s="147"/>
      <c r="E3140" s="147"/>
      <c r="F3140" s="147"/>
      <c r="G3140" s="147"/>
      <c r="H3140" s="147"/>
      <c r="I3140" s="147"/>
      <c r="J3140" s="148"/>
      <c r="K3140" s="132"/>
      <c r="L3140" s="133"/>
    </row>
    <row r="3141" spans="1:12" x14ac:dyDescent="0.2">
      <c r="A3141" s="145"/>
      <c r="B3141" s="146"/>
      <c r="C3141" s="147"/>
      <c r="D3141" s="147"/>
      <c r="E3141" s="147"/>
      <c r="F3141" s="147"/>
      <c r="G3141" s="147"/>
      <c r="H3141" s="147"/>
      <c r="I3141" s="147"/>
      <c r="J3141" s="148"/>
      <c r="K3141" s="132"/>
      <c r="L3141" s="133"/>
    </row>
    <row r="3142" spans="1:12" x14ac:dyDescent="0.2">
      <c r="A3142" s="145"/>
      <c r="B3142" s="146"/>
      <c r="C3142" s="147"/>
      <c r="D3142" s="147"/>
      <c r="E3142" s="147"/>
      <c r="F3142" s="147"/>
      <c r="G3142" s="147"/>
      <c r="H3142" s="147"/>
      <c r="I3142" s="147"/>
      <c r="J3142" s="148"/>
      <c r="K3142" s="132"/>
      <c r="L3142" s="133"/>
    </row>
    <row r="3143" spans="1:12" x14ac:dyDescent="0.2">
      <c r="A3143" s="145"/>
      <c r="B3143" s="146"/>
      <c r="C3143" s="147"/>
      <c r="D3143" s="147"/>
      <c r="E3143" s="147"/>
      <c r="F3143" s="147"/>
      <c r="G3143" s="147"/>
      <c r="H3143" s="147"/>
      <c r="I3143" s="147"/>
      <c r="J3143" s="148"/>
      <c r="K3143" s="132"/>
      <c r="L3143" s="133"/>
    </row>
    <row r="3144" spans="1:12" x14ac:dyDescent="0.2">
      <c r="A3144" s="145"/>
      <c r="B3144" s="146"/>
      <c r="C3144" s="147"/>
      <c r="D3144" s="147"/>
      <c r="E3144" s="147"/>
      <c r="F3144" s="147"/>
      <c r="G3144" s="147"/>
      <c r="H3144" s="147"/>
      <c r="I3144" s="147"/>
      <c r="J3144" s="148"/>
      <c r="K3144" s="132"/>
      <c r="L3144" s="133"/>
    </row>
    <row r="3145" spans="1:12" x14ac:dyDescent="0.2">
      <c r="A3145" s="145"/>
      <c r="B3145" s="146"/>
      <c r="C3145" s="147"/>
      <c r="D3145" s="147"/>
      <c r="E3145" s="147"/>
      <c r="F3145" s="147"/>
      <c r="G3145" s="147"/>
      <c r="H3145" s="147"/>
      <c r="I3145" s="147"/>
      <c r="J3145" s="148"/>
      <c r="K3145" s="132"/>
      <c r="L3145" s="133"/>
    </row>
    <row r="3146" spans="1:12" x14ac:dyDescent="0.2">
      <c r="A3146" s="145"/>
      <c r="B3146" s="146"/>
      <c r="C3146" s="147"/>
      <c r="D3146" s="147"/>
      <c r="E3146" s="147"/>
      <c r="F3146" s="147"/>
      <c r="G3146" s="147"/>
      <c r="H3146" s="147"/>
      <c r="I3146" s="147"/>
      <c r="J3146" s="148"/>
      <c r="K3146" s="132"/>
      <c r="L3146" s="133"/>
    </row>
    <row r="3147" spans="1:12" x14ac:dyDescent="0.2">
      <c r="A3147" s="145"/>
      <c r="B3147" s="146"/>
      <c r="C3147" s="147"/>
      <c r="D3147" s="147"/>
      <c r="E3147" s="147"/>
      <c r="F3147" s="147"/>
      <c r="G3147" s="147"/>
      <c r="H3147" s="147"/>
      <c r="I3147" s="147"/>
      <c r="J3147" s="148"/>
      <c r="K3147" s="132"/>
      <c r="L3147" s="133"/>
    </row>
    <row r="3148" spans="1:12" x14ac:dyDescent="0.2">
      <c r="A3148" s="145"/>
      <c r="B3148" s="146"/>
      <c r="C3148" s="147"/>
      <c r="D3148" s="147"/>
      <c r="E3148" s="147"/>
      <c r="F3148" s="147"/>
      <c r="G3148" s="147"/>
      <c r="H3148" s="147"/>
      <c r="I3148" s="147"/>
      <c r="J3148" s="148"/>
      <c r="K3148" s="132"/>
      <c r="L3148" s="133"/>
    </row>
    <row r="3149" spans="1:12" x14ac:dyDescent="0.2">
      <c r="A3149" s="145"/>
      <c r="B3149" s="146"/>
      <c r="C3149" s="147"/>
      <c r="D3149" s="147"/>
      <c r="E3149" s="147"/>
      <c r="F3149" s="147"/>
      <c r="G3149" s="147"/>
      <c r="H3149" s="147"/>
      <c r="I3149" s="147"/>
      <c r="J3149" s="148"/>
      <c r="K3149" s="132"/>
      <c r="L3149" s="133"/>
    </row>
    <row r="3150" spans="1:12" ht="13.5" thickBot="1" x14ac:dyDescent="0.25">
      <c r="A3150" s="149"/>
      <c r="B3150" s="150"/>
      <c r="C3150" s="151"/>
      <c r="D3150" s="151"/>
      <c r="E3150" s="151"/>
      <c r="F3150" s="151"/>
      <c r="G3150" s="151"/>
      <c r="H3150" s="151"/>
      <c r="I3150" s="151"/>
      <c r="J3150" s="152"/>
      <c r="K3150" s="132"/>
      <c r="L3150" s="133"/>
    </row>
    <row r="3151" spans="1:12" ht="13.5" thickBot="1" x14ac:dyDescent="0.25">
      <c r="A3151" s="153"/>
      <c r="B3151" s="153"/>
      <c r="C3151" s="154"/>
      <c r="D3151" s="154"/>
      <c r="E3151" s="154"/>
      <c r="F3151" s="154"/>
      <c r="G3151" s="154"/>
      <c r="H3151" s="154"/>
      <c r="I3151" s="154"/>
      <c r="J3151" s="153"/>
      <c r="K3151" s="132"/>
      <c r="L3151" s="133"/>
    </row>
    <row r="3152" spans="1:12" ht="13.5" thickBot="1" x14ac:dyDescent="0.25">
      <c r="A3152" s="614" t="s">
        <v>62</v>
      </c>
      <c r="B3152" s="648"/>
      <c r="C3152" s="648"/>
      <c r="D3152" s="648"/>
      <c r="E3152" s="648"/>
      <c r="F3152" s="648"/>
      <c r="G3152" s="648"/>
      <c r="H3152" s="648"/>
      <c r="I3152" s="648"/>
      <c r="J3152" s="649"/>
      <c r="K3152" s="132"/>
      <c r="L3152" s="133"/>
    </row>
    <row r="3153" spans="1:12" x14ac:dyDescent="0.2">
      <c r="A3153" s="136"/>
      <c r="B3153" s="155"/>
      <c r="C3153" s="156"/>
      <c r="D3153" s="156"/>
      <c r="E3153" s="156"/>
      <c r="F3153" s="156"/>
      <c r="G3153" s="156"/>
      <c r="H3153" s="156"/>
      <c r="I3153" s="156"/>
      <c r="J3153" s="157"/>
      <c r="K3153" s="132"/>
      <c r="L3153" s="133"/>
    </row>
    <row r="3154" spans="1:12" ht="12.75" customHeight="1" x14ac:dyDescent="0.2">
      <c r="A3154" s="158" t="s">
        <v>63</v>
      </c>
      <c r="B3154" s="55"/>
      <c r="C3154" s="596" t="s">
        <v>603</v>
      </c>
      <c r="D3154" s="596"/>
      <c r="E3154" s="596"/>
      <c r="F3154" s="596"/>
      <c r="G3154" s="596"/>
      <c r="H3154" s="596"/>
      <c r="I3154" s="596"/>
      <c r="J3154" s="597"/>
      <c r="K3154" s="132"/>
      <c r="L3154" s="133"/>
    </row>
    <row r="3155" spans="1:12" x14ac:dyDescent="0.2">
      <c r="A3155" s="158"/>
      <c r="B3155" s="55"/>
      <c r="C3155" s="596"/>
      <c r="D3155" s="596"/>
      <c r="E3155" s="596"/>
      <c r="F3155" s="596"/>
      <c r="G3155" s="596"/>
      <c r="H3155" s="596"/>
      <c r="I3155" s="596"/>
      <c r="J3155" s="597"/>
      <c r="K3155" s="132"/>
      <c r="L3155" s="133"/>
    </row>
    <row r="3156" spans="1:12" x14ac:dyDescent="0.2">
      <c r="A3156" s="158"/>
      <c r="B3156" s="55"/>
      <c r="C3156" s="596"/>
      <c r="D3156" s="596"/>
      <c r="E3156" s="596"/>
      <c r="F3156" s="596"/>
      <c r="G3156" s="596"/>
      <c r="H3156" s="596"/>
      <c r="I3156" s="596"/>
      <c r="J3156" s="597"/>
      <c r="K3156" s="132"/>
      <c r="L3156" s="133"/>
    </row>
    <row r="3157" spans="1:12" x14ac:dyDescent="0.2">
      <c r="A3157" s="158"/>
      <c r="B3157" s="55"/>
      <c r="C3157" s="596"/>
      <c r="D3157" s="596"/>
      <c r="E3157" s="596"/>
      <c r="F3157" s="596"/>
      <c r="G3157" s="596"/>
      <c r="H3157" s="596"/>
      <c r="I3157" s="596"/>
      <c r="J3157" s="597"/>
      <c r="K3157" s="132"/>
      <c r="L3157" s="133"/>
    </row>
    <row r="3158" spans="1:12" x14ac:dyDescent="0.2">
      <c r="A3158" s="158"/>
      <c r="B3158" s="55"/>
      <c r="C3158" s="596"/>
      <c r="D3158" s="596"/>
      <c r="E3158" s="596"/>
      <c r="F3158" s="596"/>
      <c r="G3158" s="596"/>
      <c r="H3158" s="596"/>
      <c r="I3158" s="596"/>
      <c r="J3158" s="597"/>
      <c r="K3158" s="132"/>
      <c r="L3158" s="133"/>
    </row>
    <row r="3159" spans="1:12" x14ac:dyDescent="0.2">
      <c r="A3159" s="158"/>
      <c r="B3159" s="55"/>
      <c r="C3159" s="596"/>
      <c r="D3159" s="596"/>
      <c r="E3159" s="596"/>
      <c r="F3159" s="596"/>
      <c r="G3159" s="596"/>
      <c r="H3159" s="596"/>
      <c r="I3159" s="596"/>
      <c r="J3159" s="597"/>
      <c r="K3159" s="132"/>
      <c r="L3159" s="133"/>
    </row>
    <row r="3160" spans="1:12" ht="12.75" customHeight="1" x14ac:dyDescent="0.2">
      <c r="A3160" s="671"/>
      <c r="B3160" s="672"/>
      <c r="C3160" s="596"/>
      <c r="D3160" s="596"/>
      <c r="E3160" s="596"/>
      <c r="F3160" s="596"/>
      <c r="G3160" s="596"/>
      <c r="H3160" s="596"/>
      <c r="I3160" s="596"/>
      <c r="J3160" s="597"/>
      <c r="K3160" s="132"/>
      <c r="L3160" s="133"/>
    </row>
    <row r="3161" spans="1:12" ht="12.75" customHeight="1" x14ac:dyDescent="0.2">
      <c r="A3161" s="158" t="s">
        <v>64</v>
      </c>
      <c r="B3161" s="55"/>
      <c r="C3161" s="652" t="s">
        <v>602</v>
      </c>
      <c r="D3161" s="652"/>
      <c r="E3161" s="652"/>
      <c r="F3161" s="652"/>
      <c r="G3161" s="652"/>
      <c r="H3161" s="652"/>
      <c r="I3161" s="652"/>
      <c r="J3161" s="653"/>
      <c r="K3161" s="132"/>
      <c r="L3161" s="133"/>
    </row>
    <row r="3162" spans="1:12" x14ac:dyDescent="0.2">
      <c r="A3162" s="158"/>
      <c r="B3162" s="55"/>
      <c r="C3162" s="652"/>
      <c r="D3162" s="652"/>
      <c r="E3162" s="652"/>
      <c r="F3162" s="652"/>
      <c r="G3162" s="652"/>
      <c r="H3162" s="652"/>
      <c r="I3162" s="652"/>
      <c r="J3162" s="653"/>
      <c r="K3162" s="132"/>
      <c r="L3162" s="133"/>
    </row>
    <row r="3163" spans="1:12" x14ac:dyDescent="0.2">
      <c r="A3163" s="158"/>
      <c r="B3163" s="55"/>
      <c r="C3163" s="55"/>
      <c r="D3163" s="55"/>
      <c r="E3163" s="55"/>
      <c r="F3163" s="55"/>
      <c r="G3163" s="55"/>
      <c r="H3163" s="55"/>
      <c r="I3163" s="55"/>
      <c r="J3163" s="196"/>
      <c r="K3163" s="132"/>
      <c r="L3163" s="133"/>
    </row>
    <row r="3164" spans="1:12" x14ac:dyDescent="0.2">
      <c r="A3164" s="158" t="s">
        <v>65</v>
      </c>
      <c r="B3164" s="55"/>
      <c r="C3164" s="55" t="s">
        <v>604</v>
      </c>
      <c r="D3164" s="55"/>
      <c r="E3164" s="55"/>
      <c r="F3164" s="55"/>
      <c r="G3164" s="55"/>
      <c r="H3164" s="55"/>
      <c r="I3164" s="55"/>
      <c r="J3164" s="196"/>
      <c r="K3164" s="132"/>
      <c r="L3164" s="133"/>
    </row>
    <row r="3165" spans="1:12" x14ac:dyDescent="0.2">
      <c r="A3165" s="158"/>
      <c r="B3165" s="55"/>
      <c r="C3165" s="71"/>
      <c r="D3165" s="71"/>
      <c r="E3165" s="71"/>
      <c r="F3165" s="71"/>
      <c r="G3165" s="71"/>
      <c r="H3165" s="71"/>
      <c r="I3165" s="71"/>
      <c r="J3165" s="174"/>
      <c r="K3165" s="132"/>
      <c r="L3165" s="133"/>
    </row>
    <row r="3166" spans="1:12" x14ac:dyDescent="0.2">
      <c r="A3166" s="158"/>
      <c r="B3166" s="55"/>
      <c r="C3166" s="71"/>
      <c r="D3166" s="71"/>
      <c r="E3166" s="71"/>
      <c r="F3166" s="71"/>
      <c r="G3166" s="71"/>
      <c r="H3166" s="71"/>
      <c r="I3166" s="71"/>
      <c r="J3166" s="174"/>
      <c r="K3166" s="132"/>
      <c r="L3166" s="133"/>
    </row>
    <row r="3167" spans="1:12" x14ac:dyDescent="0.2">
      <c r="A3167" s="158"/>
      <c r="B3167" s="55"/>
      <c r="C3167" s="159"/>
      <c r="D3167" s="159"/>
      <c r="E3167" s="159"/>
      <c r="F3167" s="159"/>
      <c r="G3167" s="159"/>
      <c r="H3167" s="159"/>
      <c r="I3167" s="159"/>
      <c r="J3167" s="160"/>
      <c r="K3167" s="132"/>
      <c r="L3167" s="133"/>
    </row>
    <row r="3168" spans="1:12" x14ac:dyDescent="0.2">
      <c r="A3168" s="158"/>
      <c r="B3168" s="55"/>
      <c r="C3168" s="71"/>
      <c r="D3168" s="71"/>
      <c r="E3168" s="71"/>
      <c r="F3168" s="71"/>
      <c r="G3168" s="71"/>
      <c r="H3168" s="71"/>
      <c r="I3168" s="71"/>
      <c r="J3168" s="174"/>
      <c r="K3168" s="132"/>
      <c r="L3168" s="133"/>
    </row>
    <row r="3169" spans="1:14" x14ac:dyDescent="0.2">
      <c r="A3169" s="158"/>
      <c r="B3169" s="55"/>
      <c r="C3169" s="71"/>
      <c r="D3169" s="71"/>
      <c r="E3169" s="71"/>
      <c r="F3169" s="71"/>
      <c r="G3169" s="71"/>
      <c r="H3169" s="71"/>
      <c r="I3169" s="71"/>
      <c r="J3169" s="174"/>
      <c r="K3169" s="132"/>
      <c r="L3169" s="133"/>
    </row>
    <row r="3170" spans="1:14" x14ac:dyDescent="0.2">
      <c r="A3170" s="158"/>
      <c r="B3170" s="55"/>
      <c r="C3170" s="71"/>
      <c r="D3170" s="71"/>
      <c r="E3170" s="71"/>
      <c r="F3170" s="71"/>
      <c r="G3170" s="71"/>
      <c r="H3170" s="71"/>
      <c r="I3170" s="71"/>
      <c r="J3170" s="174"/>
      <c r="K3170" s="132"/>
      <c r="L3170" s="133"/>
    </row>
    <row r="3171" spans="1:14" x14ac:dyDescent="0.2">
      <c r="A3171" s="158"/>
      <c r="B3171" s="55"/>
      <c r="C3171" s="71"/>
      <c r="D3171" s="71"/>
      <c r="E3171" s="71"/>
      <c r="F3171" s="71"/>
      <c r="G3171" s="71"/>
      <c r="H3171" s="71"/>
      <c r="I3171" s="71"/>
      <c r="J3171" s="174"/>
      <c r="K3171" s="132"/>
      <c r="L3171" s="133"/>
    </row>
    <row r="3172" spans="1:14" x14ac:dyDescent="0.2">
      <c r="A3172" s="158"/>
      <c r="B3172" s="55"/>
      <c r="C3172" s="175"/>
      <c r="D3172" s="175"/>
      <c r="E3172" s="172"/>
      <c r="F3172" s="172"/>
      <c r="G3172" s="172"/>
      <c r="H3172" s="172"/>
      <c r="I3172" s="172"/>
      <c r="J3172" s="173"/>
      <c r="K3172" s="132"/>
      <c r="L3172" s="133"/>
    </row>
    <row r="3173" spans="1:14" x14ac:dyDescent="0.2">
      <c r="A3173" s="158"/>
      <c r="B3173" s="55"/>
      <c r="C3173" s="175"/>
      <c r="D3173" s="175"/>
      <c r="E3173" s="172"/>
      <c r="F3173" s="172"/>
      <c r="G3173" s="172"/>
      <c r="H3173" s="172"/>
      <c r="I3173" s="172"/>
      <c r="J3173" s="173"/>
      <c r="K3173" s="132"/>
      <c r="L3173" s="133"/>
    </row>
    <row r="3174" spans="1:14" x14ac:dyDescent="0.2">
      <c r="A3174" s="158"/>
      <c r="B3174" s="55"/>
      <c r="C3174" s="175"/>
      <c r="D3174" s="175"/>
      <c r="E3174" s="172"/>
      <c r="F3174" s="172"/>
      <c r="G3174" s="172"/>
      <c r="H3174" s="172"/>
      <c r="I3174" s="172"/>
      <c r="J3174" s="173"/>
      <c r="K3174" s="132"/>
      <c r="L3174" s="133"/>
    </row>
    <row r="3175" spans="1:14" ht="13.5" thickBot="1" x14ac:dyDescent="0.25">
      <c r="A3175" s="149"/>
      <c r="B3175" s="167"/>
      <c r="C3175" s="151"/>
      <c r="D3175" s="151"/>
      <c r="E3175" s="151"/>
      <c r="F3175" s="151"/>
      <c r="G3175" s="151"/>
      <c r="H3175" s="151"/>
      <c r="I3175" s="151"/>
      <c r="J3175" s="168"/>
      <c r="K3175" s="132"/>
      <c r="L3175" s="133"/>
    </row>
    <row r="3176" spans="1:14" ht="15.75" x14ac:dyDescent="0.2">
      <c r="A3176" s="602" t="s">
        <v>4</v>
      </c>
      <c r="B3176" s="603"/>
      <c r="C3176" s="603" t="str">
        <f>'A IV.A'!$B$43</f>
        <v>FECHAMENTOS, PROTEÇÕES E ALVENARIAS EM GERAL</v>
      </c>
      <c r="D3176" s="603"/>
      <c r="E3176" s="603"/>
      <c r="F3176" s="603"/>
      <c r="G3176" s="603"/>
      <c r="H3176" s="603"/>
      <c r="I3176" s="603"/>
      <c r="J3176" s="604"/>
      <c r="K3176" s="132"/>
      <c r="L3176" s="133"/>
    </row>
    <row r="3177" spans="1:14" x14ac:dyDescent="0.2">
      <c r="A3177" s="609" t="str">
        <f>'A IV.A'!$A$43</f>
        <v>3.0</v>
      </c>
      <c r="B3177" s="610"/>
      <c r="C3177" s="605"/>
      <c r="D3177" s="605"/>
      <c r="E3177" s="605"/>
      <c r="F3177" s="605"/>
      <c r="G3177" s="605"/>
      <c r="H3177" s="605"/>
      <c r="I3177" s="605"/>
      <c r="J3177" s="606"/>
      <c r="K3177" s="132"/>
      <c r="L3177" s="133"/>
    </row>
    <row r="3178" spans="1:14" ht="13.5" thickBot="1" x14ac:dyDescent="0.25">
      <c r="A3178" s="611"/>
      <c r="B3178" s="612"/>
      <c r="C3178" s="607"/>
      <c r="D3178" s="607"/>
      <c r="E3178" s="607"/>
      <c r="F3178" s="607"/>
      <c r="G3178" s="607"/>
      <c r="H3178" s="607"/>
      <c r="I3178" s="607"/>
      <c r="J3178" s="608"/>
      <c r="K3178" s="132"/>
      <c r="L3178" s="133"/>
    </row>
    <row r="3179" spans="1:14" ht="13.5" thickBot="1" x14ac:dyDescent="0.25">
      <c r="A3179" s="169"/>
      <c r="B3179" s="169"/>
      <c r="C3179" s="613"/>
      <c r="D3179" s="613"/>
      <c r="E3179" s="613"/>
      <c r="F3179" s="613"/>
      <c r="G3179" s="613"/>
      <c r="H3179" s="613"/>
      <c r="I3179" s="613"/>
      <c r="J3179" s="169"/>
      <c r="K3179" s="132"/>
      <c r="L3179" s="133"/>
    </row>
    <row r="3180" spans="1:14" ht="13.5" thickBot="1" x14ac:dyDescent="0.25">
      <c r="A3180" s="632" t="s">
        <v>60</v>
      </c>
      <c r="B3180" s="633"/>
      <c r="C3180" s="656" t="s">
        <v>61</v>
      </c>
      <c r="D3180" s="656"/>
      <c r="E3180" s="656"/>
      <c r="F3180" s="656"/>
      <c r="G3180" s="656"/>
      <c r="H3180" s="656"/>
      <c r="I3180" s="656"/>
      <c r="J3180" s="260" t="s">
        <v>0</v>
      </c>
      <c r="K3180" s="132"/>
      <c r="L3180" s="133"/>
    </row>
    <row r="3181" spans="1:14" x14ac:dyDescent="0.2">
      <c r="A3181" s="136"/>
      <c r="B3181" s="137"/>
      <c r="C3181" s="619"/>
      <c r="D3181" s="620"/>
      <c r="E3181" s="621"/>
      <c r="F3181" s="621"/>
      <c r="G3181" s="621"/>
      <c r="H3181" s="621"/>
      <c r="I3181" s="622"/>
      <c r="J3181" s="138"/>
      <c r="K3181" s="132"/>
      <c r="L3181" s="133"/>
    </row>
    <row r="3182" spans="1:14" x14ac:dyDescent="0.2">
      <c r="A3182" s="623" t="str">
        <f>'A IV.A'!$A$99</f>
        <v>3.9.4</v>
      </c>
      <c r="B3182" s="624"/>
      <c r="C3182" s="626" t="str">
        <f>'A IV.A'!$B$99</f>
        <v xml:space="preserve">CAMADA DE REGULARIZAÇÃO EM ARGAMASSA DESEMPENADA E=3CM, IMPERMEABILIZANTE E ADITIVO ADESIVO </v>
      </c>
      <c r="D3182" s="627"/>
      <c r="E3182" s="627"/>
      <c r="F3182" s="627"/>
      <c r="G3182" s="627"/>
      <c r="H3182" s="627"/>
      <c r="I3182" s="628"/>
      <c r="J3182" s="629" t="str">
        <f>'A IV.A'!$C$99</f>
        <v>M2</v>
      </c>
      <c r="K3182" s="630" t="str">
        <f>VLOOKUP(A3182,'A IV.A'!$A$14:$M$233,2,FALSE)</f>
        <v xml:space="preserve">CAMADA DE REGULARIZAÇÃO EM ARGAMASSA DESEMPENADA E=3CM, IMPERMEABILIZANTE E ADITIVO ADESIVO </v>
      </c>
      <c r="L3182" s="631" t="str">
        <f>IF(C3182=K3182,"sim","nao")</f>
        <v>sim</v>
      </c>
      <c r="M3182" s="631" t="str">
        <f>VLOOKUP(A3182,'A IV.A'!$A$14:$M$233,3,FALSE)</f>
        <v>M2</v>
      </c>
      <c r="N3182" s="631" t="str">
        <f>IF(J3182=M3182,"sim","nao")</f>
        <v>sim</v>
      </c>
    </row>
    <row r="3183" spans="1:14" x14ac:dyDescent="0.2">
      <c r="A3183" s="625"/>
      <c r="B3183" s="624"/>
      <c r="C3183" s="626"/>
      <c r="D3183" s="627"/>
      <c r="E3183" s="627"/>
      <c r="F3183" s="627"/>
      <c r="G3183" s="627"/>
      <c r="H3183" s="627"/>
      <c r="I3183" s="628"/>
      <c r="J3183" s="629"/>
      <c r="K3183" s="630"/>
      <c r="L3183" s="631"/>
      <c r="M3183" s="631"/>
      <c r="N3183" s="631"/>
    </row>
    <row r="3184" spans="1:14" x14ac:dyDescent="0.2">
      <c r="A3184" s="139"/>
      <c r="B3184" s="140"/>
      <c r="C3184" s="141"/>
      <c r="D3184" s="142"/>
      <c r="E3184" s="142"/>
      <c r="F3184" s="142"/>
      <c r="G3184" s="142"/>
      <c r="H3184" s="142"/>
      <c r="I3184" s="143"/>
      <c r="J3184" s="144"/>
      <c r="K3184" s="132"/>
      <c r="L3184" s="133"/>
    </row>
    <row r="3185" spans="1:14" x14ac:dyDescent="0.2">
      <c r="A3185" s="158"/>
      <c r="B3185" s="188"/>
      <c r="C3185" s="189"/>
      <c r="D3185" s="165"/>
      <c r="E3185" s="165"/>
      <c r="F3185" s="165"/>
      <c r="G3185" s="165"/>
      <c r="H3185" s="165"/>
      <c r="I3185" s="190"/>
      <c r="J3185" s="191"/>
      <c r="K3185" s="192"/>
      <c r="L3185" s="55"/>
      <c r="M3185" s="55"/>
      <c r="N3185" s="55"/>
    </row>
    <row r="3186" spans="1:14" x14ac:dyDescent="0.2">
      <c r="A3186" s="158"/>
      <c r="B3186" s="188"/>
      <c r="C3186" s="189"/>
      <c r="D3186" s="165"/>
      <c r="E3186" s="165"/>
      <c r="F3186" s="165"/>
      <c r="G3186" s="165"/>
      <c r="H3186" s="165"/>
      <c r="I3186" s="190"/>
      <c r="J3186" s="191"/>
      <c r="K3186" s="192"/>
      <c r="L3186" s="55"/>
      <c r="M3186" s="55"/>
      <c r="N3186" s="55"/>
    </row>
    <row r="3187" spans="1:14" x14ac:dyDescent="0.2">
      <c r="A3187" s="145"/>
      <c r="B3187" s="146"/>
      <c r="C3187" s="147"/>
      <c r="D3187" s="147"/>
      <c r="E3187" s="147"/>
      <c r="F3187" s="147"/>
      <c r="G3187" s="147"/>
      <c r="H3187" s="147"/>
      <c r="I3187" s="147"/>
      <c r="J3187" s="148"/>
      <c r="K3187" s="132"/>
      <c r="L3187" s="133"/>
    </row>
    <row r="3188" spans="1:14" x14ac:dyDescent="0.2">
      <c r="A3188" s="158"/>
      <c r="B3188" s="188"/>
      <c r="C3188" s="189"/>
      <c r="D3188" s="165"/>
      <c r="E3188" s="165"/>
      <c r="F3188" s="165"/>
      <c r="G3188" s="165"/>
      <c r="H3188" s="165"/>
      <c r="I3188" s="190"/>
      <c r="J3188" s="191"/>
      <c r="K3188" s="630"/>
      <c r="L3188" s="631"/>
      <c r="M3188" s="631"/>
      <c r="N3188" s="631"/>
    </row>
    <row r="3189" spans="1:14" x14ac:dyDescent="0.2">
      <c r="A3189" s="158"/>
      <c r="B3189" s="188"/>
      <c r="C3189" s="189"/>
      <c r="D3189" s="165"/>
      <c r="E3189" s="165"/>
      <c r="F3189" s="165"/>
      <c r="G3189" s="165"/>
      <c r="H3189" s="165"/>
      <c r="I3189" s="190"/>
      <c r="J3189" s="191"/>
      <c r="K3189" s="630"/>
      <c r="L3189" s="631"/>
      <c r="M3189" s="631"/>
      <c r="N3189" s="631"/>
    </row>
    <row r="3190" spans="1:14" x14ac:dyDescent="0.2">
      <c r="A3190" s="145"/>
      <c r="B3190" s="146"/>
      <c r="C3190" s="147"/>
      <c r="D3190" s="147"/>
      <c r="E3190" s="147"/>
      <c r="F3190" s="147"/>
      <c r="G3190" s="147"/>
      <c r="H3190" s="147"/>
      <c r="I3190" s="147"/>
      <c r="J3190" s="148"/>
      <c r="K3190" s="132"/>
      <c r="L3190" s="133"/>
    </row>
    <row r="3191" spans="1:14" x14ac:dyDescent="0.2">
      <c r="A3191" s="145"/>
      <c r="B3191" s="146"/>
      <c r="C3191" s="147"/>
      <c r="D3191" s="147"/>
      <c r="E3191" s="147"/>
      <c r="F3191" s="147"/>
      <c r="G3191" s="147"/>
      <c r="H3191" s="147"/>
      <c r="I3191" s="147"/>
      <c r="J3191" s="148"/>
      <c r="K3191" s="132"/>
      <c r="L3191" s="133"/>
    </row>
    <row r="3192" spans="1:14" x14ac:dyDescent="0.2">
      <c r="A3192" s="145"/>
      <c r="B3192" s="146"/>
      <c r="C3192" s="147"/>
      <c r="D3192" s="147"/>
      <c r="E3192" s="147"/>
      <c r="F3192" s="147"/>
      <c r="G3192" s="147"/>
      <c r="H3192" s="147"/>
      <c r="I3192" s="147"/>
      <c r="J3192" s="148"/>
      <c r="K3192" s="132"/>
      <c r="L3192" s="133"/>
    </row>
    <row r="3193" spans="1:14" x14ac:dyDescent="0.2">
      <c r="A3193" s="145"/>
      <c r="B3193" s="146"/>
      <c r="C3193" s="147"/>
      <c r="D3193" s="147"/>
      <c r="E3193" s="147"/>
      <c r="F3193" s="147"/>
      <c r="G3193" s="147"/>
      <c r="H3193" s="147"/>
      <c r="I3193" s="147"/>
      <c r="J3193" s="148"/>
      <c r="K3193" s="132"/>
      <c r="L3193" s="133"/>
    </row>
    <row r="3194" spans="1:14" x14ac:dyDescent="0.2">
      <c r="A3194" s="145"/>
      <c r="B3194" s="146"/>
      <c r="C3194" s="147"/>
      <c r="D3194" s="147"/>
      <c r="E3194" s="147"/>
      <c r="F3194" s="147"/>
      <c r="G3194" s="147"/>
      <c r="H3194" s="147"/>
      <c r="I3194" s="147"/>
      <c r="J3194" s="148"/>
      <c r="K3194" s="132"/>
      <c r="L3194" s="133"/>
    </row>
    <row r="3195" spans="1:14" x14ac:dyDescent="0.2">
      <c r="A3195" s="145"/>
      <c r="B3195" s="146"/>
      <c r="C3195" s="147"/>
      <c r="D3195" s="147"/>
      <c r="E3195" s="147"/>
      <c r="F3195" s="147"/>
      <c r="G3195" s="147"/>
      <c r="H3195" s="147"/>
      <c r="I3195" s="147"/>
      <c r="J3195" s="148"/>
      <c r="K3195" s="132"/>
      <c r="L3195" s="133"/>
    </row>
    <row r="3196" spans="1:14" x14ac:dyDescent="0.2">
      <c r="A3196" s="145"/>
      <c r="B3196" s="146"/>
      <c r="C3196" s="147"/>
      <c r="D3196" s="147"/>
      <c r="E3196" s="147"/>
      <c r="F3196" s="147"/>
      <c r="G3196" s="147"/>
      <c r="H3196" s="147"/>
      <c r="I3196" s="147"/>
      <c r="J3196" s="148"/>
      <c r="K3196" s="132"/>
      <c r="L3196" s="133"/>
    </row>
    <row r="3197" spans="1:14" x14ac:dyDescent="0.2">
      <c r="A3197" s="145"/>
      <c r="B3197" s="146"/>
      <c r="C3197" s="147"/>
      <c r="D3197" s="147"/>
      <c r="E3197" s="147"/>
      <c r="F3197" s="147"/>
      <c r="G3197" s="147"/>
      <c r="H3197" s="147"/>
      <c r="I3197" s="147"/>
      <c r="J3197" s="148"/>
      <c r="K3197" s="132"/>
      <c r="L3197" s="133"/>
    </row>
    <row r="3198" spans="1:14" x14ac:dyDescent="0.2">
      <c r="A3198" s="145"/>
      <c r="B3198" s="146"/>
      <c r="C3198" s="147"/>
      <c r="D3198" s="147"/>
      <c r="E3198" s="147"/>
      <c r="F3198" s="147"/>
      <c r="G3198" s="147"/>
      <c r="H3198" s="147"/>
      <c r="I3198" s="147"/>
      <c r="J3198" s="148"/>
      <c r="K3198" s="132"/>
      <c r="L3198" s="133"/>
    </row>
    <row r="3199" spans="1:14" x14ac:dyDescent="0.2">
      <c r="A3199" s="145"/>
      <c r="B3199" s="146"/>
      <c r="C3199" s="147"/>
      <c r="D3199" s="147"/>
      <c r="E3199" s="147"/>
      <c r="F3199" s="147"/>
      <c r="G3199" s="147"/>
      <c r="H3199" s="147"/>
      <c r="I3199" s="147"/>
      <c r="J3199" s="148"/>
      <c r="K3199" s="132"/>
      <c r="L3199" s="133"/>
    </row>
    <row r="3200" spans="1:14" x14ac:dyDescent="0.2">
      <c r="A3200" s="145"/>
      <c r="B3200" s="146"/>
      <c r="C3200" s="147"/>
      <c r="D3200" s="147"/>
      <c r="E3200" s="147"/>
      <c r="F3200" s="147"/>
      <c r="G3200" s="147"/>
      <c r="H3200" s="147"/>
      <c r="I3200" s="147"/>
      <c r="J3200" s="148"/>
      <c r="K3200" s="132"/>
      <c r="L3200" s="133"/>
    </row>
    <row r="3201" spans="1:12" x14ac:dyDescent="0.2">
      <c r="A3201" s="145"/>
      <c r="B3201" s="146"/>
      <c r="C3201" s="147"/>
      <c r="D3201" s="147"/>
      <c r="E3201" s="147"/>
      <c r="F3201" s="147"/>
      <c r="G3201" s="147"/>
      <c r="H3201" s="147"/>
      <c r="I3201" s="147"/>
      <c r="J3201" s="148"/>
      <c r="K3201" s="132"/>
      <c r="L3201" s="133"/>
    </row>
    <row r="3202" spans="1:12" x14ac:dyDescent="0.2">
      <c r="A3202" s="145"/>
      <c r="B3202" s="146"/>
      <c r="C3202" s="147"/>
      <c r="D3202" s="147"/>
      <c r="E3202" s="147"/>
      <c r="F3202" s="147"/>
      <c r="G3202" s="147"/>
      <c r="H3202" s="147"/>
      <c r="I3202" s="147"/>
      <c r="J3202" s="148"/>
      <c r="K3202" s="132"/>
      <c r="L3202" s="133"/>
    </row>
    <row r="3203" spans="1:12" ht="13.5" thickBot="1" x14ac:dyDescent="0.25">
      <c r="A3203" s="149"/>
      <c r="B3203" s="150"/>
      <c r="C3203" s="151"/>
      <c r="D3203" s="151"/>
      <c r="E3203" s="151"/>
      <c r="F3203" s="151"/>
      <c r="G3203" s="151"/>
      <c r="H3203" s="151"/>
      <c r="I3203" s="151"/>
      <c r="J3203" s="152"/>
      <c r="K3203" s="132"/>
      <c r="L3203" s="133"/>
    </row>
    <row r="3204" spans="1:12" ht="13.5" thickBot="1" x14ac:dyDescent="0.25">
      <c r="A3204" s="153"/>
      <c r="B3204" s="153"/>
      <c r="C3204" s="154"/>
      <c r="D3204" s="154"/>
      <c r="E3204" s="154"/>
      <c r="F3204" s="154"/>
      <c r="G3204" s="154"/>
      <c r="H3204" s="154"/>
      <c r="I3204" s="154"/>
      <c r="J3204" s="153"/>
      <c r="K3204" s="132"/>
      <c r="L3204" s="133"/>
    </row>
    <row r="3205" spans="1:12" ht="13.5" thickBot="1" x14ac:dyDescent="0.25">
      <c r="A3205" s="614" t="s">
        <v>62</v>
      </c>
      <c r="B3205" s="648"/>
      <c r="C3205" s="648"/>
      <c r="D3205" s="648"/>
      <c r="E3205" s="648"/>
      <c r="F3205" s="648"/>
      <c r="G3205" s="648"/>
      <c r="H3205" s="648"/>
      <c r="I3205" s="648"/>
      <c r="J3205" s="649"/>
      <c r="K3205" s="132"/>
      <c r="L3205" s="133"/>
    </row>
    <row r="3206" spans="1:12" x14ac:dyDescent="0.2">
      <c r="A3206" s="136"/>
      <c r="B3206" s="155"/>
      <c r="C3206" s="156"/>
      <c r="D3206" s="156"/>
      <c r="E3206" s="156"/>
      <c r="F3206" s="156"/>
      <c r="G3206" s="156"/>
      <c r="H3206" s="156"/>
      <c r="I3206" s="156"/>
      <c r="J3206" s="157"/>
      <c r="K3206" s="132"/>
      <c r="L3206" s="133"/>
    </row>
    <row r="3207" spans="1:12" ht="12.75" customHeight="1" x14ac:dyDescent="0.2">
      <c r="A3207" s="158" t="s">
        <v>63</v>
      </c>
      <c r="B3207" s="55"/>
      <c r="C3207" s="652" t="s">
        <v>145</v>
      </c>
      <c r="D3207" s="652"/>
      <c r="E3207" s="652"/>
      <c r="F3207" s="652"/>
      <c r="G3207" s="652"/>
      <c r="H3207" s="652"/>
      <c r="I3207" s="652"/>
      <c r="J3207" s="653"/>
      <c r="K3207" s="132"/>
      <c r="L3207" s="133"/>
    </row>
    <row r="3208" spans="1:12" x14ac:dyDescent="0.2">
      <c r="A3208" s="158"/>
      <c r="B3208" s="55"/>
      <c r="C3208" s="652"/>
      <c r="D3208" s="652"/>
      <c r="E3208" s="652"/>
      <c r="F3208" s="652"/>
      <c r="G3208" s="652"/>
      <c r="H3208" s="652"/>
      <c r="I3208" s="652"/>
      <c r="J3208" s="653"/>
      <c r="K3208" s="132"/>
      <c r="L3208" s="133"/>
    </row>
    <row r="3209" spans="1:12" x14ac:dyDescent="0.2">
      <c r="A3209" s="158"/>
      <c r="B3209" s="55"/>
      <c r="C3209" s="652"/>
      <c r="D3209" s="652"/>
      <c r="E3209" s="652"/>
      <c r="F3209" s="652"/>
      <c r="G3209" s="652"/>
      <c r="H3209" s="652"/>
      <c r="I3209" s="652"/>
      <c r="J3209" s="653"/>
      <c r="K3209" s="132"/>
      <c r="L3209" s="133"/>
    </row>
    <row r="3210" spans="1:12" x14ac:dyDescent="0.2">
      <c r="A3210" s="158"/>
      <c r="B3210" s="55"/>
      <c r="C3210" s="652"/>
      <c r="D3210" s="652"/>
      <c r="E3210" s="652"/>
      <c r="F3210" s="652"/>
      <c r="G3210" s="652"/>
      <c r="H3210" s="652"/>
      <c r="I3210" s="652"/>
      <c r="J3210" s="653"/>
      <c r="K3210" s="132"/>
      <c r="L3210" s="133"/>
    </row>
    <row r="3211" spans="1:12" x14ac:dyDescent="0.2">
      <c r="A3211" s="158"/>
      <c r="B3211" s="55"/>
      <c r="C3211" s="652"/>
      <c r="D3211" s="652"/>
      <c r="E3211" s="652"/>
      <c r="F3211" s="652"/>
      <c r="G3211" s="652"/>
      <c r="H3211" s="652"/>
      <c r="I3211" s="652"/>
      <c r="J3211" s="653"/>
      <c r="K3211" s="132"/>
      <c r="L3211" s="133"/>
    </row>
    <row r="3212" spans="1:12" ht="12.75" customHeight="1" x14ac:dyDescent="0.2">
      <c r="A3212" s="598"/>
      <c r="B3212" s="638"/>
      <c r="C3212" s="596"/>
      <c r="D3212" s="596"/>
      <c r="E3212" s="596"/>
      <c r="F3212" s="596"/>
      <c r="G3212" s="596"/>
      <c r="H3212" s="596"/>
      <c r="I3212" s="596"/>
      <c r="J3212" s="597"/>
      <c r="K3212" s="132"/>
      <c r="L3212" s="133"/>
    </row>
    <row r="3213" spans="1:12" ht="12.75" customHeight="1" x14ac:dyDescent="0.2">
      <c r="A3213" s="598" t="s">
        <v>64</v>
      </c>
      <c r="B3213" s="638"/>
      <c r="C3213" s="596" t="s">
        <v>605</v>
      </c>
      <c r="D3213" s="596"/>
      <c r="E3213" s="596"/>
      <c r="F3213" s="596"/>
      <c r="G3213" s="596"/>
      <c r="H3213" s="596"/>
      <c r="I3213" s="596"/>
      <c r="J3213" s="597"/>
      <c r="K3213" s="132"/>
      <c r="L3213" s="133"/>
    </row>
    <row r="3214" spans="1:12" x14ac:dyDescent="0.2">
      <c r="A3214" s="158"/>
      <c r="B3214" s="55"/>
      <c r="C3214" s="175"/>
      <c r="D3214" s="175"/>
      <c r="E3214" s="175"/>
      <c r="F3214" s="175"/>
      <c r="G3214" s="175"/>
      <c r="H3214" s="175"/>
      <c r="I3214" s="175"/>
      <c r="J3214" s="176"/>
      <c r="K3214" s="132"/>
      <c r="L3214" s="133"/>
    </row>
    <row r="3215" spans="1:12" x14ac:dyDescent="0.2">
      <c r="A3215" s="158"/>
      <c r="B3215" s="55"/>
      <c r="C3215" s="71"/>
      <c r="D3215" s="71"/>
      <c r="E3215" s="71"/>
      <c r="F3215" s="71"/>
      <c r="G3215" s="71"/>
      <c r="H3215" s="71"/>
      <c r="I3215" s="71"/>
      <c r="J3215" s="174"/>
      <c r="K3215" s="132"/>
      <c r="L3215" s="133"/>
    </row>
    <row r="3216" spans="1:12" x14ac:dyDescent="0.2">
      <c r="A3216" s="158"/>
      <c r="B3216" s="55"/>
      <c r="C3216" s="71"/>
      <c r="D3216" s="71"/>
      <c r="E3216" s="71"/>
      <c r="F3216" s="71"/>
      <c r="G3216" s="71"/>
      <c r="H3216" s="71"/>
      <c r="I3216" s="71"/>
      <c r="J3216" s="174"/>
      <c r="K3216" s="132"/>
      <c r="L3216" s="133"/>
    </row>
    <row r="3217" spans="1:12" x14ac:dyDescent="0.2">
      <c r="A3217" s="158"/>
      <c r="B3217" s="55"/>
      <c r="C3217" s="71"/>
      <c r="D3217" s="71"/>
      <c r="E3217" s="71"/>
      <c r="F3217" s="71"/>
      <c r="G3217" s="71"/>
      <c r="H3217" s="71"/>
      <c r="I3217" s="71"/>
      <c r="J3217" s="174"/>
      <c r="K3217" s="132"/>
      <c r="L3217" s="133"/>
    </row>
    <row r="3218" spans="1:12" x14ac:dyDescent="0.2">
      <c r="A3218" s="158"/>
      <c r="B3218" s="55"/>
      <c r="C3218" s="71"/>
      <c r="D3218" s="71"/>
      <c r="E3218" s="71"/>
      <c r="F3218" s="71"/>
      <c r="G3218" s="71"/>
      <c r="H3218" s="71"/>
      <c r="I3218" s="71"/>
      <c r="J3218" s="174"/>
      <c r="K3218" s="132"/>
      <c r="L3218" s="133"/>
    </row>
    <row r="3219" spans="1:12" x14ac:dyDescent="0.2">
      <c r="A3219" s="158"/>
      <c r="B3219" s="55"/>
      <c r="C3219" s="71"/>
      <c r="D3219" s="71"/>
      <c r="E3219" s="71"/>
      <c r="F3219" s="71"/>
      <c r="G3219" s="71"/>
      <c r="H3219" s="71"/>
      <c r="I3219" s="71"/>
      <c r="J3219" s="174"/>
      <c r="K3219" s="132"/>
      <c r="L3219" s="133"/>
    </row>
    <row r="3220" spans="1:12" x14ac:dyDescent="0.2">
      <c r="A3220" s="158"/>
      <c r="B3220" s="55"/>
      <c r="C3220" s="71"/>
      <c r="D3220" s="71"/>
      <c r="E3220" s="71"/>
      <c r="F3220" s="71"/>
      <c r="G3220" s="71"/>
      <c r="H3220" s="71"/>
      <c r="I3220" s="71"/>
      <c r="J3220" s="174"/>
      <c r="K3220" s="132"/>
      <c r="L3220" s="133"/>
    </row>
    <row r="3221" spans="1:12" x14ac:dyDescent="0.2">
      <c r="A3221" s="158"/>
      <c r="B3221" s="55"/>
      <c r="C3221" s="71"/>
      <c r="D3221" s="71"/>
      <c r="E3221" s="71"/>
      <c r="F3221" s="71"/>
      <c r="G3221" s="71"/>
      <c r="H3221" s="71"/>
      <c r="I3221" s="71"/>
      <c r="J3221" s="174"/>
      <c r="K3221" s="132"/>
      <c r="L3221" s="133"/>
    </row>
    <row r="3222" spans="1:12" x14ac:dyDescent="0.2">
      <c r="A3222" s="158"/>
      <c r="B3222" s="55"/>
      <c r="C3222" s="71"/>
      <c r="D3222" s="71"/>
      <c r="E3222" s="71"/>
      <c r="F3222" s="71"/>
      <c r="G3222" s="71"/>
      <c r="H3222" s="71"/>
      <c r="I3222" s="71"/>
      <c r="J3222" s="174"/>
      <c r="K3222" s="132"/>
      <c r="L3222" s="133"/>
    </row>
    <row r="3223" spans="1:12" x14ac:dyDescent="0.2">
      <c r="A3223" s="158"/>
      <c r="B3223" s="55"/>
      <c r="C3223" s="71"/>
      <c r="D3223" s="71"/>
      <c r="E3223" s="71"/>
      <c r="F3223" s="71"/>
      <c r="G3223" s="71"/>
      <c r="H3223" s="71"/>
      <c r="I3223" s="71"/>
      <c r="J3223" s="174"/>
      <c r="K3223" s="132"/>
      <c r="L3223" s="133"/>
    </row>
    <row r="3224" spans="1:12" x14ac:dyDescent="0.2">
      <c r="A3224" s="158"/>
      <c r="B3224" s="55"/>
      <c r="C3224" s="175"/>
      <c r="D3224" s="175"/>
      <c r="E3224" s="172"/>
      <c r="F3224" s="172"/>
      <c r="G3224" s="172"/>
      <c r="H3224" s="172"/>
      <c r="I3224" s="172"/>
      <c r="J3224" s="173"/>
      <c r="K3224" s="132"/>
      <c r="L3224" s="133"/>
    </row>
    <row r="3225" spans="1:12" x14ac:dyDescent="0.2">
      <c r="A3225" s="158"/>
      <c r="B3225" s="55"/>
      <c r="C3225" s="175"/>
      <c r="D3225" s="175"/>
      <c r="E3225" s="172"/>
      <c r="F3225" s="172"/>
      <c r="G3225" s="172"/>
      <c r="H3225" s="172"/>
      <c r="I3225" s="172"/>
      <c r="J3225" s="173"/>
      <c r="K3225" s="132"/>
      <c r="L3225" s="133"/>
    </row>
    <row r="3226" spans="1:12" x14ac:dyDescent="0.2">
      <c r="A3226" s="158"/>
      <c r="B3226" s="55"/>
      <c r="C3226" s="175"/>
      <c r="D3226" s="175"/>
      <c r="E3226" s="172"/>
      <c r="F3226" s="172"/>
      <c r="G3226" s="172"/>
      <c r="H3226" s="172"/>
      <c r="I3226" s="172"/>
      <c r="J3226" s="173"/>
      <c r="K3226" s="132"/>
      <c r="L3226" s="133"/>
    </row>
    <row r="3227" spans="1:12" x14ac:dyDescent="0.2">
      <c r="A3227" s="158"/>
      <c r="B3227" s="55"/>
      <c r="C3227" s="175"/>
      <c r="D3227" s="175"/>
      <c r="E3227" s="175"/>
      <c r="F3227" s="175"/>
      <c r="G3227" s="175"/>
      <c r="H3227" s="175"/>
      <c r="I3227" s="175"/>
      <c r="J3227" s="176"/>
      <c r="K3227" s="132"/>
      <c r="L3227" s="133"/>
    </row>
    <row r="3228" spans="1:12" x14ac:dyDescent="0.2">
      <c r="A3228" s="158"/>
      <c r="B3228" s="55"/>
      <c r="C3228" s="175"/>
      <c r="D3228" s="175"/>
      <c r="E3228" s="175"/>
      <c r="F3228" s="175"/>
      <c r="G3228" s="175"/>
      <c r="H3228" s="175"/>
      <c r="I3228" s="175"/>
      <c r="J3228" s="176"/>
      <c r="K3228" s="132"/>
      <c r="L3228" s="133"/>
    </row>
    <row r="3229" spans="1:12" ht="13.5" thickBot="1" x14ac:dyDescent="0.25">
      <c r="A3229" s="149"/>
      <c r="B3229" s="167"/>
      <c r="C3229" s="151"/>
      <c r="D3229" s="151"/>
      <c r="E3229" s="151"/>
      <c r="F3229" s="151"/>
      <c r="G3229" s="151"/>
      <c r="H3229" s="151"/>
      <c r="I3229" s="151"/>
      <c r="J3229" s="168"/>
      <c r="K3229" s="132"/>
      <c r="L3229" s="133"/>
    </row>
    <row r="3230" spans="1:12" ht="15.75" x14ac:dyDescent="0.2">
      <c r="A3230" s="602" t="s">
        <v>4</v>
      </c>
      <c r="B3230" s="603"/>
      <c r="C3230" s="603" t="str">
        <f>'A IV.A'!$B$43</f>
        <v>FECHAMENTOS, PROTEÇÕES E ALVENARIAS EM GERAL</v>
      </c>
      <c r="D3230" s="603"/>
      <c r="E3230" s="603"/>
      <c r="F3230" s="603"/>
      <c r="G3230" s="603"/>
      <c r="H3230" s="603"/>
      <c r="I3230" s="603"/>
      <c r="J3230" s="604"/>
      <c r="K3230" s="132"/>
      <c r="L3230" s="133"/>
    </row>
    <row r="3231" spans="1:12" x14ac:dyDescent="0.2">
      <c r="A3231" s="609" t="str">
        <f>'A IV.A'!$A$43</f>
        <v>3.0</v>
      </c>
      <c r="B3231" s="610"/>
      <c r="C3231" s="605"/>
      <c r="D3231" s="605"/>
      <c r="E3231" s="605"/>
      <c r="F3231" s="605"/>
      <c r="G3231" s="605"/>
      <c r="H3231" s="605"/>
      <c r="I3231" s="605"/>
      <c r="J3231" s="606"/>
      <c r="K3231" s="132"/>
      <c r="L3231" s="133"/>
    </row>
    <row r="3232" spans="1:12" ht="13.5" thickBot="1" x14ac:dyDescent="0.25">
      <c r="A3232" s="611"/>
      <c r="B3232" s="612"/>
      <c r="C3232" s="607"/>
      <c r="D3232" s="607"/>
      <c r="E3232" s="607"/>
      <c r="F3232" s="607"/>
      <c r="G3232" s="607"/>
      <c r="H3232" s="607"/>
      <c r="I3232" s="607"/>
      <c r="J3232" s="608"/>
      <c r="K3232" s="132"/>
      <c r="L3232" s="133"/>
    </row>
    <row r="3233" spans="1:14" ht="13.5" thickBot="1" x14ac:dyDescent="0.25">
      <c r="A3233" s="169"/>
      <c r="B3233" s="169"/>
      <c r="C3233" s="613"/>
      <c r="D3233" s="613"/>
      <c r="E3233" s="613"/>
      <c r="F3233" s="613"/>
      <c r="G3233" s="613"/>
      <c r="H3233" s="613"/>
      <c r="I3233" s="613"/>
      <c r="J3233" s="169"/>
      <c r="K3233" s="132"/>
      <c r="L3233" s="133"/>
    </row>
    <row r="3234" spans="1:14" ht="13.5" thickBot="1" x14ac:dyDescent="0.25">
      <c r="A3234" s="632" t="s">
        <v>60</v>
      </c>
      <c r="B3234" s="633"/>
      <c r="C3234" s="656" t="s">
        <v>61</v>
      </c>
      <c r="D3234" s="656"/>
      <c r="E3234" s="656"/>
      <c r="F3234" s="656"/>
      <c r="G3234" s="656"/>
      <c r="H3234" s="656"/>
      <c r="I3234" s="656"/>
      <c r="J3234" s="260" t="s">
        <v>0</v>
      </c>
      <c r="K3234" s="132"/>
      <c r="L3234" s="133"/>
    </row>
    <row r="3235" spans="1:14" x14ac:dyDescent="0.2">
      <c r="A3235" s="136"/>
      <c r="B3235" s="137"/>
      <c r="C3235" s="619"/>
      <c r="D3235" s="620"/>
      <c r="E3235" s="621"/>
      <c r="F3235" s="621"/>
      <c r="G3235" s="621"/>
      <c r="H3235" s="621"/>
      <c r="I3235" s="622"/>
      <c r="J3235" s="138"/>
      <c r="K3235" s="132"/>
      <c r="L3235" s="133"/>
    </row>
    <row r="3236" spans="1:14" ht="12.75" customHeight="1" x14ac:dyDescent="0.2">
      <c r="A3236" s="623" t="str">
        <f>'A IV.A'!$A$101</f>
        <v>3.10.1</v>
      </c>
      <c r="B3236" s="636"/>
      <c r="C3236" s="626" t="str">
        <f>'A IV.A'!$B$101</f>
        <v xml:space="preserve">LAJE PRE-MOLDADA P/FORRO, E=8CM, C/LAJOTAS E CAP.C/CONC FCK=20MPA, 3CM, INTER-EIXO 38CM, C/ESCORAMENTO E FERRAGEM NEGATIVA </v>
      </c>
      <c r="D3236" s="627"/>
      <c r="E3236" s="627"/>
      <c r="F3236" s="627"/>
      <c r="G3236" s="627"/>
      <c r="H3236" s="627"/>
      <c r="I3236" s="628"/>
      <c r="J3236" s="629" t="str">
        <f>'A IV.A'!$C$101</f>
        <v>M2</v>
      </c>
      <c r="K3236" s="630" t="str">
        <f>VLOOKUP(A3236,'A IV.A'!$A$14:$M$233,2,FALSE)</f>
        <v xml:space="preserve">LAJE PRE-MOLDADA P/FORRO, E=8CM, C/LAJOTAS E CAP.C/CONC FCK=20MPA, 3CM, INTER-EIXO 38CM, C/ESCORAMENTO E FERRAGEM NEGATIVA </v>
      </c>
      <c r="L3236" s="631" t="str">
        <f>IF(C3236=K3236,"sim","nao")</f>
        <v>sim</v>
      </c>
      <c r="M3236" s="631" t="str">
        <f>VLOOKUP(A3236,'A IV.A'!$A$14:$M$233,3,FALSE)</f>
        <v>M2</v>
      </c>
      <c r="N3236" s="631" t="str">
        <f>IF(J3236=M3236,"sim","nao")</f>
        <v>sim</v>
      </c>
    </row>
    <row r="3237" spans="1:14" x14ac:dyDescent="0.2">
      <c r="A3237" s="623"/>
      <c r="B3237" s="636"/>
      <c r="C3237" s="626"/>
      <c r="D3237" s="627"/>
      <c r="E3237" s="627"/>
      <c r="F3237" s="627"/>
      <c r="G3237" s="627"/>
      <c r="H3237" s="627"/>
      <c r="I3237" s="628"/>
      <c r="J3237" s="629"/>
      <c r="K3237" s="630"/>
      <c r="L3237" s="631"/>
      <c r="M3237" s="631"/>
      <c r="N3237" s="631"/>
    </row>
    <row r="3238" spans="1:14" x14ac:dyDescent="0.2">
      <c r="A3238" s="623"/>
      <c r="B3238" s="636"/>
      <c r="C3238" s="626"/>
      <c r="D3238" s="627"/>
      <c r="E3238" s="627"/>
      <c r="F3238" s="627"/>
      <c r="G3238" s="627"/>
      <c r="H3238" s="627"/>
      <c r="I3238" s="628"/>
      <c r="J3238" s="629"/>
      <c r="K3238" s="132"/>
      <c r="L3238" s="133"/>
    </row>
    <row r="3239" spans="1:14" ht="12.75" customHeight="1" x14ac:dyDescent="0.2">
      <c r="A3239" s="199"/>
      <c r="B3239" s="188"/>
      <c r="C3239" s="189"/>
      <c r="D3239" s="165"/>
      <c r="E3239" s="165"/>
      <c r="F3239" s="165"/>
      <c r="G3239" s="165"/>
      <c r="H3239" s="165"/>
      <c r="I3239" s="190"/>
      <c r="J3239" s="191"/>
      <c r="K3239" s="630"/>
      <c r="L3239" s="631"/>
      <c r="M3239" s="631"/>
      <c r="N3239" s="631"/>
    </row>
    <row r="3240" spans="1:14" x14ac:dyDescent="0.2">
      <c r="A3240" s="158"/>
      <c r="B3240" s="188"/>
      <c r="C3240" s="189"/>
      <c r="D3240" s="165"/>
      <c r="E3240" s="165"/>
      <c r="F3240" s="165"/>
      <c r="G3240" s="165"/>
      <c r="H3240" s="165"/>
      <c r="I3240" s="190"/>
      <c r="J3240" s="191"/>
      <c r="K3240" s="630"/>
      <c r="L3240" s="631"/>
      <c r="M3240" s="631"/>
      <c r="N3240" s="631"/>
    </row>
    <row r="3241" spans="1:14" x14ac:dyDescent="0.2">
      <c r="A3241" s="145"/>
      <c r="B3241" s="146"/>
      <c r="C3241" s="147"/>
      <c r="D3241" s="147"/>
      <c r="E3241" s="147"/>
      <c r="F3241" s="147"/>
      <c r="G3241" s="147"/>
      <c r="H3241" s="147"/>
      <c r="I3241" s="147"/>
      <c r="J3241" s="148"/>
      <c r="K3241" s="132"/>
      <c r="L3241" s="133"/>
    </row>
    <row r="3242" spans="1:14" x14ac:dyDescent="0.2">
      <c r="A3242" s="199"/>
      <c r="B3242" s="188"/>
      <c r="C3242" s="189"/>
      <c r="D3242" s="165"/>
      <c r="E3242" s="165"/>
      <c r="F3242" s="165"/>
      <c r="G3242" s="165"/>
      <c r="H3242" s="165"/>
      <c r="I3242" s="190"/>
      <c r="J3242" s="191"/>
      <c r="K3242" s="192"/>
      <c r="L3242" s="55"/>
      <c r="M3242" s="55"/>
      <c r="N3242" s="55"/>
    </row>
    <row r="3243" spans="1:14" x14ac:dyDescent="0.2">
      <c r="A3243" s="158"/>
      <c r="B3243" s="188"/>
      <c r="C3243" s="189"/>
      <c r="D3243" s="165"/>
      <c r="E3243" s="165"/>
      <c r="F3243" s="165"/>
      <c r="G3243" s="165"/>
      <c r="H3243" s="165"/>
      <c r="I3243" s="190"/>
      <c r="J3243" s="191"/>
      <c r="K3243" s="192"/>
      <c r="L3243" s="55"/>
      <c r="M3243" s="55"/>
      <c r="N3243" s="55"/>
    </row>
    <row r="3244" spans="1:14" x14ac:dyDescent="0.2">
      <c r="A3244" s="145"/>
      <c r="B3244" s="146"/>
      <c r="C3244" s="147"/>
      <c r="D3244" s="147"/>
      <c r="E3244" s="147"/>
      <c r="F3244" s="147"/>
      <c r="G3244" s="147"/>
      <c r="H3244" s="147"/>
      <c r="I3244" s="147"/>
      <c r="J3244" s="148"/>
      <c r="K3244" s="132"/>
      <c r="L3244" s="133"/>
    </row>
    <row r="3245" spans="1:14" x14ac:dyDescent="0.2">
      <c r="A3245" s="199"/>
      <c r="B3245" s="188"/>
      <c r="C3245" s="189"/>
      <c r="D3245" s="165"/>
      <c r="E3245" s="165"/>
      <c r="F3245" s="165"/>
      <c r="G3245" s="165"/>
      <c r="H3245" s="165"/>
      <c r="I3245" s="190"/>
      <c r="J3245" s="191"/>
      <c r="K3245" s="192"/>
      <c r="L3245" s="55"/>
      <c r="M3245" s="55"/>
      <c r="N3245" s="55"/>
    </row>
    <row r="3246" spans="1:14" x14ac:dyDescent="0.2">
      <c r="A3246" s="158"/>
      <c r="B3246" s="188"/>
      <c r="C3246" s="189"/>
      <c r="D3246" s="165"/>
      <c r="E3246" s="165"/>
      <c r="F3246" s="165"/>
      <c r="G3246" s="165"/>
      <c r="H3246" s="165"/>
      <c r="I3246" s="190"/>
      <c r="J3246" s="191"/>
      <c r="K3246" s="192"/>
      <c r="L3246" s="55"/>
      <c r="M3246" s="55"/>
      <c r="N3246" s="55"/>
    </row>
    <row r="3247" spans="1:14" x14ac:dyDescent="0.2">
      <c r="A3247" s="145"/>
      <c r="B3247" s="146"/>
      <c r="C3247" s="147"/>
      <c r="D3247" s="147"/>
      <c r="E3247" s="147"/>
      <c r="F3247" s="147"/>
      <c r="G3247" s="147"/>
      <c r="H3247" s="147"/>
      <c r="I3247" s="147"/>
      <c r="J3247" s="148"/>
      <c r="K3247" s="132"/>
      <c r="L3247" s="133"/>
    </row>
    <row r="3248" spans="1:14" x14ac:dyDescent="0.2">
      <c r="A3248" s="199"/>
      <c r="B3248" s="188"/>
      <c r="C3248" s="189"/>
      <c r="D3248" s="165"/>
      <c r="E3248" s="165"/>
      <c r="F3248" s="165"/>
      <c r="G3248" s="165"/>
      <c r="H3248" s="165"/>
      <c r="I3248" s="190"/>
      <c r="J3248" s="191"/>
      <c r="K3248" s="192"/>
      <c r="L3248" s="55"/>
      <c r="M3248" s="55"/>
      <c r="N3248" s="55"/>
    </row>
    <row r="3249" spans="1:14" x14ac:dyDescent="0.2">
      <c r="A3249" s="158"/>
      <c r="B3249" s="188"/>
      <c r="C3249" s="189"/>
      <c r="D3249" s="165"/>
      <c r="E3249" s="165"/>
      <c r="F3249" s="165"/>
      <c r="G3249" s="165"/>
      <c r="H3249" s="165"/>
      <c r="I3249" s="190"/>
      <c r="J3249" s="191"/>
      <c r="K3249" s="192"/>
      <c r="L3249" s="55"/>
      <c r="M3249" s="55"/>
      <c r="N3249" s="55"/>
    </row>
    <row r="3250" spans="1:14" x14ac:dyDescent="0.2">
      <c r="A3250" s="145"/>
      <c r="B3250" s="146"/>
      <c r="C3250" s="147"/>
      <c r="D3250" s="147"/>
      <c r="E3250" s="147"/>
      <c r="F3250" s="147"/>
      <c r="G3250" s="147"/>
      <c r="H3250" s="147"/>
      <c r="I3250" s="147"/>
      <c r="J3250" s="148"/>
      <c r="K3250" s="132"/>
      <c r="L3250" s="133"/>
    </row>
    <row r="3251" spans="1:14" x14ac:dyDescent="0.2">
      <c r="A3251" s="199"/>
      <c r="B3251" s="188"/>
      <c r="C3251" s="189"/>
      <c r="D3251" s="165"/>
      <c r="E3251" s="165"/>
      <c r="F3251" s="165"/>
      <c r="G3251" s="165"/>
      <c r="H3251" s="165"/>
      <c r="I3251" s="190"/>
      <c r="J3251" s="191"/>
      <c r="K3251" s="192"/>
      <c r="L3251" s="55"/>
      <c r="M3251" s="55"/>
      <c r="N3251" s="55"/>
    </row>
    <row r="3252" spans="1:14" x14ac:dyDescent="0.2">
      <c r="A3252" s="158"/>
      <c r="B3252" s="188"/>
      <c r="C3252" s="189"/>
      <c r="D3252" s="165"/>
      <c r="E3252" s="165"/>
      <c r="F3252" s="165"/>
      <c r="G3252" s="165"/>
      <c r="H3252" s="165"/>
      <c r="I3252" s="190"/>
      <c r="J3252" s="191"/>
      <c r="K3252" s="192"/>
      <c r="L3252" s="55"/>
      <c r="M3252" s="55"/>
      <c r="N3252" s="55"/>
    </row>
    <row r="3253" spans="1:14" x14ac:dyDescent="0.2">
      <c r="A3253" s="145"/>
      <c r="B3253" s="146"/>
      <c r="C3253" s="147"/>
      <c r="D3253" s="147"/>
      <c r="E3253" s="147"/>
      <c r="F3253" s="147"/>
      <c r="G3253" s="147"/>
      <c r="H3253" s="147"/>
      <c r="I3253" s="147"/>
      <c r="J3253" s="148"/>
      <c r="K3253" s="132"/>
      <c r="L3253" s="133"/>
    </row>
    <row r="3254" spans="1:14" x14ac:dyDescent="0.2">
      <c r="A3254" s="199"/>
      <c r="B3254" s="188"/>
      <c r="C3254" s="189"/>
      <c r="D3254" s="165"/>
      <c r="E3254" s="165"/>
      <c r="F3254" s="165"/>
      <c r="G3254" s="165"/>
      <c r="H3254" s="165"/>
      <c r="I3254" s="190"/>
      <c r="J3254" s="191"/>
      <c r="K3254" s="192"/>
      <c r="L3254" s="55"/>
      <c r="M3254" s="55"/>
      <c r="N3254" s="55"/>
    </row>
    <row r="3255" spans="1:14" x14ac:dyDescent="0.2">
      <c r="A3255" s="158"/>
      <c r="B3255" s="188"/>
      <c r="C3255" s="189"/>
      <c r="D3255" s="165"/>
      <c r="E3255" s="165"/>
      <c r="F3255" s="165"/>
      <c r="G3255" s="165"/>
      <c r="H3255" s="165"/>
      <c r="I3255" s="190"/>
      <c r="J3255" s="191"/>
      <c r="K3255" s="192"/>
      <c r="L3255" s="55"/>
      <c r="M3255" s="55"/>
      <c r="N3255" s="55"/>
    </row>
    <row r="3256" spans="1:14" x14ac:dyDescent="0.2">
      <c r="A3256" s="145"/>
      <c r="B3256" s="146"/>
      <c r="C3256" s="147"/>
      <c r="D3256" s="147"/>
      <c r="E3256" s="147"/>
      <c r="F3256" s="147"/>
      <c r="G3256" s="147"/>
      <c r="H3256" s="147"/>
      <c r="I3256" s="147"/>
      <c r="J3256" s="148"/>
      <c r="K3256" s="132"/>
      <c r="L3256" s="133"/>
    </row>
    <row r="3257" spans="1:14" ht="13.5" thickBot="1" x14ac:dyDescent="0.25">
      <c r="A3257" s="149"/>
      <c r="B3257" s="150"/>
      <c r="C3257" s="151"/>
      <c r="D3257" s="151"/>
      <c r="E3257" s="151"/>
      <c r="F3257" s="151"/>
      <c r="G3257" s="151"/>
      <c r="H3257" s="151"/>
      <c r="I3257" s="151"/>
      <c r="J3257" s="152"/>
      <c r="K3257" s="132"/>
      <c r="L3257" s="133"/>
    </row>
    <row r="3258" spans="1:14" ht="13.5" thickBot="1" x14ac:dyDescent="0.25">
      <c r="A3258" s="153"/>
      <c r="B3258" s="153"/>
      <c r="C3258" s="154"/>
      <c r="D3258" s="154"/>
      <c r="E3258" s="154"/>
      <c r="F3258" s="154"/>
      <c r="G3258" s="154"/>
      <c r="H3258" s="154"/>
      <c r="I3258" s="154"/>
      <c r="J3258" s="153"/>
      <c r="K3258" s="132"/>
      <c r="L3258" s="133"/>
    </row>
    <row r="3259" spans="1:14" ht="13.5" thickBot="1" x14ac:dyDescent="0.25">
      <c r="A3259" s="614" t="s">
        <v>62</v>
      </c>
      <c r="B3259" s="648"/>
      <c r="C3259" s="648"/>
      <c r="D3259" s="648"/>
      <c r="E3259" s="648"/>
      <c r="F3259" s="648"/>
      <c r="G3259" s="648"/>
      <c r="H3259" s="648"/>
      <c r="I3259" s="648"/>
      <c r="J3259" s="649"/>
      <c r="K3259" s="132"/>
      <c r="L3259" s="133"/>
    </row>
    <row r="3260" spans="1:14" x14ac:dyDescent="0.2">
      <c r="A3260" s="136"/>
      <c r="B3260" s="155"/>
      <c r="C3260" s="156"/>
      <c r="D3260" s="156"/>
      <c r="E3260" s="156"/>
      <c r="F3260" s="156"/>
      <c r="G3260" s="156"/>
      <c r="H3260" s="156"/>
      <c r="I3260" s="156"/>
      <c r="J3260" s="157"/>
      <c r="K3260" s="132"/>
      <c r="L3260" s="133"/>
    </row>
    <row r="3261" spans="1:14" ht="12.75" customHeight="1" x14ac:dyDescent="0.2">
      <c r="A3261" s="158" t="s">
        <v>63</v>
      </c>
      <c r="B3261" s="55"/>
      <c r="C3261" s="652" t="s">
        <v>606</v>
      </c>
      <c r="D3261" s="652"/>
      <c r="E3261" s="652"/>
      <c r="F3261" s="652"/>
      <c r="G3261" s="652"/>
      <c r="H3261" s="652"/>
      <c r="I3261" s="652"/>
      <c r="J3261" s="653"/>
      <c r="K3261" s="132"/>
      <c r="L3261" s="133"/>
    </row>
    <row r="3262" spans="1:14" x14ac:dyDescent="0.2">
      <c r="A3262" s="158"/>
      <c r="B3262" s="55"/>
      <c r="C3262" s="652"/>
      <c r="D3262" s="652"/>
      <c r="E3262" s="652"/>
      <c r="F3262" s="652"/>
      <c r="G3262" s="652"/>
      <c r="H3262" s="652"/>
      <c r="I3262" s="652"/>
      <c r="J3262" s="653"/>
      <c r="K3262" s="132"/>
      <c r="L3262" s="133"/>
    </row>
    <row r="3263" spans="1:14" x14ac:dyDescent="0.2">
      <c r="A3263" s="158"/>
      <c r="B3263" s="55"/>
      <c r="C3263" s="652"/>
      <c r="D3263" s="652"/>
      <c r="E3263" s="652"/>
      <c r="F3263" s="652"/>
      <c r="G3263" s="652"/>
      <c r="H3263" s="652"/>
      <c r="I3263" s="652"/>
      <c r="J3263" s="653"/>
      <c r="K3263" s="132"/>
      <c r="L3263" s="133"/>
    </row>
    <row r="3264" spans="1:14" x14ac:dyDescent="0.2">
      <c r="A3264" s="598"/>
      <c r="B3264" s="638"/>
      <c r="C3264" s="652"/>
      <c r="D3264" s="652"/>
      <c r="E3264" s="652"/>
      <c r="F3264" s="652"/>
      <c r="G3264" s="652"/>
      <c r="H3264" s="652"/>
      <c r="I3264" s="652"/>
      <c r="J3264" s="653"/>
      <c r="K3264" s="132"/>
      <c r="L3264" s="133"/>
    </row>
    <row r="3265" spans="1:12" x14ac:dyDescent="0.2">
      <c r="A3265" s="158"/>
      <c r="B3265" s="55"/>
      <c r="C3265" s="71"/>
      <c r="D3265" s="71"/>
      <c r="E3265" s="71"/>
      <c r="F3265" s="71"/>
      <c r="G3265" s="71"/>
      <c r="H3265" s="71"/>
      <c r="I3265" s="71"/>
      <c r="J3265" s="174"/>
      <c r="K3265" s="132"/>
      <c r="L3265" s="133"/>
    </row>
    <row r="3266" spans="1:12" x14ac:dyDescent="0.2">
      <c r="A3266" s="598" t="s">
        <v>64</v>
      </c>
      <c r="B3266" s="638"/>
      <c r="C3266" s="638" t="s">
        <v>607</v>
      </c>
      <c r="D3266" s="638"/>
      <c r="E3266" s="638"/>
      <c r="F3266" s="638"/>
      <c r="G3266" s="638"/>
      <c r="H3266" s="638"/>
      <c r="I3266" s="638"/>
      <c r="J3266" s="718"/>
      <c r="K3266" s="132"/>
      <c r="L3266" s="133"/>
    </row>
    <row r="3267" spans="1:12" x14ac:dyDescent="0.2">
      <c r="A3267" s="158"/>
      <c r="B3267" s="55"/>
      <c r="C3267" s="71"/>
      <c r="D3267" s="71"/>
      <c r="E3267" s="71"/>
      <c r="F3267" s="71"/>
      <c r="G3267" s="71"/>
      <c r="H3267" s="71"/>
      <c r="I3267" s="71"/>
      <c r="J3267" s="174"/>
      <c r="K3267" s="132"/>
      <c r="L3267" s="133"/>
    </row>
    <row r="3268" spans="1:12" x14ac:dyDescent="0.2">
      <c r="A3268" s="158"/>
      <c r="B3268" s="55"/>
      <c r="C3268" s="71"/>
      <c r="D3268" s="71"/>
      <c r="E3268" s="71"/>
      <c r="F3268" s="71"/>
      <c r="G3268" s="71"/>
      <c r="H3268" s="71"/>
      <c r="I3268" s="71"/>
      <c r="J3268" s="174"/>
      <c r="K3268" s="132"/>
      <c r="L3268" s="133"/>
    </row>
    <row r="3269" spans="1:12" x14ac:dyDescent="0.2">
      <c r="J3269" s="315"/>
      <c r="K3269" s="132"/>
      <c r="L3269" s="133"/>
    </row>
    <row r="3270" spans="1:12" x14ac:dyDescent="0.2">
      <c r="A3270" s="158"/>
      <c r="B3270" s="55"/>
      <c r="C3270" s="71"/>
      <c r="D3270" s="71"/>
      <c r="E3270" s="71"/>
      <c r="F3270" s="71"/>
      <c r="G3270" s="71"/>
      <c r="H3270" s="71"/>
      <c r="I3270" s="71"/>
      <c r="J3270" s="174"/>
      <c r="K3270" s="132"/>
      <c r="L3270" s="133"/>
    </row>
    <row r="3271" spans="1:12" x14ac:dyDescent="0.2">
      <c r="A3271" s="158"/>
      <c r="B3271" s="55"/>
      <c r="C3271" s="71"/>
      <c r="D3271" s="71"/>
      <c r="E3271" s="71"/>
      <c r="F3271" s="71"/>
      <c r="G3271" s="71"/>
      <c r="H3271" s="71"/>
      <c r="I3271" s="71"/>
      <c r="J3271" s="174"/>
      <c r="K3271" s="132"/>
      <c r="L3271" s="133"/>
    </row>
    <row r="3272" spans="1:12" x14ac:dyDescent="0.2">
      <c r="A3272" s="158"/>
      <c r="B3272" s="55"/>
      <c r="C3272" s="71"/>
      <c r="D3272" s="71"/>
      <c r="E3272" s="71"/>
      <c r="F3272" s="71"/>
      <c r="G3272" s="71"/>
      <c r="H3272" s="71"/>
      <c r="I3272" s="71"/>
      <c r="J3272" s="174"/>
      <c r="K3272" s="132"/>
      <c r="L3272" s="133"/>
    </row>
    <row r="3273" spans="1:12" x14ac:dyDescent="0.2">
      <c r="A3273" s="158"/>
      <c r="B3273" s="55"/>
      <c r="C3273" s="71"/>
      <c r="D3273" s="71"/>
      <c r="E3273" s="71"/>
      <c r="F3273" s="71"/>
      <c r="G3273" s="71"/>
      <c r="H3273" s="71"/>
      <c r="I3273" s="71"/>
      <c r="J3273" s="174"/>
      <c r="K3273" s="132"/>
      <c r="L3273" s="133"/>
    </row>
    <row r="3274" spans="1:12" x14ac:dyDescent="0.2">
      <c r="A3274" s="158"/>
      <c r="B3274" s="55"/>
      <c r="C3274" s="71"/>
      <c r="D3274" s="71"/>
      <c r="E3274" s="71"/>
      <c r="F3274" s="71"/>
      <c r="G3274" s="71"/>
      <c r="H3274" s="71"/>
      <c r="I3274" s="71"/>
      <c r="J3274" s="174"/>
      <c r="K3274" s="132"/>
      <c r="L3274" s="133"/>
    </row>
    <row r="3275" spans="1:12" x14ac:dyDescent="0.2">
      <c r="A3275" s="158"/>
      <c r="B3275" s="55"/>
      <c r="C3275" s="71"/>
      <c r="D3275" s="71"/>
      <c r="E3275" s="71"/>
      <c r="F3275" s="71"/>
      <c r="G3275" s="71"/>
      <c r="H3275" s="71"/>
      <c r="I3275" s="71"/>
      <c r="J3275" s="174"/>
      <c r="K3275" s="132"/>
      <c r="L3275" s="133"/>
    </row>
    <row r="3276" spans="1:12" x14ac:dyDescent="0.2">
      <c r="A3276" s="158"/>
      <c r="B3276" s="55"/>
      <c r="C3276" s="71"/>
      <c r="D3276" s="71"/>
      <c r="E3276" s="71"/>
      <c r="F3276" s="71"/>
      <c r="G3276" s="71"/>
      <c r="H3276" s="71"/>
      <c r="I3276" s="71"/>
      <c r="J3276" s="174"/>
      <c r="K3276" s="132"/>
      <c r="L3276" s="133"/>
    </row>
    <row r="3277" spans="1:12" x14ac:dyDescent="0.2">
      <c r="A3277" s="158"/>
      <c r="B3277" s="55"/>
      <c r="C3277" s="71"/>
      <c r="D3277" s="71"/>
      <c r="E3277" s="71"/>
      <c r="F3277" s="71"/>
      <c r="G3277" s="71"/>
      <c r="H3277" s="71"/>
      <c r="I3277" s="71"/>
      <c r="J3277" s="174"/>
      <c r="K3277" s="132"/>
      <c r="L3277" s="133"/>
    </row>
    <row r="3278" spans="1:12" x14ac:dyDescent="0.2">
      <c r="A3278" s="158"/>
      <c r="B3278" s="55"/>
      <c r="C3278" s="175"/>
      <c r="D3278" s="175"/>
      <c r="E3278" s="172"/>
      <c r="F3278" s="172"/>
      <c r="G3278" s="172"/>
      <c r="H3278" s="172"/>
      <c r="I3278" s="172"/>
      <c r="J3278" s="173"/>
      <c r="K3278" s="132"/>
      <c r="L3278" s="133"/>
    </row>
    <row r="3279" spans="1:12" x14ac:dyDescent="0.2">
      <c r="A3279" s="158"/>
      <c r="B3279" s="55"/>
      <c r="C3279" s="175"/>
      <c r="D3279" s="175"/>
      <c r="E3279" s="172"/>
      <c r="F3279" s="172"/>
      <c r="G3279" s="172"/>
      <c r="H3279" s="172"/>
      <c r="I3279" s="172"/>
      <c r="J3279" s="173"/>
      <c r="K3279" s="132"/>
      <c r="L3279" s="133"/>
    </row>
    <row r="3280" spans="1:12" x14ac:dyDescent="0.2">
      <c r="A3280" s="158"/>
      <c r="B3280" s="55"/>
      <c r="C3280" s="175"/>
      <c r="D3280" s="175"/>
      <c r="E3280" s="172"/>
      <c r="F3280" s="172"/>
      <c r="G3280" s="172"/>
      <c r="H3280" s="172"/>
      <c r="I3280" s="172"/>
      <c r="J3280" s="173"/>
      <c r="K3280" s="132"/>
      <c r="L3280" s="133"/>
    </row>
    <row r="3281" spans="1:14" x14ac:dyDescent="0.2">
      <c r="A3281" s="158"/>
      <c r="B3281" s="55"/>
      <c r="C3281" s="175"/>
      <c r="D3281" s="175"/>
      <c r="E3281" s="175"/>
      <c r="F3281" s="175"/>
      <c r="G3281" s="175"/>
      <c r="H3281" s="175"/>
      <c r="I3281" s="175"/>
      <c r="J3281" s="176"/>
      <c r="K3281" s="132"/>
      <c r="L3281" s="133"/>
    </row>
    <row r="3282" spans="1:14" x14ac:dyDescent="0.2">
      <c r="A3282" s="158"/>
      <c r="B3282" s="55"/>
      <c r="C3282" s="175"/>
      <c r="D3282" s="175"/>
      <c r="E3282" s="175"/>
      <c r="F3282" s="175"/>
      <c r="G3282" s="175"/>
      <c r="H3282" s="175"/>
      <c r="I3282" s="175"/>
      <c r="J3282" s="176"/>
      <c r="K3282" s="132"/>
      <c r="L3282" s="133"/>
    </row>
    <row r="3283" spans="1:14" x14ac:dyDescent="0.2">
      <c r="A3283" s="158"/>
      <c r="B3283" s="55"/>
      <c r="C3283" s="175"/>
      <c r="D3283" s="175"/>
      <c r="E3283" s="175"/>
      <c r="F3283" s="175"/>
      <c r="G3283" s="175"/>
      <c r="H3283" s="175"/>
      <c r="I3283" s="175"/>
      <c r="J3283" s="176"/>
      <c r="K3283" s="132"/>
      <c r="L3283" s="133"/>
    </row>
    <row r="3284" spans="1:14" ht="13.5" thickBot="1" x14ac:dyDescent="0.25">
      <c r="A3284" s="183"/>
      <c r="B3284" s="184"/>
      <c r="C3284" s="206"/>
      <c r="D3284" s="206"/>
      <c r="E3284" s="206"/>
      <c r="F3284" s="206"/>
      <c r="G3284" s="206"/>
      <c r="H3284" s="206"/>
      <c r="I3284" s="206"/>
      <c r="J3284" s="207"/>
      <c r="K3284" s="132"/>
      <c r="L3284" s="133"/>
    </row>
    <row r="3285" spans="1:14" ht="15.75" x14ac:dyDescent="0.2">
      <c r="A3285" s="602" t="s">
        <v>4</v>
      </c>
      <c r="B3285" s="603"/>
      <c r="C3285" s="603" t="str">
        <f>'A IV.A'!$B$43</f>
        <v>FECHAMENTOS, PROTEÇÕES E ALVENARIAS EM GERAL</v>
      </c>
      <c r="D3285" s="603"/>
      <c r="E3285" s="603"/>
      <c r="F3285" s="603"/>
      <c r="G3285" s="603"/>
      <c r="H3285" s="603"/>
      <c r="I3285" s="603"/>
      <c r="J3285" s="604"/>
      <c r="K3285" s="132"/>
      <c r="L3285" s="133"/>
    </row>
    <row r="3286" spans="1:14" x14ac:dyDescent="0.2">
      <c r="A3286" s="609" t="str">
        <f>'A IV.A'!$A$43</f>
        <v>3.0</v>
      </c>
      <c r="B3286" s="610"/>
      <c r="C3286" s="605"/>
      <c r="D3286" s="605"/>
      <c r="E3286" s="605"/>
      <c r="F3286" s="605"/>
      <c r="G3286" s="605"/>
      <c r="H3286" s="605"/>
      <c r="I3286" s="605"/>
      <c r="J3286" s="606"/>
      <c r="K3286" s="132"/>
      <c r="L3286" s="133"/>
    </row>
    <row r="3287" spans="1:14" ht="13.5" thickBot="1" x14ac:dyDescent="0.25">
      <c r="A3287" s="611"/>
      <c r="B3287" s="612"/>
      <c r="C3287" s="607"/>
      <c r="D3287" s="607"/>
      <c r="E3287" s="607"/>
      <c r="F3287" s="607"/>
      <c r="G3287" s="607"/>
      <c r="H3287" s="607"/>
      <c r="I3287" s="607"/>
      <c r="J3287" s="608"/>
      <c r="K3287" s="132"/>
      <c r="L3287" s="133"/>
    </row>
    <row r="3288" spans="1:14" ht="13.5" thickBot="1" x14ac:dyDescent="0.25">
      <c r="A3288" s="169"/>
      <c r="B3288" s="169"/>
      <c r="C3288" s="613"/>
      <c r="D3288" s="613"/>
      <c r="E3288" s="613"/>
      <c r="F3288" s="613"/>
      <c r="G3288" s="613"/>
      <c r="H3288" s="613"/>
      <c r="I3288" s="613"/>
      <c r="J3288" s="169"/>
      <c r="K3288" s="132"/>
      <c r="L3288" s="133"/>
    </row>
    <row r="3289" spans="1:14" ht="13.5" thickBot="1" x14ac:dyDescent="0.25">
      <c r="A3289" s="632" t="s">
        <v>60</v>
      </c>
      <c r="B3289" s="633"/>
      <c r="C3289" s="656" t="s">
        <v>61</v>
      </c>
      <c r="D3289" s="656"/>
      <c r="E3289" s="656"/>
      <c r="F3289" s="656"/>
      <c r="G3289" s="656"/>
      <c r="H3289" s="656"/>
      <c r="I3289" s="656"/>
      <c r="J3289" s="260" t="s">
        <v>0</v>
      </c>
      <c r="K3289" s="132"/>
      <c r="L3289" s="133"/>
    </row>
    <row r="3290" spans="1:14" x14ac:dyDescent="0.2">
      <c r="A3290" s="136"/>
      <c r="B3290" s="137"/>
      <c r="C3290" s="619"/>
      <c r="D3290" s="620"/>
      <c r="E3290" s="621"/>
      <c r="F3290" s="621"/>
      <c r="G3290" s="621"/>
      <c r="H3290" s="621"/>
      <c r="I3290" s="622"/>
      <c r="J3290" s="138"/>
      <c r="K3290" s="132"/>
      <c r="L3290" s="133"/>
    </row>
    <row r="3291" spans="1:14" ht="12.75" customHeight="1" x14ac:dyDescent="0.2">
      <c r="A3291" s="623" t="str">
        <f>'A IV.A'!A102</f>
        <v>3.10.2</v>
      </c>
      <c r="B3291" s="636"/>
      <c r="C3291" s="626" t="str">
        <f>'A IV.A'!B102</f>
        <v>TRAMA DE MADEIRA COMPOSTA POR TERÇAS PARA TELHADOS DE ATÉ 2 ÁGUAS PARA TELHA ONDULADA DE FIBROCIMENTO, METÁLICA, PLÁSTICA OU TERMOACÚSTICA</v>
      </c>
      <c r="D3291" s="627"/>
      <c r="E3291" s="627"/>
      <c r="F3291" s="627"/>
      <c r="G3291" s="627"/>
      <c r="H3291" s="627"/>
      <c r="I3291" s="628"/>
      <c r="J3291" s="629" t="str">
        <f>'A IV.A'!C102</f>
        <v>M2</v>
      </c>
      <c r="K3291" s="630" t="str">
        <f>VLOOKUP(A3291,'A IV.A'!$A$14:$M$233,2,FALSE)</f>
        <v>TRAMA DE MADEIRA COMPOSTA POR TERÇAS PARA TELHADOS DE ATÉ 2 ÁGUAS PARA TELHA ONDULADA DE FIBROCIMENTO, METÁLICA, PLÁSTICA OU TERMOACÚSTICA</v>
      </c>
      <c r="L3291" s="631" t="str">
        <f>IF(C3291=K3291,"sim","nao")</f>
        <v>sim</v>
      </c>
      <c r="M3291" s="631" t="str">
        <f>VLOOKUP(A3291,'A IV.A'!$A$14:$M$233,3,FALSE)</f>
        <v>M2</v>
      </c>
      <c r="N3291" s="631" t="str">
        <f>IF(J3291=M3291,"sim","nao")</f>
        <v>sim</v>
      </c>
    </row>
    <row r="3292" spans="1:14" x14ac:dyDescent="0.2">
      <c r="A3292" s="623"/>
      <c r="B3292" s="636"/>
      <c r="C3292" s="626"/>
      <c r="D3292" s="627"/>
      <c r="E3292" s="627"/>
      <c r="F3292" s="627"/>
      <c r="G3292" s="627"/>
      <c r="H3292" s="627"/>
      <c r="I3292" s="628"/>
      <c r="J3292" s="629"/>
      <c r="K3292" s="630"/>
      <c r="L3292" s="631"/>
      <c r="M3292" s="631"/>
      <c r="N3292" s="631"/>
    </row>
    <row r="3293" spans="1:14" x14ac:dyDescent="0.2">
      <c r="A3293" s="623"/>
      <c r="B3293" s="636"/>
      <c r="C3293" s="626"/>
      <c r="D3293" s="627"/>
      <c r="E3293" s="627"/>
      <c r="F3293" s="627"/>
      <c r="G3293" s="627"/>
      <c r="H3293" s="627"/>
      <c r="I3293" s="628"/>
      <c r="J3293" s="629"/>
      <c r="K3293" s="132"/>
      <c r="L3293" s="133"/>
    </row>
    <row r="3294" spans="1:14" ht="12.75" customHeight="1" x14ac:dyDescent="0.2">
      <c r="A3294" s="199"/>
      <c r="B3294" s="188"/>
      <c r="C3294" s="189"/>
      <c r="D3294" s="165"/>
      <c r="E3294" s="165"/>
      <c r="F3294" s="165"/>
      <c r="G3294" s="165"/>
      <c r="H3294" s="165"/>
      <c r="I3294" s="190"/>
      <c r="J3294" s="191"/>
      <c r="K3294" s="630"/>
      <c r="L3294" s="631"/>
      <c r="M3294" s="631"/>
      <c r="N3294" s="631"/>
    </row>
    <row r="3295" spans="1:14" x14ac:dyDescent="0.2">
      <c r="A3295" s="158"/>
      <c r="B3295" s="188"/>
      <c r="C3295" s="189"/>
      <c r="D3295" s="165"/>
      <c r="E3295" s="165"/>
      <c r="F3295" s="165"/>
      <c r="G3295" s="165"/>
      <c r="H3295" s="165"/>
      <c r="I3295" s="190"/>
      <c r="J3295" s="191"/>
      <c r="K3295" s="630"/>
      <c r="L3295" s="631"/>
      <c r="M3295" s="631"/>
      <c r="N3295" s="631"/>
    </row>
    <row r="3296" spans="1:14" x14ac:dyDescent="0.2">
      <c r="A3296" s="145"/>
      <c r="B3296" s="146"/>
      <c r="C3296" s="147"/>
      <c r="D3296" s="147"/>
      <c r="E3296" s="147"/>
      <c r="F3296" s="147"/>
      <c r="G3296" s="147"/>
      <c r="H3296" s="147"/>
      <c r="I3296" s="147"/>
      <c r="J3296" s="148"/>
      <c r="K3296" s="132"/>
      <c r="L3296" s="133"/>
    </row>
    <row r="3297" spans="1:14" x14ac:dyDescent="0.2">
      <c r="A3297" s="199"/>
      <c r="B3297" s="188"/>
      <c r="C3297" s="189"/>
      <c r="D3297" s="165"/>
      <c r="E3297" s="165"/>
      <c r="F3297" s="165"/>
      <c r="G3297" s="165"/>
      <c r="H3297" s="165"/>
      <c r="I3297" s="190"/>
      <c r="J3297" s="191"/>
      <c r="K3297" s="192"/>
      <c r="L3297" s="55"/>
      <c r="M3297" s="55"/>
      <c r="N3297" s="55"/>
    </row>
    <row r="3298" spans="1:14" x14ac:dyDescent="0.2">
      <c r="A3298" s="158"/>
      <c r="B3298" s="188"/>
      <c r="C3298" s="189"/>
      <c r="D3298" s="165"/>
      <c r="E3298" s="165"/>
      <c r="F3298" s="165"/>
      <c r="G3298" s="165"/>
      <c r="H3298" s="165"/>
      <c r="I3298" s="190"/>
      <c r="J3298" s="191"/>
      <c r="K3298" s="192"/>
      <c r="L3298" s="55"/>
      <c r="M3298" s="55"/>
      <c r="N3298" s="55"/>
    </row>
    <row r="3299" spans="1:14" x14ac:dyDescent="0.2">
      <c r="A3299" s="145"/>
      <c r="B3299" s="146"/>
      <c r="C3299" s="147"/>
      <c r="D3299" s="147"/>
      <c r="E3299" s="147"/>
      <c r="F3299" s="147"/>
      <c r="G3299" s="147"/>
      <c r="H3299" s="147"/>
      <c r="I3299" s="147"/>
      <c r="J3299" s="148"/>
      <c r="K3299" s="132"/>
      <c r="L3299" s="133"/>
    </row>
    <row r="3300" spans="1:14" x14ac:dyDescent="0.2">
      <c r="A3300" s="199"/>
      <c r="B3300" s="188"/>
      <c r="C3300" s="189"/>
      <c r="D3300" s="165"/>
      <c r="E3300" s="165"/>
      <c r="F3300" s="165"/>
      <c r="G3300" s="165"/>
      <c r="H3300" s="165"/>
      <c r="I3300" s="190"/>
      <c r="J3300" s="191"/>
      <c r="K3300" s="192"/>
      <c r="L3300" s="55"/>
      <c r="M3300" s="55"/>
      <c r="N3300" s="55"/>
    </row>
    <row r="3301" spans="1:14" x14ac:dyDescent="0.2">
      <c r="A3301" s="158"/>
      <c r="B3301" s="188"/>
      <c r="C3301" s="189"/>
      <c r="D3301" s="165"/>
      <c r="E3301" s="165"/>
      <c r="F3301" s="165"/>
      <c r="G3301" s="165"/>
      <c r="H3301" s="165"/>
      <c r="I3301" s="190"/>
      <c r="J3301" s="191"/>
      <c r="K3301" s="192"/>
      <c r="L3301" s="55"/>
      <c r="M3301" s="55"/>
      <c r="N3301" s="55"/>
    </row>
    <row r="3302" spans="1:14" x14ac:dyDescent="0.2">
      <c r="A3302" s="145"/>
      <c r="B3302" s="146"/>
      <c r="C3302" s="147"/>
      <c r="D3302" s="147"/>
      <c r="E3302" s="147"/>
      <c r="F3302" s="147"/>
      <c r="G3302" s="147"/>
      <c r="H3302" s="147"/>
      <c r="I3302" s="147"/>
      <c r="J3302" s="148"/>
      <c r="K3302" s="132"/>
      <c r="L3302" s="133"/>
    </row>
    <row r="3303" spans="1:14" x14ac:dyDescent="0.2">
      <c r="A3303" s="199"/>
      <c r="B3303" s="188"/>
      <c r="C3303" s="189"/>
      <c r="D3303" s="165"/>
      <c r="E3303" s="165"/>
      <c r="F3303" s="165"/>
      <c r="G3303" s="165"/>
      <c r="H3303" s="165"/>
      <c r="I3303" s="190"/>
      <c r="J3303" s="191"/>
      <c r="K3303" s="192"/>
      <c r="L3303" s="55"/>
      <c r="M3303" s="55"/>
      <c r="N3303" s="55"/>
    </row>
    <row r="3304" spans="1:14" x14ac:dyDescent="0.2">
      <c r="A3304" s="158"/>
      <c r="B3304" s="188"/>
      <c r="C3304" s="189"/>
      <c r="D3304" s="165"/>
      <c r="E3304" s="165"/>
      <c r="F3304" s="165"/>
      <c r="G3304" s="165"/>
      <c r="H3304" s="165"/>
      <c r="I3304" s="190"/>
      <c r="J3304" s="191"/>
      <c r="K3304" s="192"/>
      <c r="L3304" s="55"/>
      <c r="M3304" s="55"/>
      <c r="N3304" s="55"/>
    </row>
    <row r="3305" spans="1:14" x14ac:dyDescent="0.2">
      <c r="A3305" s="145"/>
      <c r="B3305" s="146"/>
      <c r="C3305" s="147"/>
      <c r="D3305" s="147"/>
      <c r="E3305" s="147"/>
      <c r="F3305" s="147"/>
      <c r="G3305" s="147"/>
      <c r="H3305" s="147"/>
      <c r="I3305" s="147"/>
      <c r="J3305" s="148"/>
      <c r="K3305" s="132"/>
      <c r="L3305" s="133"/>
    </row>
    <row r="3306" spans="1:14" x14ac:dyDescent="0.2">
      <c r="A3306" s="199"/>
      <c r="B3306" s="188"/>
      <c r="C3306" s="189"/>
      <c r="D3306" s="165"/>
      <c r="E3306" s="165"/>
      <c r="F3306" s="165"/>
      <c r="G3306" s="165"/>
      <c r="H3306" s="165"/>
      <c r="I3306" s="190"/>
      <c r="J3306" s="191"/>
      <c r="K3306" s="192"/>
      <c r="L3306" s="55"/>
      <c r="M3306" s="55"/>
      <c r="N3306" s="55"/>
    </row>
    <row r="3307" spans="1:14" x14ac:dyDescent="0.2">
      <c r="A3307" s="158"/>
      <c r="B3307" s="188"/>
      <c r="C3307" s="189"/>
      <c r="D3307" s="165"/>
      <c r="E3307" s="165"/>
      <c r="F3307" s="165"/>
      <c r="G3307" s="165"/>
      <c r="H3307" s="165"/>
      <c r="I3307" s="190"/>
      <c r="J3307" s="191"/>
      <c r="K3307" s="192"/>
      <c r="L3307" s="55"/>
      <c r="M3307" s="55"/>
      <c r="N3307" s="55"/>
    </row>
    <row r="3308" spans="1:14" x14ac:dyDescent="0.2">
      <c r="A3308" s="145"/>
      <c r="B3308" s="146"/>
      <c r="C3308" s="147"/>
      <c r="D3308" s="147"/>
      <c r="E3308" s="147"/>
      <c r="F3308" s="147"/>
      <c r="G3308" s="147"/>
      <c r="H3308" s="147"/>
      <c r="I3308" s="147"/>
      <c r="J3308" s="148"/>
      <c r="K3308" s="132"/>
      <c r="L3308" s="133"/>
    </row>
    <row r="3309" spans="1:14" x14ac:dyDescent="0.2">
      <c r="A3309" s="199"/>
      <c r="B3309" s="188"/>
      <c r="C3309" s="189"/>
      <c r="D3309" s="165"/>
      <c r="E3309" s="165"/>
      <c r="F3309" s="165"/>
      <c r="G3309" s="165"/>
      <c r="H3309" s="165"/>
      <c r="I3309" s="190"/>
      <c r="J3309" s="191"/>
      <c r="K3309" s="192"/>
      <c r="L3309" s="55"/>
      <c r="M3309" s="55"/>
      <c r="N3309" s="55"/>
    </row>
    <row r="3310" spans="1:14" x14ac:dyDescent="0.2">
      <c r="A3310" s="158"/>
      <c r="B3310" s="188"/>
      <c r="C3310" s="189"/>
      <c r="D3310" s="165"/>
      <c r="E3310" s="165"/>
      <c r="F3310" s="165"/>
      <c r="G3310" s="165"/>
      <c r="H3310" s="165"/>
      <c r="I3310" s="190"/>
      <c r="J3310" s="191"/>
      <c r="K3310" s="192"/>
      <c r="L3310" s="55"/>
      <c r="M3310" s="55"/>
      <c r="N3310" s="55"/>
    </row>
    <row r="3311" spans="1:14" x14ac:dyDescent="0.2">
      <c r="A3311" s="145"/>
      <c r="B3311" s="146"/>
      <c r="C3311" s="147"/>
      <c r="D3311" s="147"/>
      <c r="E3311" s="147"/>
      <c r="F3311" s="147"/>
      <c r="G3311" s="147"/>
      <c r="H3311" s="147"/>
      <c r="I3311" s="147"/>
      <c r="J3311" s="148"/>
      <c r="K3311" s="132"/>
      <c r="L3311" s="133"/>
    </row>
    <row r="3312" spans="1:14" ht="13.5" thickBot="1" x14ac:dyDescent="0.25">
      <c r="A3312" s="149"/>
      <c r="B3312" s="150"/>
      <c r="C3312" s="151"/>
      <c r="D3312" s="151"/>
      <c r="E3312" s="151"/>
      <c r="F3312" s="151"/>
      <c r="G3312" s="151"/>
      <c r="H3312" s="151"/>
      <c r="I3312" s="151"/>
      <c r="J3312" s="152"/>
      <c r="K3312" s="132"/>
      <c r="L3312" s="133"/>
    </row>
    <row r="3313" spans="1:12" ht="13.5" thickBot="1" x14ac:dyDescent="0.25">
      <c r="A3313" s="153"/>
      <c r="B3313" s="153"/>
      <c r="C3313" s="154"/>
      <c r="D3313" s="154"/>
      <c r="E3313" s="154"/>
      <c r="F3313" s="154"/>
      <c r="G3313" s="154"/>
      <c r="H3313" s="154"/>
      <c r="I3313" s="154"/>
      <c r="J3313" s="153"/>
      <c r="K3313" s="132"/>
      <c r="L3313" s="133"/>
    </row>
    <row r="3314" spans="1:12" ht="13.5" thickBot="1" x14ac:dyDescent="0.25">
      <c r="A3314" s="614" t="s">
        <v>62</v>
      </c>
      <c r="B3314" s="648"/>
      <c r="C3314" s="648"/>
      <c r="D3314" s="648"/>
      <c r="E3314" s="648"/>
      <c r="F3314" s="648"/>
      <c r="G3314" s="648"/>
      <c r="H3314" s="648"/>
      <c r="I3314" s="648"/>
      <c r="J3314" s="649"/>
      <c r="K3314" s="132"/>
      <c r="L3314" s="133"/>
    </row>
    <row r="3315" spans="1:12" x14ac:dyDescent="0.2">
      <c r="A3315" s="136"/>
      <c r="B3315" s="155"/>
      <c r="C3315" s="156"/>
      <c r="D3315" s="156"/>
      <c r="E3315" s="156"/>
      <c r="F3315" s="156"/>
      <c r="G3315" s="156"/>
      <c r="H3315" s="156"/>
      <c r="I3315" s="156"/>
      <c r="J3315" s="157"/>
      <c r="K3315" s="132"/>
      <c r="L3315" s="133"/>
    </row>
    <row r="3316" spans="1:12" ht="12.75" customHeight="1" x14ac:dyDescent="0.2">
      <c r="A3316" s="158" t="s">
        <v>63</v>
      </c>
      <c r="B3316" s="55"/>
      <c r="C3316" s="596" t="s">
        <v>735</v>
      </c>
      <c r="D3316" s="596"/>
      <c r="E3316" s="596"/>
      <c r="F3316" s="596"/>
      <c r="G3316" s="596"/>
      <c r="H3316" s="596"/>
      <c r="I3316" s="596"/>
      <c r="J3316" s="597"/>
      <c r="K3316" s="132"/>
      <c r="L3316" s="133"/>
    </row>
    <row r="3317" spans="1:12" x14ac:dyDescent="0.2">
      <c r="A3317" s="158"/>
      <c r="B3317" s="55"/>
      <c r="C3317" s="596"/>
      <c r="D3317" s="596"/>
      <c r="E3317" s="596"/>
      <c r="F3317" s="596"/>
      <c r="G3317" s="596"/>
      <c r="H3317" s="596"/>
      <c r="I3317" s="596"/>
      <c r="J3317" s="597"/>
      <c r="K3317" s="132"/>
      <c r="L3317" s="133"/>
    </row>
    <row r="3318" spans="1:12" x14ac:dyDescent="0.2">
      <c r="A3318" s="158"/>
      <c r="B3318" s="55"/>
      <c r="C3318" s="596"/>
      <c r="D3318" s="596"/>
      <c r="E3318" s="596"/>
      <c r="F3318" s="596"/>
      <c r="G3318" s="596"/>
      <c r="H3318" s="596"/>
      <c r="I3318" s="596"/>
      <c r="J3318" s="597"/>
      <c r="K3318" s="132"/>
      <c r="L3318" s="133"/>
    </row>
    <row r="3319" spans="1:12" x14ac:dyDescent="0.2">
      <c r="A3319" s="158"/>
      <c r="B3319" s="55"/>
      <c r="C3319" s="596"/>
      <c r="D3319" s="596"/>
      <c r="E3319" s="596"/>
      <c r="F3319" s="596"/>
      <c r="G3319" s="596"/>
      <c r="H3319" s="596"/>
      <c r="I3319" s="596"/>
      <c r="J3319" s="597"/>
      <c r="K3319" s="132"/>
      <c r="L3319" s="133"/>
    </row>
    <row r="3320" spans="1:12" x14ac:dyDescent="0.2">
      <c r="A3320" s="158"/>
      <c r="B3320" s="55"/>
      <c r="C3320" s="596"/>
      <c r="D3320" s="596"/>
      <c r="E3320" s="596"/>
      <c r="F3320" s="596"/>
      <c r="G3320" s="596"/>
      <c r="H3320" s="596"/>
      <c r="I3320" s="596"/>
      <c r="J3320" s="597"/>
      <c r="K3320" s="132"/>
      <c r="L3320" s="133"/>
    </row>
    <row r="3321" spans="1:12" x14ac:dyDescent="0.2">
      <c r="A3321" s="158"/>
      <c r="B3321" s="55"/>
      <c r="C3321" s="596"/>
      <c r="D3321" s="596"/>
      <c r="E3321" s="596"/>
      <c r="F3321" s="596"/>
      <c r="G3321" s="596"/>
      <c r="H3321" s="596"/>
      <c r="I3321" s="596"/>
      <c r="J3321" s="597"/>
      <c r="K3321" s="132"/>
      <c r="L3321" s="133"/>
    </row>
    <row r="3322" spans="1:12" x14ac:dyDescent="0.2">
      <c r="A3322" s="158"/>
      <c r="B3322" s="55"/>
      <c r="C3322" s="596"/>
      <c r="D3322" s="596"/>
      <c r="E3322" s="596"/>
      <c r="F3322" s="596"/>
      <c r="G3322" s="596"/>
      <c r="H3322" s="596"/>
      <c r="I3322" s="596"/>
      <c r="J3322" s="597"/>
      <c r="K3322" s="132"/>
      <c r="L3322" s="133"/>
    </row>
    <row r="3323" spans="1:12" x14ac:dyDescent="0.2">
      <c r="A3323" s="158"/>
      <c r="B3323" s="55"/>
      <c r="C3323" s="596"/>
      <c r="D3323" s="596"/>
      <c r="E3323" s="596"/>
      <c r="F3323" s="596"/>
      <c r="G3323" s="596"/>
      <c r="H3323" s="596"/>
      <c r="I3323" s="596"/>
      <c r="J3323" s="597"/>
      <c r="K3323" s="132"/>
      <c r="L3323" s="133"/>
    </row>
    <row r="3324" spans="1:12" x14ac:dyDescent="0.2">
      <c r="A3324" s="158"/>
      <c r="B3324" s="55"/>
      <c r="C3324" s="596"/>
      <c r="D3324" s="596"/>
      <c r="E3324" s="596"/>
      <c r="F3324" s="596"/>
      <c r="G3324" s="596"/>
      <c r="H3324" s="596"/>
      <c r="I3324" s="596"/>
      <c r="J3324" s="597"/>
      <c r="K3324" s="132"/>
      <c r="L3324" s="133"/>
    </row>
    <row r="3325" spans="1:12" x14ac:dyDescent="0.2">
      <c r="A3325" s="177"/>
      <c r="B3325" s="74"/>
      <c r="C3325" s="596"/>
      <c r="D3325" s="596"/>
      <c r="E3325" s="596"/>
      <c r="F3325" s="596"/>
      <c r="G3325" s="596"/>
      <c r="H3325" s="596"/>
      <c r="I3325" s="596"/>
      <c r="J3325" s="597"/>
      <c r="K3325" s="132"/>
      <c r="L3325" s="133"/>
    </row>
    <row r="3326" spans="1:12" x14ac:dyDescent="0.2">
      <c r="J3326" s="315"/>
      <c r="K3326" s="132"/>
      <c r="L3326" s="133"/>
    </row>
    <row r="3327" spans="1:12" x14ac:dyDescent="0.2">
      <c r="A3327" s="598" t="s">
        <v>64</v>
      </c>
      <c r="B3327" s="638"/>
      <c r="C3327" s="638" t="s">
        <v>733</v>
      </c>
      <c r="D3327" s="638"/>
      <c r="E3327" s="638"/>
      <c r="F3327" s="638"/>
      <c r="G3327" s="638"/>
      <c r="H3327" s="638"/>
      <c r="I3327" s="638"/>
      <c r="J3327" s="718"/>
      <c r="K3327" s="132"/>
      <c r="L3327" s="133"/>
    </row>
    <row r="3328" spans="1:12" x14ac:dyDescent="0.2">
      <c r="A3328" s="158"/>
      <c r="B3328" s="55"/>
      <c r="C3328" s="71"/>
      <c r="D3328" s="71"/>
      <c r="E3328" s="71"/>
      <c r="F3328" s="71"/>
      <c r="G3328" s="71"/>
      <c r="H3328" s="71"/>
      <c r="I3328" s="71"/>
      <c r="J3328" s="174"/>
      <c r="K3328" s="132"/>
      <c r="L3328" s="133"/>
    </row>
    <row r="3329" spans="1:12" ht="12.75" customHeight="1" x14ac:dyDescent="0.2">
      <c r="A3329" s="158" t="s">
        <v>65</v>
      </c>
      <c r="B3329" s="55"/>
      <c r="C3329" s="652" t="s">
        <v>734</v>
      </c>
      <c r="D3329" s="652"/>
      <c r="E3329" s="652"/>
      <c r="F3329" s="652"/>
      <c r="G3329" s="652"/>
      <c r="H3329" s="652"/>
      <c r="I3329" s="652"/>
      <c r="J3329" s="653"/>
      <c r="K3329" s="132"/>
      <c r="L3329" s="133"/>
    </row>
    <row r="3330" spans="1:12" x14ac:dyDescent="0.2">
      <c r="A3330" s="158"/>
      <c r="B3330" s="55"/>
      <c r="C3330" s="159"/>
      <c r="D3330" s="159"/>
      <c r="E3330" s="159"/>
      <c r="F3330" s="159"/>
      <c r="G3330" s="159"/>
      <c r="H3330" s="159"/>
      <c r="I3330" s="159"/>
      <c r="J3330" s="160"/>
      <c r="K3330" s="132"/>
      <c r="L3330" s="133"/>
    </row>
    <row r="3331" spans="1:12" x14ac:dyDescent="0.2">
      <c r="J3331" s="315"/>
      <c r="K3331" s="132"/>
      <c r="L3331" s="133"/>
    </row>
    <row r="3332" spans="1:12" x14ac:dyDescent="0.2">
      <c r="A3332" s="158"/>
      <c r="B3332" s="55"/>
      <c r="C3332" s="175"/>
      <c r="D3332" s="175"/>
      <c r="E3332" s="172"/>
      <c r="F3332" s="172"/>
      <c r="G3332" s="172"/>
      <c r="H3332" s="172"/>
      <c r="I3332" s="172"/>
      <c r="J3332" s="173"/>
      <c r="K3332" s="132"/>
      <c r="L3332" s="133"/>
    </row>
    <row r="3333" spans="1:12" ht="12.75" customHeight="1" x14ac:dyDescent="0.2">
      <c r="A3333" s="158"/>
      <c r="B3333" s="55"/>
      <c r="C3333" s="71"/>
      <c r="D3333" s="71"/>
      <c r="E3333" s="71"/>
      <c r="F3333" s="71"/>
      <c r="G3333" s="71"/>
      <c r="H3333" s="71"/>
      <c r="I3333" s="71"/>
      <c r="J3333" s="174"/>
      <c r="K3333" s="132"/>
      <c r="L3333" s="133"/>
    </row>
    <row r="3334" spans="1:12" x14ac:dyDescent="0.2">
      <c r="A3334" s="158"/>
      <c r="B3334" s="55"/>
      <c r="C3334" s="175"/>
      <c r="D3334" s="175"/>
      <c r="E3334" s="172"/>
      <c r="F3334" s="172"/>
      <c r="G3334" s="172"/>
      <c r="H3334" s="172"/>
      <c r="I3334" s="172"/>
      <c r="J3334" s="173"/>
      <c r="K3334" s="132"/>
      <c r="L3334" s="133"/>
    </row>
    <row r="3335" spans="1:12" x14ac:dyDescent="0.2">
      <c r="A3335" s="158"/>
      <c r="B3335" s="55"/>
      <c r="C3335" s="175"/>
      <c r="D3335" s="175"/>
      <c r="E3335" s="175"/>
      <c r="F3335" s="175"/>
      <c r="G3335" s="175"/>
      <c r="H3335" s="175"/>
      <c r="I3335" s="175"/>
      <c r="J3335" s="176"/>
      <c r="K3335" s="132"/>
      <c r="L3335" s="133"/>
    </row>
    <row r="3336" spans="1:12" x14ac:dyDescent="0.2">
      <c r="A3336" s="158"/>
      <c r="B3336" s="55"/>
      <c r="C3336" s="175"/>
      <c r="D3336" s="175"/>
      <c r="E3336" s="175"/>
      <c r="F3336" s="175"/>
      <c r="G3336" s="175"/>
      <c r="H3336" s="175"/>
      <c r="I3336" s="175"/>
      <c r="J3336" s="176"/>
      <c r="K3336" s="132"/>
      <c r="L3336" s="133"/>
    </row>
    <row r="3337" spans="1:12" x14ac:dyDescent="0.2">
      <c r="A3337" s="158"/>
      <c r="B3337" s="55"/>
      <c r="C3337" s="175"/>
      <c r="D3337" s="175"/>
      <c r="E3337" s="175"/>
      <c r="F3337" s="175"/>
      <c r="G3337" s="175"/>
      <c r="H3337" s="175"/>
      <c r="I3337" s="175"/>
      <c r="J3337" s="176"/>
      <c r="K3337" s="132"/>
      <c r="L3337" s="133"/>
    </row>
    <row r="3338" spans="1:12" x14ac:dyDescent="0.2">
      <c r="A3338" s="158"/>
      <c r="B3338" s="55"/>
      <c r="C3338" s="159"/>
      <c r="D3338" s="159"/>
      <c r="E3338" s="159"/>
      <c r="F3338" s="159"/>
      <c r="G3338" s="159"/>
      <c r="H3338" s="159"/>
      <c r="I3338" s="159"/>
      <c r="J3338" s="160"/>
      <c r="K3338" s="132"/>
      <c r="L3338" s="133"/>
    </row>
    <row r="3339" spans="1:12" ht="13.5" thickBot="1" x14ac:dyDescent="0.25">
      <c r="A3339" s="149"/>
      <c r="B3339" s="167"/>
      <c r="C3339" s="151"/>
      <c r="D3339" s="151"/>
      <c r="E3339" s="151"/>
      <c r="F3339" s="151"/>
      <c r="G3339" s="151"/>
      <c r="H3339" s="151"/>
      <c r="I3339" s="151"/>
      <c r="J3339" s="168"/>
      <c r="K3339" s="132"/>
      <c r="L3339" s="133"/>
    </row>
    <row r="3340" spans="1:12" ht="15.75" x14ac:dyDescent="0.2">
      <c r="A3340" s="602" t="s">
        <v>4</v>
      </c>
      <c r="B3340" s="603"/>
      <c r="C3340" s="603" t="str">
        <f>'A IV.A'!$B$43</f>
        <v>FECHAMENTOS, PROTEÇÕES E ALVENARIAS EM GERAL</v>
      </c>
      <c r="D3340" s="603"/>
      <c r="E3340" s="603"/>
      <c r="F3340" s="603"/>
      <c r="G3340" s="603"/>
      <c r="H3340" s="603"/>
      <c r="I3340" s="603"/>
      <c r="J3340" s="604"/>
      <c r="K3340" s="132"/>
      <c r="L3340" s="133"/>
    </row>
    <row r="3341" spans="1:12" x14ac:dyDescent="0.2">
      <c r="A3341" s="609" t="str">
        <f>'A IV.A'!$A$43</f>
        <v>3.0</v>
      </c>
      <c r="B3341" s="610"/>
      <c r="C3341" s="605"/>
      <c r="D3341" s="605"/>
      <c r="E3341" s="605"/>
      <c r="F3341" s="605"/>
      <c r="G3341" s="605"/>
      <c r="H3341" s="605"/>
      <c r="I3341" s="605"/>
      <c r="J3341" s="606"/>
      <c r="K3341" s="132"/>
      <c r="L3341" s="133"/>
    </row>
    <row r="3342" spans="1:12" ht="13.5" thickBot="1" x14ac:dyDescent="0.25">
      <c r="A3342" s="611"/>
      <c r="B3342" s="612"/>
      <c r="C3342" s="607"/>
      <c r="D3342" s="607"/>
      <c r="E3342" s="607"/>
      <c r="F3342" s="607"/>
      <c r="G3342" s="607"/>
      <c r="H3342" s="607"/>
      <c r="I3342" s="607"/>
      <c r="J3342" s="608"/>
      <c r="K3342" s="132"/>
      <c r="L3342" s="133"/>
    </row>
    <row r="3343" spans="1:12" ht="13.5" thickBot="1" x14ac:dyDescent="0.25">
      <c r="A3343" s="169"/>
      <c r="B3343" s="169"/>
      <c r="C3343" s="613"/>
      <c r="D3343" s="613"/>
      <c r="E3343" s="613"/>
      <c r="F3343" s="613"/>
      <c r="G3343" s="613"/>
      <c r="H3343" s="613"/>
      <c r="I3343" s="613"/>
      <c r="J3343" s="169"/>
      <c r="K3343" s="132"/>
      <c r="L3343" s="133"/>
    </row>
    <row r="3344" spans="1:12" ht="13.5" thickBot="1" x14ac:dyDescent="0.25">
      <c r="A3344" s="632" t="s">
        <v>60</v>
      </c>
      <c r="B3344" s="633"/>
      <c r="C3344" s="656" t="s">
        <v>61</v>
      </c>
      <c r="D3344" s="656"/>
      <c r="E3344" s="656"/>
      <c r="F3344" s="656"/>
      <c r="G3344" s="656"/>
      <c r="H3344" s="656"/>
      <c r="I3344" s="656"/>
      <c r="J3344" s="260" t="s">
        <v>0</v>
      </c>
      <c r="K3344" s="132"/>
      <c r="L3344" s="133"/>
    </row>
    <row r="3345" spans="1:14" x14ac:dyDescent="0.2">
      <c r="A3345" s="136"/>
      <c r="B3345" s="137"/>
      <c r="C3345" s="619"/>
      <c r="D3345" s="620"/>
      <c r="E3345" s="621"/>
      <c r="F3345" s="621"/>
      <c r="G3345" s="621"/>
      <c r="H3345" s="621"/>
      <c r="I3345" s="622"/>
      <c r="J3345" s="138"/>
      <c r="K3345" s="132"/>
      <c r="L3345" s="133"/>
    </row>
    <row r="3346" spans="1:14" x14ac:dyDescent="0.2">
      <c r="A3346" s="623" t="str">
        <f>'A IV.A'!$A$103</f>
        <v>3.10.3</v>
      </c>
      <c r="B3346" s="624"/>
      <c r="C3346" s="626" t="str">
        <f>'A IV.A'!$B$103</f>
        <v xml:space="preserve">TELHA DE FIBROCIMENTO ONDULADA E=6MM </v>
      </c>
      <c r="D3346" s="627"/>
      <c r="E3346" s="627"/>
      <c r="F3346" s="627"/>
      <c r="G3346" s="627"/>
      <c r="H3346" s="627"/>
      <c r="I3346" s="628"/>
      <c r="J3346" s="629" t="str">
        <f>'A IV.A'!$C$103</f>
        <v>M2</v>
      </c>
      <c r="K3346" s="630" t="str">
        <f>VLOOKUP(A3346,'A IV.A'!$A$14:$M$233,2,FALSE)</f>
        <v xml:space="preserve">TELHA DE FIBROCIMENTO ONDULADA E=6MM </v>
      </c>
      <c r="L3346" s="631" t="str">
        <f>IF(C3346=K3346,"sim","nao")</f>
        <v>sim</v>
      </c>
      <c r="M3346" s="631" t="str">
        <f>VLOOKUP(A3346,'A IV.A'!$A$14:$M$233,3,FALSE)</f>
        <v>M2</v>
      </c>
      <c r="N3346" s="631" t="str">
        <f>IF(J3346=M3346,"sim","nao")</f>
        <v>sim</v>
      </c>
    </row>
    <row r="3347" spans="1:14" x14ac:dyDescent="0.2">
      <c r="A3347" s="625"/>
      <c r="B3347" s="624"/>
      <c r="C3347" s="626"/>
      <c r="D3347" s="627"/>
      <c r="E3347" s="627"/>
      <c r="F3347" s="627"/>
      <c r="G3347" s="627"/>
      <c r="H3347" s="627"/>
      <c r="I3347" s="628"/>
      <c r="J3347" s="629"/>
      <c r="K3347" s="630"/>
      <c r="L3347" s="631"/>
      <c r="M3347" s="631"/>
      <c r="N3347" s="631"/>
    </row>
    <row r="3348" spans="1:14" x14ac:dyDescent="0.2">
      <c r="A3348" s="139"/>
      <c r="B3348" s="140"/>
      <c r="C3348" s="141"/>
      <c r="D3348" s="142"/>
      <c r="E3348" s="142"/>
      <c r="F3348" s="142"/>
      <c r="G3348" s="142"/>
      <c r="H3348" s="142"/>
      <c r="I3348" s="143"/>
      <c r="J3348" s="144"/>
      <c r="K3348" s="132"/>
      <c r="L3348" s="133"/>
    </row>
    <row r="3349" spans="1:14" x14ac:dyDescent="0.2">
      <c r="A3349" s="623" t="str">
        <f>'A IV.A'!$A$104</f>
        <v>3.10.4</v>
      </c>
      <c r="B3349" s="624"/>
      <c r="C3349" s="626" t="str">
        <f>'A IV.A'!$B$104</f>
        <v xml:space="preserve">TELHA TIPO KALHETA E=8MM, COM FIO SINTÉTICO CRFS - PERFIL TRAPEZOIDAL DE 44CM </v>
      </c>
      <c r="D3349" s="627"/>
      <c r="E3349" s="627"/>
      <c r="F3349" s="627"/>
      <c r="G3349" s="627"/>
      <c r="H3349" s="627"/>
      <c r="I3349" s="628"/>
      <c r="J3349" s="629" t="str">
        <f>'A IV.A'!$C$104</f>
        <v>M2</v>
      </c>
      <c r="K3349" s="630" t="str">
        <f>VLOOKUP(A3349,'A IV.A'!$A$14:$M$233,2,FALSE)</f>
        <v xml:space="preserve">TELHA TIPO KALHETA E=8MM, COM FIO SINTÉTICO CRFS - PERFIL TRAPEZOIDAL DE 44CM </v>
      </c>
      <c r="L3349" s="631" t="str">
        <f>IF(C3349=K3349,"sim","nao")</f>
        <v>sim</v>
      </c>
      <c r="M3349" s="631" t="str">
        <f>VLOOKUP(A3349,'A IV.A'!$A$14:$M$233,3,FALSE)</f>
        <v>M2</v>
      </c>
      <c r="N3349" s="631" t="str">
        <f>IF(J3349=M3349,"sim","nao")</f>
        <v>sim</v>
      </c>
    </row>
    <row r="3350" spans="1:14" x14ac:dyDescent="0.2">
      <c r="A3350" s="625"/>
      <c r="B3350" s="624"/>
      <c r="C3350" s="626"/>
      <c r="D3350" s="627"/>
      <c r="E3350" s="627"/>
      <c r="F3350" s="627"/>
      <c r="G3350" s="627"/>
      <c r="H3350" s="627"/>
      <c r="I3350" s="628"/>
      <c r="J3350" s="629"/>
      <c r="K3350" s="630"/>
      <c r="L3350" s="631"/>
      <c r="M3350" s="631"/>
      <c r="N3350" s="631"/>
    </row>
    <row r="3351" spans="1:14" x14ac:dyDescent="0.2">
      <c r="A3351" s="145"/>
      <c r="B3351" s="146"/>
      <c r="C3351" s="147"/>
      <c r="D3351" s="147"/>
      <c r="E3351" s="147"/>
      <c r="F3351" s="147"/>
      <c r="G3351" s="147"/>
      <c r="H3351" s="147"/>
      <c r="I3351" s="147"/>
      <c r="J3351" s="148"/>
      <c r="K3351" s="132"/>
      <c r="L3351" s="133"/>
    </row>
    <row r="3352" spans="1:14" x14ac:dyDescent="0.2">
      <c r="A3352" s="199"/>
      <c r="B3352" s="313"/>
      <c r="C3352" s="189"/>
      <c r="D3352" s="165"/>
      <c r="E3352" s="165"/>
      <c r="F3352" s="165"/>
      <c r="G3352" s="165"/>
      <c r="H3352" s="165"/>
      <c r="I3352" s="190"/>
      <c r="J3352" s="191"/>
      <c r="K3352" s="630"/>
      <c r="L3352" s="631"/>
      <c r="M3352" s="631"/>
      <c r="N3352" s="631"/>
    </row>
    <row r="3353" spans="1:14" x14ac:dyDescent="0.2">
      <c r="A3353" s="199"/>
      <c r="B3353" s="313"/>
      <c r="C3353" s="189"/>
      <c r="D3353" s="165"/>
      <c r="E3353" s="165"/>
      <c r="F3353" s="165"/>
      <c r="G3353" s="165"/>
      <c r="H3353" s="165"/>
      <c r="I3353" s="190"/>
      <c r="J3353" s="191"/>
      <c r="K3353" s="630"/>
      <c r="L3353" s="631"/>
      <c r="M3353" s="631"/>
      <c r="N3353" s="631"/>
    </row>
    <row r="3354" spans="1:14" x14ac:dyDescent="0.2">
      <c r="A3354" s="145"/>
      <c r="B3354" s="146"/>
      <c r="C3354" s="147"/>
      <c r="D3354" s="147"/>
      <c r="E3354" s="147"/>
      <c r="F3354" s="147"/>
      <c r="G3354" s="147"/>
      <c r="H3354" s="147"/>
      <c r="I3354" s="147"/>
      <c r="J3354" s="148"/>
      <c r="K3354" s="132"/>
      <c r="L3354" s="133"/>
    </row>
    <row r="3355" spans="1:14" x14ac:dyDescent="0.2">
      <c r="A3355" s="199"/>
      <c r="B3355" s="188"/>
      <c r="C3355" s="189"/>
      <c r="D3355" s="165"/>
      <c r="E3355" s="165"/>
      <c r="F3355" s="165"/>
      <c r="G3355" s="165"/>
      <c r="H3355" s="165"/>
      <c r="I3355" s="190"/>
      <c r="J3355" s="191"/>
      <c r="K3355" s="192"/>
      <c r="L3355" s="55"/>
      <c r="M3355" s="55"/>
      <c r="N3355" s="55"/>
    </row>
    <row r="3356" spans="1:14" x14ac:dyDescent="0.2">
      <c r="A3356" s="158"/>
      <c r="B3356" s="188"/>
      <c r="C3356" s="189"/>
      <c r="D3356" s="165"/>
      <c r="E3356" s="165"/>
      <c r="F3356" s="165"/>
      <c r="G3356" s="165"/>
      <c r="H3356" s="165"/>
      <c r="I3356" s="190"/>
      <c r="J3356" s="191"/>
      <c r="K3356" s="192"/>
      <c r="L3356" s="55"/>
      <c r="M3356" s="55"/>
      <c r="N3356" s="55"/>
    </row>
    <row r="3357" spans="1:14" x14ac:dyDescent="0.2">
      <c r="A3357" s="145"/>
      <c r="B3357" s="146"/>
      <c r="C3357" s="147"/>
      <c r="D3357" s="147"/>
      <c r="E3357" s="147"/>
      <c r="F3357" s="147"/>
      <c r="G3357" s="147"/>
      <c r="H3357" s="147"/>
      <c r="I3357" s="147"/>
      <c r="J3357" s="148"/>
      <c r="K3357" s="132"/>
      <c r="L3357" s="171" t="s">
        <v>743</v>
      </c>
    </row>
    <row r="3358" spans="1:14" x14ac:dyDescent="0.2">
      <c r="A3358" s="199"/>
      <c r="B3358" s="188"/>
      <c r="C3358" s="189"/>
      <c r="D3358" s="165"/>
      <c r="E3358" s="165"/>
      <c r="F3358" s="165"/>
      <c r="G3358" s="165"/>
      <c r="H3358" s="165"/>
      <c r="I3358" s="190"/>
      <c r="J3358" s="191"/>
      <c r="K3358" s="192"/>
      <c r="L3358" s="171" t="s">
        <v>744</v>
      </c>
      <c r="M3358" s="55"/>
      <c r="N3358" s="55"/>
    </row>
    <row r="3359" spans="1:14" x14ac:dyDescent="0.2">
      <c r="A3359" s="158"/>
      <c r="B3359" s="188"/>
      <c r="C3359" s="189"/>
      <c r="D3359" s="165"/>
      <c r="E3359" s="165"/>
      <c r="F3359" s="165"/>
      <c r="G3359" s="165"/>
      <c r="H3359" s="165"/>
      <c r="I3359" s="190"/>
      <c r="J3359" s="191"/>
      <c r="K3359" s="192"/>
      <c r="L3359" s="55"/>
      <c r="M3359" s="55"/>
      <c r="N3359" s="55"/>
    </row>
    <row r="3360" spans="1:14" x14ac:dyDescent="0.2">
      <c r="A3360" s="145"/>
      <c r="B3360" s="146"/>
      <c r="C3360" s="147"/>
      <c r="D3360" s="147"/>
      <c r="E3360" s="147"/>
      <c r="F3360" s="147"/>
      <c r="G3360" s="147"/>
      <c r="H3360" s="147"/>
      <c r="I3360" s="147"/>
      <c r="J3360" s="148"/>
      <c r="K3360" s="132"/>
      <c r="L3360" s="133"/>
    </row>
    <row r="3361" spans="1:14" x14ac:dyDescent="0.2">
      <c r="A3361" s="199"/>
      <c r="B3361" s="188"/>
      <c r="C3361" s="189"/>
      <c r="D3361" s="165"/>
      <c r="E3361" s="165"/>
      <c r="F3361" s="165"/>
      <c r="G3361" s="165"/>
      <c r="H3361" s="165"/>
      <c r="I3361" s="190"/>
      <c r="J3361" s="191"/>
      <c r="K3361" s="192"/>
      <c r="L3361" s="55"/>
      <c r="M3361" s="55"/>
      <c r="N3361" s="55"/>
    </row>
    <row r="3362" spans="1:14" x14ac:dyDescent="0.2">
      <c r="A3362" s="158"/>
      <c r="B3362" s="188"/>
      <c r="C3362" s="189"/>
      <c r="D3362" s="165"/>
      <c r="E3362" s="165"/>
      <c r="F3362" s="165"/>
      <c r="G3362" s="165"/>
      <c r="H3362" s="165"/>
      <c r="I3362" s="190"/>
      <c r="J3362" s="191"/>
      <c r="K3362" s="192"/>
      <c r="L3362" s="55"/>
      <c r="M3362" s="55"/>
      <c r="N3362" s="55"/>
    </row>
    <row r="3363" spans="1:14" x14ac:dyDescent="0.2">
      <c r="A3363" s="145"/>
      <c r="B3363" s="146"/>
      <c r="C3363" s="147"/>
      <c r="D3363" s="147"/>
      <c r="E3363" s="147"/>
      <c r="F3363" s="147"/>
      <c r="G3363" s="147"/>
      <c r="H3363" s="147"/>
      <c r="I3363" s="147"/>
      <c r="J3363" s="148"/>
      <c r="K3363" s="132"/>
      <c r="L3363" s="133"/>
    </row>
    <row r="3364" spans="1:14" x14ac:dyDescent="0.2">
      <c r="A3364" s="199"/>
      <c r="B3364" s="188"/>
      <c r="C3364" s="189"/>
      <c r="D3364" s="165"/>
      <c r="E3364" s="165"/>
      <c r="F3364" s="165"/>
      <c r="G3364" s="165"/>
      <c r="H3364" s="165"/>
      <c r="I3364" s="190"/>
      <c r="J3364" s="191"/>
      <c r="K3364" s="192"/>
      <c r="L3364" s="55"/>
      <c r="M3364" s="55"/>
      <c r="N3364" s="55"/>
    </row>
    <row r="3365" spans="1:14" x14ac:dyDescent="0.2">
      <c r="A3365" s="158"/>
      <c r="B3365" s="188"/>
      <c r="C3365" s="189"/>
      <c r="D3365" s="165"/>
      <c r="E3365" s="165"/>
      <c r="F3365" s="165"/>
      <c r="G3365" s="165"/>
      <c r="H3365" s="165"/>
      <c r="I3365" s="190"/>
      <c r="J3365" s="191"/>
      <c r="K3365" s="192"/>
      <c r="L3365" s="55"/>
      <c r="M3365" s="55"/>
      <c r="N3365" s="55"/>
    </row>
    <row r="3366" spans="1:14" x14ac:dyDescent="0.2">
      <c r="A3366" s="145"/>
      <c r="B3366" s="146"/>
      <c r="C3366" s="147"/>
      <c r="D3366" s="147"/>
      <c r="E3366" s="147"/>
      <c r="F3366" s="147"/>
      <c r="G3366" s="147"/>
      <c r="H3366" s="147"/>
      <c r="I3366" s="147"/>
      <c r="J3366" s="148"/>
      <c r="K3366" s="132"/>
      <c r="L3366" s="133"/>
    </row>
    <row r="3367" spans="1:14" ht="13.5" thickBot="1" x14ac:dyDescent="0.25">
      <c r="A3367" s="149"/>
      <c r="B3367" s="150"/>
      <c r="C3367" s="151"/>
      <c r="D3367" s="151"/>
      <c r="E3367" s="151"/>
      <c r="F3367" s="151"/>
      <c r="G3367" s="151"/>
      <c r="H3367" s="151"/>
      <c r="I3367" s="151"/>
      <c r="J3367" s="152"/>
      <c r="K3367" s="132"/>
      <c r="L3367" s="133"/>
    </row>
    <row r="3368" spans="1:14" ht="13.5" thickBot="1" x14ac:dyDescent="0.25">
      <c r="A3368" s="153"/>
      <c r="B3368" s="153"/>
      <c r="C3368" s="154"/>
      <c r="D3368" s="154"/>
      <c r="E3368" s="154"/>
      <c r="F3368" s="154"/>
      <c r="G3368" s="154"/>
      <c r="H3368" s="154"/>
      <c r="I3368" s="154"/>
      <c r="J3368" s="153"/>
      <c r="K3368" s="132"/>
      <c r="L3368" s="133"/>
    </row>
    <row r="3369" spans="1:14" ht="13.5" thickBot="1" x14ac:dyDescent="0.25">
      <c r="A3369" s="614" t="s">
        <v>62</v>
      </c>
      <c r="B3369" s="648"/>
      <c r="C3369" s="648"/>
      <c r="D3369" s="648"/>
      <c r="E3369" s="648"/>
      <c r="F3369" s="648"/>
      <c r="G3369" s="648"/>
      <c r="H3369" s="648"/>
      <c r="I3369" s="648"/>
      <c r="J3369" s="649"/>
      <c r="K3369" s="132"/>
      <c r="L3369" s="133"/>
    </row>
    <row r="3370" spans="1:14" x14ac:dyDescent="0.2">
      <c r="A3370" s="136"/>
      <c r="B3370" s="155"/>
      <c r="C3370" s="156"/>
      <c r="D3370" s="156"/>
      <c r="E3370" s="156"/>
      <c r="F3370" s="156"/>
      <c r="G3370" s="156"/>
      <c r="H3370" s="156"/>
      <c r="I3370" s="156"/>
      <c r="J3370" s="157"/>
      <c r="K3370" s="132"/>
      <c r="L3370" s="133"/>
    </row>
    <row r="3371" spans="1:14" ht="12.75" customHeight="1" x14ac:dyDescent="0.2">
      <c r="A3371" s="158" t="s">
        <v>63</v>
      </c>
      <c r="B3371" s="55"/>
      <c r="C3371" s="596" t="s">
        <v>736</v>
      </c>
      <c r="D3371" s="596"/>
      <c r="E3371" s="596"/>
      <c r="F3371" s="596"/>
      <c r="G3371" s="596"/>
      <c r="H3371" s="596"/>
      <c r="I3371" s="596"/>
      <c r="J3371" s="597"/>
      <c r="K3371" s="132"/>
      <c r="L3371" s="133"/>
    </row>
    <row r="3372" spans="1:14" x14ac:dyDescent="0.2">
      <c r="A3372" s="158"/>
      <c r="B3372" s="55"/>
      <c r="C3372" s="596"/>
      <c r="D3372" s="596"/>
      <c r="E3372" s="596"/>
      <c r="F3372" s="596"/>
      <c r="G3372" s="596"/>
      <c r="H3372" s="596"/>
      <c r="I3372" s="596"/>
      <c r="J3372" s="597"/>
      <c r="K3372" s="132"/>
      <c r="L3372" s="133"/>
    </row>
    <row r="3373" spans="1:14" x14ac:dyDescent="0.2">
      <c r="A3373" s="158"/>
      <c r="B3373" s="55"/>
      <c r="C3373" s="596"/>
      <c r="D3373" s="596"/>
      <c r="E3373" s="596"/>
      <c r="F3373" s="596"/>
      <c r="G3373" s="596"/>
      <c r="H3373" s="596"/>
      <c r="I3373" s="596"/>
      <c r="J3373" s="597"/>
      <c r="K3373" s="132"/>
      <c r="L3373" s="133"/>
    </row>
    <row r="3374" spans="1:14" x14ac:dyDescent="0.2">
      <c r="C3374" s="596"/>
      <c r="D3374" s="596"/>
      <c r="E3374" s="596"/>
      <c r="F3374" s="596"/>
      <c r="G3374" s="596"/>
      <c r="H3374" s="596"/>
      <c r="I3374" s="596"/>
      <c r="J3374" s="597"/>
      <c r="K3374" s="132"/>
      <c r="L3374" s="133"/>
    </row>
    <row r="3375" spans="1:14" x14ac:dyDescent="0.2">
      <c r="A3375" s="630"/>
      <c r="B3375" s="657"/>
      <c r="C3375" s="596"/>
      <c r="D3375" s="596"/>
      <c r="E3375" s="596"/>
      <c r="F3375" s="596"/>
      <c r="G3375" s="596"/>
      <c r="H3375" s="596"/>
      <c r="I3375" s="596"/>
      <c r="J3375" s="597"/>
      <c r="K3375" s="132"/>
      <c r="L3375" s="133"/>
    </row>
    <row r="3376" spans="1:14" x14ac:dyDescent="0.2">
      <c r="A3376" s="158"/>
      <c r="B3376" s="55"/>
      <c r="C3376" s="71"/>
      <c r="D3376" s="71"/>
      <c r="E3376" s="71"/>
      <c r="F3376" s="71"/>
      <c r="G3376" s="71"/>
      <c r="H3376" s="71"/>
      <c r="I3376" s="71"/>
      <c r="J3376" s="174"/>
      <c r="K3376" s="132"/>
      <c r="L3376" s="133"/>
    </row>
    <row r="3377" spans="1:12" x14ac:dyDescent="0.2">
      <c r="A3377" s="158" t="s">
        <v>64</v>
      </c>
      <c r="B3377" s="55"/>
      <c r="C3377" s="662" t="s">
        <v>737</v>
      </c>
      <c r="D3377" s="662"/>
      <c r="E3377" s="662"/>
      <c r="F3377" s="662"/>
      <c r="G3377" s="662"/>
      <c r="H3377" s="662"/>
      <c r="I3377" s="662"/>
      <c r="J3377" s="663"/>
      <c r="K3377" s="132"/>
      <c r="L3377" s="133"/>
    </row>
    <row r="3378" spans="1:12" ht="12.75" customHeight="1" x14ac:dyDescent="0.2">
      <c r="A3378" s="158"/>
      <c r="B3378" s="55"/>
      <c r="C3378" s="159"/>
      <c r="D3378" s="652" t="s">
        <v>738</v>
      </c>
      <c r="E3378" s="652"/>
      <c r="F3378" s="652"/>
      <c r="G3378" s="652"/>
      <c r="H3378" s="652"/>
      <c r="I3378" s="652"/>
      <c r="J3378" s="653"/>
      <c r="K3378" s="132"/>
      <c r="L3378" s="133"/>
    </row>
    <row r="3379" spans="1:12" x14ac:dyDescent="0.2">
      <c r="A3379" s="158"/>
      <c r="B3379" s="55"/>
      <c r="C3379" s="159"/>
      <c r="D3379" s="652"/>
      <c r="E3379" s="652"/>
      <c r="F3379" s="652"/>
      <c r="G3379" s="652"/>
      <c r="H3379" s="652"/>
      <c r="I3379" s="652"/>
      <c r="J3379" s="653"/>
      <c r="K3379" s="132"/>
      <c r="L3379" s="133"/>
    </row>
    <row r="3380" spans="1:12" ht="12.75" customHeight="1" x14ac:dyDescent="0.2">
      <c r="A3380" s="158"/>
      <c r="B3380" s="55"/>
      <c r="C3380" s="55"/>
      <c r="D3380" s="652" t="s">
        <v>739</v>
      </c>
      <c r="E3380" s="652"/>
      <c r="F3380" s="652"/>
      <c r="G3380" s="652"/>
      <c r="H3380" s="652"/>
      <c r="I3380" s="652"/>
      <c r="J3380" s="653"/>
      <c r="K3380" s="132"/>
      <c r="L3380" s="133"/>
    </row>
    <row r="3381" spans="1:12" x14ac:dyDescent="0.2">
      <c r="A3381" s="158"/>
      <c r="B3381" s="55"/>
      <c r="C3381" s="55"/>
      <c r="D3381" s="652"/>
      <c r="E3381" s="652"/>
      <c r="F3381" s="652"/>
      <c r="G3381" s="652"/>
      <c r="H3381" s="652"/>
      <c r="I3381" s="652"/>
      <c r="J3381" s="653"/>
      <c r="K3381" s="132"/>
      <c r="L3381" s="133"/>
    </row>
    <row r="3382" spans="1:12" ht="2.25" customHeight="1" x14ac:dyDescent="0.2">
      <c r="A3382" s="158"/>
      <c r="B3382" s="55"/>
      <c r="C3382" s="159"/>
      <c r="D3382" s="652"/>
      <c r="E3382" s="652"/>
      <c r="F3382" s="652"/>
      <c r="G3382" s="652"/>
      <c r="H3382" s="652"/>
      <c r="I3382" s="652"/>
      <c r="J3382" s="653"/>
      <c r="K3382" s="132"/>
      <c r="L3382" s="133"/>
    </row>
    <row r="3383" spans="1:12" ht="12.75" customHeight="1" x14ac:dyDescent="0.2">
      <c r="A3383" s="158"/>
      <c r="B3383" s="55"/>
      <c r="C3383" s="159"/>
      <c r="D3383" s="305" t="s">
        <v>866</v>
      </c>
      <c r="E3383" s="652" t="s">
        <v>740</v>
      </c>
      <c r="F3383" s="652"/>
      <c r="G3383" s="652"/>
      <c r="H3383" s="652"/>
      <c r="I3383" s="652"/>
      <c r="J3383" s="653"/>
      <c r="K3383" s="132"/>
      <c r="L3383" s="133"/>
    </row>
    <row r="3384" spans="1:12" ht="12.75" customHeight="1" x14ac:dyDescent="0.2">
      <c r="A3384" s="158"/>
      <c r="B3384" s="55"/>
      <c r="C3384" s="159"/>
      <c r="D3384" s="305" t="s">
        <v>866</v>
      </c>
      <c r="E3384" s="652" t="s">
        <v>741</v>
      </c>
      <c r="F3384" s="652"/>
      <c r="G3384" s="652"/>
      <c r="H3384" s="652"/>
      <c r="I3384" s="652"/>
      <c r="J3384" s="653"/>
      <c r="K3384" s="132"/>
      <c r="L3384" s="133"/>
    </row>
    <row r="3385" spans="1:12" ht="12.75" customHeight="1" x14ac:dyDescent="0.2">
      <c r="A3385" s="158"/>
      <c r="B3385" s="55"/>
      <c r="C3385" s="159"/>
      <c r="D3385" s="305" t="s">
        <v>866</v>
      </c>
      <c r="E3385" s="652" t="s">
        <v>742</v>
      </c>
      <c r="F3385" s="652"/>
      <c r="G3385" s="652"/>
      <c r="H3385" s="652"/>
      <c r="I3385" s="652"/>
      <c r="J3385" s="653"/>
      <c r="K3385" s="132"/>
      <c r="L3385" s="133"/>
    </row>
    <row r="3386" spans="1:12" x14ac:dyDescent="0.2">
      <c r="A3386" s="158"/>
      <c r="B3386" s="55"/>
      <c r="C3386" s="175"/>
      <c r="D3386" s="175"/>
      <c r="E3386" s="172"/>
      <c r="F3386" s="172"/>
      <c r="G3386" s="172"/>
      <c r="H3386" s="172"/>
      <c r="I3386" s="172"/>
      <c r="J3386" s="173"/>
      <c r="K3386" s="132"/>
      <c r="L3386" s="133"/>
    </row>
    <row r="3387" spans="1:12" x14ac:dyDescent="0.2">
      <c r="A3387" s="158" t="s">
        <v>65</v>
      </c>
      <c r="B3387" s="55"/>
      <c r="C3387" s="634" t="s">
        <v>1057</v>
      </c>
      <c r="D3387" s="634"/>
      <c r="E3387" s="634"/>
      <c r="F3387" s="634"/>
      <c r="G3387" s="634"/>
      <c r="H3387" s="634"/>
      <c r="I3387" s="634"/>
      <c r="J3387" s="635"/>
      <c r="K3387" s="132"/>
      <c r="L3387" s="133"/>
    </row>
    <row r="3388" spans="1:12" x14ac:dyDescent="0.2">
      <c r="A3388" s="158"/>
      <c r="B3388" s="55"/>
      <c r="C3388" s="634"/>
      <c r="D3388" s="634"/>
      <c r="E3388" s="634"/>
      <c r="F3388" s="634"/>
      <c r="G3388" s="634"/>
      <c r="H3388" s="634"/>
      <c r="I3388" s="634"/>
      <c r="J3388" s="635"/>
      <c r="K3388" s="132"/>
      <c r="L3388" s="133"/>
    </row>
    <row r="3389" spans="1:12" x14ac:dyDescent="0.2">
      <c r="A3389" s="158"/>
      <c r="B3389" s="55"/>
      <c r="C3389" s="634"/>
      <c r="D3389" s="634"/>
      <c r="E3389" s="634"/>
      <c r="F3389" s="634"/>
      <c r="G3389" s="634"/>
      <c r="H3389" s="634"/>
      <c r="I3389" s="634"/>
      <c r="J3389" s="635"/>
      <c r="K3389" s="132"/>
      <c r="L3389" s="133"/>
    </row>
    <row r="3390" spans="1:12" x14ac:dyDescent="0.2">
      <c r="A3390" s="158"/>
      <c r="B3390" s="55"/>
      <c r="C3390" s="634"/>
      <c r="D3390" s="634"/>
      <c r="E3390" s="634"/>
      <c r="F3390" s="634"/>
      <c r="G3390" s="634"/>
      <c r="H3390" s="634"/>
      <c r="I3390" s="634"/>
      <c r="J3390" s="635"/>
      <c r="K3390" s="132"/>
      <c r="L3390" s="133"/>
    </row>
    <row r="3391" spans="1:12" x14ac:dyDescent="0.2">
      <c r="A3391" s="158"/>
      <c r="B3391" s="55"/>
      <c r="C3391" s="159"/>
      <c r="D3391" s="159"/>
      <c r="E3391" s="159"/>
      <c r="F3391" s="159"/>
      <c r="G3391" s="159"/>
      <c r="H3391" s="159"/>
      <c r="I3391" s="159"/>
      <c r="J3391" s="160"/>
      <c r="K3391" s="132"/>
      <c r="L3391" s="133"/>
    </row>
    <row r="3392" spans="1:12" ht="13.5" thickBot="1" x14ac:dyDescent="0.25">
      <c r="A3392" s="149"/>
      <c r="B3392" s="167"/>
      <c r="C3392" s="151"/>
      <c r="D3392" s="151"/>
      <c r="E3392" s="151"/>
      <c r="F3392" s="151"/>
      <c r="G3392" s="151"/>
      <c r="H3392" s="151"/>
      <c r="I3392" s="151"/>
      <c r="J3392" s="168"/>
      <c r="K3392" s="132"/>
      <c r="L3392" s="133"/>
    </row>
    <row r="3393" spans="1:14" ht="15.75" x14ac:dyDescent="0.2">
      <c r="A3393" s="602" t="s">
        <v>4</v>
      </c>
      <c r="B3393" s="603"/>
      <c r="C3393" s="603" t="str">
        <f>'A IV.A'!$B$43</f>
        <v>FECHAMENTOS, PROTEÇÕES E ALVENARIAS EM GERAL</v>
      </c>
      <c r="D3393" s="603"/>
      <c r="E3393" s="603"/>
      <c r="F3393" s="603"/>
      <c r="G3393" s="603"/>
      <c r="H3393" s="603"/>
      <c r="I3393" s="603"/>
      <c r="J3393" s="604"/>
      <c r="K3393" s="132"/>
      <c r="L3393" s="133"/>
    </row>
    <row r="3394" spans="1:14" x14ac:dyDescent="0.2">
      <c r="A3394" s="609" t="str">
        <f>'A IV.A'!$A$43</f>
        <v>3.0</v>
      </c>
      <c r="B3394" s="610"/>
      <c r="C3394" s="605"/>
      <c r="D3394" s="605"/>
      <c r="E3394" s="605"/>
      <c r="F3394" s="605"/>
      <c r="G3394" s="605"/>
      <c r="H3394" s="605"/>
      <c r="I3394" s="605"/>
      <c r="J3394" s="606"/>
      <c r="K3394" s="132"/>
      <c r="L3394" s="133"/>
    </row>
    <row r="3395" spans="1:14" ht="13.5" thickBot="1" x14ac:dyDescent="0.25">
      <c r="A3395" s="611"/>
      <c r="B3395" s="612"/>
      <c r="C3395" s="607"/>
      <c r="D3395" s="607"/>
      <c r="E3395" s="607"/>
      <c r="F3395" s="607"/>
      <c r="G3395" s="607"/>
      <c r="H3395" s="607"/>
      <c r="I3395" s="607"/>
      <c r="J3395" s="608"/>
      <c r="K3395" s="132"/>
      <c r="L3395" s="133"/>
    </row>
    <row r="3396" spans="1:14" ht="13.5" thickBot="1" x14ac:dyDescent="0.25">
      <c r="A3396" s="169"/>
      <c r="B3396" s="169"/>
      <c r="C3396" s="613"/>
      <c r="D3396" s="613"/>
      <c r="E3396" s="613"/>
      <c r="F3396" s="613"/>
      <c r="G3396" s="613"/>
      <c r="H3396" s="613"/>
      <c r="I3396" s="613"/>
      <c r="J3396" s="169"/>
      <c r="K3396" s="132"/>
      <c r="L3396" s="133"/>
    </row>
    <row r="3397" spans="1:14" ht="13.5" thickBot="1" x14ac:dyDescent="0.25">
      <c r="A3397" s="632" t="s">
        <v>60</v>
      </c>
      <c r="B3397" s="633"/>
      <c r="C3397" s="656" t="s">
        <v>61</v>
      </c>
      <c r="D3397" s="656"/>
      <c r="E3397" s="656"/>
      <c r="F3397" s="656"/>
      <c r="G3397" s="656"/>
      <c r="H3397" s="656"/>
      <c r="I3397" s="656"/>
      <c r="J3397" s="260" t="s">
        <v>0</v>
      </c>
      <c r="K3397" s="132"/>
      <c r="L3397" s="133"/>
    </row>
    <row r="3398" spans="1:14" x14ac:dyDescent="0.2">
      <c r="A3398" s="136"/>
      <c r="B3398" s="137"/>
      <c r="C3398" s="619"/>
      <c r="D3398" s="620"/>
      <c r="E3398" s="621"/>
      <c r="F3398" s="621"/>
      <c r="G3398" s="621"/>
      <c r="H3398" s="621"/>
      <c r="I3398" s="622"/>
      <c r="J3398" s="138"/>
      <c r="K3398" s="132"/>
      <c r="L3398" s="133"/>
    </row>
    <row r="3399" spans="1:14" x14ac:dyDescent="0.2">
      <c r="A3399" s="623" t="str">
        <f>'A IV.A'!$A$105</f>
        <v>3.10.5</v>
      </c>
      <c r="B3399" s="624"/>
      <c r="C3399" s="626" t="str">
        <f>'A IV.A'!$B$105</f>
        <v>CALHA DE CHAPA GALVANIZADA N° 26</v>
      </c>
      <c r="D3399" s="627"/>
      <c r="E3399" s="627"/>
      <c r="F3399" s="627"/>
      <c r="G3399" s="627"/>
      <c r="H3399" s="627"/>
      <c r="I3399" s="628"/>
      <c r="J3399" s="629" t="str">
        <f>'A IV.A'!$C$105</f>
        <v>M</v>
      </c>
      <c r="K3399" s="630" t="str">
        <f>VLOOKUP(A3399,'A IV.A'!$A$14:$M$233,2,FALSE)</f>
        <v>CALHA DE CHAPA GALVANIZADA N° 26</v>
      </c>
      <c r="L3399" s="631" t="str">
        <f>IF(C3399=K3399,"sim","nao")</f>
        <v>sim</v>
      </c>
      <c r="M3399" s="631" t="str">
        <f>VLOOKUP(A3399,'A IV.A'!$A$14:$M$233,3,FALSE)</f>
        <v>M</v>
      </c>
      <c r="N3399" s="631" t="str">
        <f>IF(J3399=M3399,"sim","nao")</f>
        <v>sim</v>
      </c>
    </row>
    <row r="3400" spans="1:14" x14ac:dyDescent="0.2">
      <c r="A3400" s="625"/>
      <c r="B3400" s="624"/>
      <c r="C3400" s="626"/>
      <c r="D3400" s="627"/>
      <c r="E3400" s="627"/>
      <c r="F3400" s="627"/>
      <c r="G3400" s="627"/>
      <c r="H3400" s="627"/>
      <c r="I3400" s="628"/>
      <c r="J3400" s="629"/>
      <c r="K3400" s="630"/>
      <c r="L3400" s="631"/>
      <c r="M3400" s="631"/>
      <c r="N3400" s="631"/>
    </row>
    <row r="3401" spans="1:14" x14ac:dyDescent="0.2">
      <c r="A3401" s="145"/>
      <c r="B3401" s="146"/>
      <c r="C3401" s="147"/>
      <c r="D3401" s="147"/>
      <c r="E3401" s="147"/>
      <c r="F3401" s="147"/>
      <c r="G3401" s="147"/>
      <c r="H3401" s="147"/>
      <c r="I3401" s="147"/>
      <c r="J3401" s="148"/>
      <c r="K3401" s="132"/>
      <c r="L3401" s="133"/>
    </row>
    <row r="3402" spans="1:14" x14ac:dyDescent="0.2">
      <c r="A3402" s="623" t="str">
        <f>'A IV.A'!$A$106</f>
        <v>3.10.6</v>
      </c>
      <c r="B3402" s="624"/>
      <c r="C3402" s="626" t="str">
        <f>'A IV.A'!$B$106</f>
        <v xml:space="preserve">RUFO / PINGADEIRA DE CHAPA GALVANIZADA Nº 26 </v>
      </c>
      <c r="D3402" s="627"/>
      <c r="E3402" s="627"/>
      <c r="F3402" s="627"/>
      <c r="G3402" s="627"/>
      <c r="H3402" s="627"/>
      <c r="I3402" s="628"/>
      <c r="J3402" s="629" t="str">
        <f>'A IV.A'!$C$106</f>
        <v>M</v>
      </c>
      <c r="K3402" s="630" t="str">
        <f>VLOOKUP(A3402,'A IV.A'!$A$14:$M$233,2,FALSE)</f>
        <v xml:space="preserve">RUFO / PINGADEIRA DE CHAPA GALVANIZADA Nº 26 </v>
      </c>
      <c r="L3402" s="631" t="str">
        <f>IF(C3402=K3402,"sim","nao")</f>
        <v>sim</v>
      </c>
      <c r="M3402" s="631" t="str">
        <f>VLOOKUP(A3402,'A IV.A'!$A$14:$M$233,3,FALSE)</f>
        <v>M</v>
      </c>
      <c r="N3402" s="631" t="str">
        <f>IF(J3402=M3402,"sim","nao")</f>
        <v>sim</v>
      </c>
    </row>
    <row r="3403" spans="1:14" x14ac:dyDescent="0.2">
      <c r="A3403" s="625"/>
      <c r="B3403" s="624"/>
      <c r="C3403" s="626"/>
      <c r="D3403" s="627"/>
      <c r="E3403" s="627"/>
      <c r="F3403" s="627"/>
      <c r="G3403" s="627"/>
      <c r="H3403" s="627"/>
      <c r="I3403" s="628"/>
      <c r="J3403" s="629"/>
      <c r="K3403" s="630"/>
      <c r="L3403" s="631"/>
      <c r="M3403" s="631"/>
      <c r="N3403" s="631"/>
    </row>
    <row r="3404" spans="1:14" x14ac:dyDescent="0.2">
      <c r="A3404" s="145"/>
      <c r="B3404" s="146"/>
      <c r="C3404" s="147"/>
      <c r="D3404" s="147"/>
      <c r="E3404" s="147"/>
      <c r="F3404" s="147"/>
      <c r="G3404" s="147"/>
      <c r="H3404" s="147"/>
      <c r="I3404" s="147"/>
      <c r="J3404" s="148"/>
      <c r="K3404" s="132"/>
      <c r="L3404" s="133"/>
    </row>
    <row r="3405" spans="1:14" x14ac:dyDescent="0.2">
      <c r="A3405" s="145"/>
      <c r="B3405" s="146"/>
      <c r="C3405" s="147"/>
      <c r="D3405" s="147"/>
      <c r="E3405" s="147"/>
      <c r="F3405" s="147"/>
      <c r="G3405" s="147"/>
      <c r="H3405" s="147"/>
      <c r="I3405" s="147"/>
      <c r="J3405" s="148"/>
      <c r="K3405" s="630"/>
      <c r="L3405" s="631"/>
      <c r="M3405" s="631"/>
      <c r="N3405" s="631"/>
    </row>
    <row r="3406" spans="1:14" x14ac:dyDescent="0.2">
      <c r="A3406" s="145"/>
      <c r="B3406" s="146"/>
      <c r="C3406" s="147"/>
      <c r="D3406" s="147"/>
      <c r="E3406" s="147"/>
      <c r="F3406" s="147"/>
      <c r="G3406" s="147"/>
      <c r="H3406" s="147"/>
      <c r="I3406" s="147"/>
      <c r="J3406" s="148"/>
      <c r="K3406" s="630"/>
      <c r="L3406" s="631"/>
      <c r="M3406" s="631"/>
      <c r="N3406" s="631"/>
    </row>
    <row r="3407" spans="1:14" x14ac:dyDescent="0.2">
      <c r="A3407" s="145"/>
      <c r="B3407" s="146"/>
      <c r="C3407" s="147"/>
      <c r="D3407" s="147"/>
      <c r="E3407" s="147"/>
      <c r="F3407" s="147"/>
      <c r="G3407" s="147"/>
      <c r="H3407" s="147"/>
      <c r="I3407" s="147"/>
      <c r="J3407" s="148"/>
      <c r="K3407" s="132"/>
      <c r="L3407" s="133"/>
    </row>
    <row r="3408" spans="1:14" x14ac:dyDescent="0.2">
      <c r="A3408" s="145"/>
      <c r="B3408" s="146"/>
      <c r="C3408" s="147"/>
      <c r="D3408" s="147"/>
      <c r="E3408" s="147"/>
      <c r="F3408" s="147"/>
      <c r="G3408" s="147"/>
      <c r="H3408" s="147"/>
      <c r="I3408" s="147"/>
      <c r="J3408" s="148"/>
      <c r="K3408" s="630"/>
      <c r="L3408" s="631"/>
      <c r="M3408" s="631"/>
      <c r="N3408" s="631"/>
    </row>
    <row r="3409" spans="1:14" x14ac:dyDescent="0.2">
      <c r="A3409" s="145"/>
      <c r="B3409" s="146"/>
      <c r="C3409" s="147"/>
      <c r="D3409" s="147"/>
      <c r="E3409" s="147"/>
      <c r="F3409" s="147"/>
      <c r="G3409" s="147"/>
      <c r="H3409" s="147"/>
      <c r="I3409" s="147"/>
      <c r="J3409" s="148"/>
      <c r="K3409" s="630"/>
      <c r="L3409" s="631"/>
      <c r="M3409" s="631"/>
      <c r="N3409" s="631"/>
    </row>
    <row r="3410" spans="1:14" x14ac:dyDescent="0.2">
      <c r="A3410" s="145"/>
      <c r="B3410" s="146"/>
      <c r="C3410" s="147"/>
      <c r="D3410" s="147"/>
      <c r="E3410" s="147"/>
      <c r="F3410" s="147"/>
      <c r="G3410" s="147"/>
      <c r="H3410" s="147"/>
      <c r="I3410" s="147"/>
      <c r="J3410" s="148"/>
      <c r="K3410" s="132"/>
      <c r="L3410" s="133"/>
    </row>
    <row r="3411" spans="1:14" x14ac:dyDescent="0.2">
      <c r="A3411" s="199"/>
      <c r="B3411" s="188"/>
      <c r="C3411" s="189"/>
      <c r="D3411" s="165"/>
      <c r="E3411" s="165"/>
      <c r="F3411" s="165"/>
      <c r="G3411" s="165"/>
      <c r="H3411" s="165"/>
      <c r="I3411" s="190"/>
      <c r="J3411" s="191"/>
      <c r="K3411" s="192"/>
      <c r="L3411" s="55"/>
      <c r="M3411" s="55"/>
      <c r="N3411" s="55"/>
    </row>
    <row r="3412" spans="1:14" x14ac:dyDescent="0.2">
      <c r="A3412" s="158"/>
      <c r="B3412" s="188"/>
      <c r="C3412" s="189"/>
      <c r="D3412" s="165"/>
      <c r="E3412" s="165"/>
      <c r="F3412" s="165"/>
      <c r="G3412" s="165"/>
      <c r="H3412" s="165"/>
      <c r="I3412" s="190"/>
      <c r="J3412" s="191"/>
      <c r="K3412" s="192"/>
      <c r="L3412" s="55"/>
      <c r="M3412" s="55"/>
      <c r="N3412" s="55"/>
    </row>
    <row r="3413" spans="1:14" x14ac:dyDescent="0.2">
      <c r="A3413" s="145"/>
      <c r="B3413" s="146"/>
      <c r="C3413" s="147"/>
      <c r="D3413" s="147"/>
      <c r="E3413" s="147"/>
      <c r="F3413" s="147"/>
      <c r="G3413" s="147"/>
      <c r="H3413" s="147"/>
      <c r="I3413" s="147"/>
      <c r="J3413" s="148"/>
      <c r="K3413" s="132"/>
      <c r="L3413" s="133"/>
    </row>
    <row r="3414" spans="1:14" x14ac:dyDescent="0.2">
      <c r="A3414" s="199"/>
      <c r="B3414" s="188"/>
      <c r="C3414" s="189"/>
      <c r="D3414" s="165"/>
      <c r="E3414" s="165"/>
      <c r="F3414" s="165"/>
      <c r="G3414" s="165"/>
      <c r="H3414" s="165"/>
      <c r="I3414" s="190"/>
      <c r="J3414" s="191"/>
      <c r="K3414" s="192"/>
      <c r="L3414" s="55"/>
      <c r="M3414" s="55"/>
      <c r="N3414" s="55"/>
    </row>
    <row r="3415" spans="1:14" x14ac:dyDescent="0.2">
      <c r="A3415" s="158"/>
      <c r="B3415" s="188"/>
      <c r="C3415" s="189"/>
      <c r="D3415" s="165"/>
      <c r="E3415" s="165"/>
      <c r="F3415" s="165"/>
      <c r="G3415" s="165"/>
      <c r="H3415" s="165"/>
      <c r="I3415" s="190"/>
      <c r="J3415" s="191"/>
      <c r="K3415" s="192"/>
      <c r="L3415" s="55"/>
      <c r="M3415" s="55"/>
      <c r="N3415" s="55"/>
    </row>
    <row r="3416" spans="1:14" x14ac:dyDescent="0.2">
      <c r="A3416" s="145"/>
      <c r="B3416" s="146"/>
      <c r="C3416" s="147"/>
      <c r="D3416" s="147"/>
      <c r="E3416" s="147"/>
      <c r="F3416" s="147"/>
      <c r="G3416" s="147"/>
      <c r="H3416" s="147"/>
      <c r="I3416" s="147"/>
      <c r="J3416" s="148"/>
      <c r="K3416" s="132"/>
      <c r="L3416" s="133"/>
    </row>
    <row r="3417" spans="1:14" x14ac:dyDescent="0.2">
      <c r="A3417" s="199"/>
      <c r="B3417" s="188"/>
      <c r="C3417" s="189"/>
      <c r="D3417" s="165"/>
      <c r="E3417" s="165"/>
      <c r="F3417" s="165"/>
      <c r="G3417" s="165"/>
      <c r="H3417" s="165"/>
      <c r="I3417" s="190"/>
      <c r="J3417" s="191"/>
      <c r="K3417" s="192"/>
      <c r="L3417" s="55"/>
      <c r="M3417" s="55"/>
      <c r="N3417" s="55"/>
    </row>
    <row r="3418" spans="1:14" x14ac:dyDescent="0.2">
      <c r="A3418" s="158"/>
      <c r="B3418" s="188"/>
      <c r="C3418" s="189"/>
      <c r="D3418" s="165"/>
      <c r="E3418" s="165"/>
      <c r="F3418" s="165"/>
      <c r="G3418" s="165"/>
      <c r="H3418" s="165"/>
      <c r="I3418" s="190"/>
      <c r="J3418" s="191"/>
      <c r="K3418" s="192"/>
      <c r="L3418" s="55"/>
      <c r="M3418" s="55"/>
      <c r="N3418" s="55"/>
    </row>
    <row r="3419" spans="1:14" x14ac:dyDescent="0.2">
      <c r="A3419" s="145"/>
      <c r="B3419" s="146"/>
      <c r="C3419" s="147"/>
      <c r="D3419" s="147"/>
      <c r="E3419" s="147"/>
      <c r="F3419" s="147"/>
      <c r="G3419" s="147"/>
      <c r="H3419" s="147"/>
      <c r="I3419" s="147"/>
      <c r="J3419" s="148"/>
      <c r="K3419" s="132"/>
      <c r="L3419" s="133"/>
    </row>
    <row r="3420" spans="1:14" ht="13.5" thickBot="1" x14ac:dyDescent="0.25">
      <c r="A3420" s="149"/>
      <c r="B3420" s="150"/>
      <c r="C3420" s="151"/>
      <c r="D3420" s="151"/>
      <c r="E3420" s="151"/>
      <c r="F3420" s="151"/>
      <c r="G3420" s="151"/>
      <c r="H3420" s="151"/>
      <c r="I3420" s="151"/>
      <c r="J3420" s="152"/>
      <c r="K3420" s="132"/>
      <c r="L3420" s="133"/>
    </row>
    <row r="3421" spans="1:14" ht="13.5" thickBot="1" x14ac:dyDescent="0.25">
      <c r="A3421" s="153"/>
      <c r="B3421" s="153"/>
      <c r="C3421" s="154"/>
      <c r="D3421" s="154"/>
      <c r="E3421" s="154"/>
      <c r="F3421" s="154"/>
      <c r="G3421" s="154"/>
      <c r="H3421" s="154"/>
      <c r="I3421" s="154"/>
      <c r="J3421" s="153"/>
      <c r="K3421" s="132"/>
      <c r="L3421" s="133"/>
    </row>
    <row r="3422" spans="1:14" ht="13.5" thickBot="1" x14ac:dyDescent="0.25">
      <c r="A3422" s="614" t="s">
        <v>62</v>
      </c>
      <c r="B3422" s="648"/>
      <c r="C3422" s="648"/>
      <c r="D3422" s="648"/>
      <c r="E3422" s="648"/>
      <c r="F3422" s="648"/>
      <c r="G3422" s="648"/>
      <c r="H3422" s="648"/>
      <c r="I3422" s="648"/>
      <c r="J3422" s="649"/>
      <c r="K3422" s="132"/>
      <c r="L3422" s="133"/>
    </row>
    <row r="3423" spans="1:14" x14ac:dyDescent="0.2">
      <c r="A3423" s="136"/>
      <c r="B3423" s="155"/>
      <c r="C3423" s="156"/>
      <c r="D3423" s="156"/>
      <c r="E3423" s="156"/>
      <c r="F3423" s="156"/>
      <c r="G3423" s="156"/>
      <c r="H3423" s="156"/>
      <c r="I3423" s="156"/>
      <c r="J3423" s="157"/>
      <c r="K3423" s="132"/>
      <c r="L3423" s="133"/>
    </row>
    <row r="3424" spans="1:14" ht="12.75" customHeight="1" x14ac:dyDescent="0.2">
      <c r="A3424" s="158" t="s">
        <v>63</v>
      </c>
      <c r="B3424" s="55"/>
      <c r="C3424" s="652" t="s">
        <v>745</v>
      </c>
      <c r="D3424" s="652"/>
      <c r="E3424" s="652"/>
      <c r="F3424" s="652"/>
      <c r="G3424" s="652"/>
      <c r="H3424" s="652"/>
      <c r="I3424" s="652"/>
      <c r="J3424" s="653"/>
      <c r="K3424" s="132"/>
      <c r="L3424" s="133"/>
    </row>
    <row r="3425" spans="1:12" x14ac:dyDescent="0.2">
      <c r="A3425" s="158"/>
      <c r="B3425" s="55"/>
      <c r="C3425" s="652"/>
      <c r="D3425" s="652"/>
      <c r="E3425" s="652"/>
      <c r="F3425" s="652"/>
      <c r="G3425" s="652"/>
      <c r="H3425" s="652"/>
      <c r="I3425" s="652"/>
      <c r="J3425" s="653"/>
      <c r="K3425" s="132"/>
      <c r="L3425" s="133"/>
    </row>
    <row r="3426" spans="1:12" x14ac:dyDescent="0.2">
      <c r="A3426" s="158"/>
      <c r="B3426" s="55"/>
      <c r="C3426" s="652"/>
      <c r="D3426" s="652"/>
      <c r="E3426" s="652"/>
      <c r="F3426" s="652"/>
      <c r="G3426" s="652"/>
      <c r="H3426" s="652"/>
      <c r="I3426" s="652"/>
      <c r="J3426" s="653"/>
      <c r="K3426" s="132"/>
      <c r="L3426" s="133"/>
    </row>
    <row r="3427" spans="1:12" x14ac:dyDescent="0.2">
      <c r="A3427" s="598"/>
      <c r="B3427" s="638"/>
      <c r="C3427" s="662" t="s">
        <v>746</v>
      </c>
      <c r="D3427" s="662"/>
      <c r="E3427" s="662"/>
      <c r="F3427" s="662"/>
      <c r="G3427" s="662"/>
      <c r="H3427" s="662"/>
      <c r="I3427" s="662"/>
      <c r="J3427" s="663"/>
      <c r="K3427" s="132"/>
      <c r="L3427" s="133"/>
    </row>
    <row r="3428" spans="1:12" x14ac:dyDescent="0.2">
      <c r="A3428" s="158"/>
      <c r="B3428" s="55"/>
      <c r="C3428" s="159"/>
      <c r="D3428" s="159"/>
      <c r="E3428" s="159"/>
      <c r="F3428" s="159"/>
      <c r="G3428" s="159"/>
      <c r="H3428" s="159"/>
      <c r="I3428" s="159"/>
      <c r="J3428" s="160"/>
      <c r="K3428" s="132"/>
      <c r="L3428" s="133"/>
    </row>
    <row r="3429" spans="1:12" x14ac:dyDescent="0.2">
      <c r="A3429" s="598" t="s">
        <v>64</v>
      </c>
      <c r="B3429" s="638"/>
      <c r="C3429" s="596" t="s">
        <v>747</v>
      </c>
      <c r="D3429" s="596"/>
      <c r="E3429" s="596"/>
      <c r="F3429" s="596"/>
      <c r="G3429" s="596"/>
      <c r="H3429" s="596"/>
      <c r="I3429" s="596"/>
      <c r="J3429" s="597"/>
      <c r="K3429" s="132"/>
      <c r="L3429" s="133"/>
    </row>
    <row r="3430" spans="1:12" x14ac:dyDescent="0.2">
      <c r="A3430" s="158"/>
      <c r="B3430" s="55"/>
      <c r="C3430" s="71"/>
      <c r="D3430" s="71"/>
      <c r="E3430" s="71"/>
      <c r="F3430" s="71"/>
      <c r="G3430" s="71"/>
      <c r="H3430" s="71"/>
      <c r="I3430" s="71"/>
      <c r="J3430" s="174"/>
      <c r="K3430" s="132"/>
      <c r="L3430" s="133"/>
    </row>
    <row r="3431" spans="1:12" x14ac:dyDescent="0.2">
      <c r="A3431" s="158"/>
      <c r="B3431" s="55"/>
      <c r="C3431" s="71"/>
      <c r="D3431" s="71"/>
      <c r="E3431" s="71"/>
      <c r="F3431" s="71"/>
      <c r="G3431" s="71"/>
      <c r="H3431" s="71"/>
      <c r="I3431" s="71"/>
      <c r="J3431" s="174"/>
      <c r="K3431" s="132"/>
      <c r="L3431" s="133"/>
    </row>
    <row r="3432" spans="1:12" x14ac:dyDescent="0.2">
      <c r="A3432" s="158"/>
      <c r="B3432" s="55"/>
      <c r="C3432" s="71"/>
      <c r="D3432" s="71"/>
      <c r="E3432" s="71"/>
      <c r="F3432" s="71"/>
      <c r="G3432" s="71"/>
      <c r="H3432" s="71"/>
      <c r="I3432" s="71"/>
      <c r="J3432" s="174"/>
      <c r="K3432" s="132"/>
      <c r="L3432" s="133"/>
    </row>
    <row r="3433" spans="1:12" x14ac:dyDescent="0.2">
      <c r="A3433" s="158"/>
      <c r="B3433" s="55"/>
      <c r="C3433" s="71"/>
      <c r="D3433" s="71"/>
      <c r="E3433" s="71"/>
      <c r="F3433" s="71"/>
      <c r="G3433" s="71"/>
      <c r="H3433" s="71"/>
      <c r="I3433" s="71"/>
      <c r="J3433" s="174"/>
      <c r="K3433" s="132"/>
      <c r="L3433" s="133"/>
    </row>
    <row r="3434" spans="1:12" x14ac:dyDescent="0.2">
      <c r="J3434" s="315"/>
      <c r="K3434" s="132"/>
      <c r="L3434" s="133"/>
    </row>
    <row r="3435" spans="1:12" x14ac:dyDescent="0.2">
      <c r="A3435" s="158"/>
      <c r="B3435" s="55"/>
      <c r="C3435" s="71"/>
      <c r="D3435" s="71"/>
      <c r="E3435" s="71"/>
      <c r="F3435" s="71"/>
      <c r="G3435" s="71"/>
      <c r="H3435" s="71"/>
      <c r="I3435" s="71"/>
      <c r="J3435" s="174"/>
      <c r="K3435" s="132"/>
      <c r="L3435" s="133"/>
    </row>
    <row r="3436" spans="1:12" x14ac:dyDescent="0.2">
      <c r="A3436" s="158"/>
      <c r="B3436" s="55"/>
      <c r="C3436" s="71"/>
      <c r="D3436" s="71"/>
      <c r="E3436" s="71"/>
      <c r="F3436" s="71"/>
      <c r="G3436" s="71"/>
      <c r="H3436" s="71"/>
      <c r="I3436" s="71"/>
      <c r="J3436" s="174"/>
      <c r="K3436" s="132"/>
      <c r="L3436" s="133"/>
    </row>
    <row r="3437" spans="1:12" x14ac:dyDescent="0.2">
      <c r="A3437" s="158"/>
      <c r="B3437" s="55"/>
      <c r="C3437" s="71"/>
      <c r="D3437" s="71"/>
      <c r="E3437" s="71"/>
      <c r="F3437" s="71"/>
      <c r="G3437" s="71"/>
      <c r="H3437" s="71"/>
      <c r="I3437" s="71"/>
      <c r="J3437" s="174"/>
      <c r="K3437" s="132"/>
      <c r="L3437" s="133"/>
    </row>
    <row r="3438" spans="1:12" x14ac:dyDescent="0.2">
      <c r="A3438" s="158"/>
      <c r="B3438" s="55"/>
      <c r="C3438" s="71"/>
      <c r="D3438" s="71"/>
      <c r="E3438" s="71"/>
      <c r="F3438" s="71"/>
      <c r="G3438" s="71"/>
      <c r="H3438" s="71"/>
      <c r="I3438" s="71"/>
      <c r="J3438" s="174"/>
      <c r="K3438" s="132"/>
      <c r="L3438" s="133"/>
    </row>
    <row r="3439" spans="1:12" x14ac:dyDescent="0.2">
      <c r="A3439" s="158"/>
      <c r="B3439" s="55"/>
      <c r="C3439" s="71"/>
      <c r="D3439" s="71"/>
      <c r="E3439" s="71"/>
      <c r="F3439" s="71"/>
      <c r="G3439" s="71"/>
      <c r="H3439" s="71"/>
      <c r="I3439" s="71"/>
      <c r="J3439" s="174"/>
      <c r="K3439" s="132"/>
      <c r="L3439" s="133"/>
    </row>
    <row r="3440" spans="1:12" x14ac:dyDescent="0.2">
      <c r="A3440" s="158"/>
      <c r="B3440" s="55"/>
      <c r="C3440" s="175"/>
      <c r="D3440" s="175"/>
      <c r="E3440" s="172"/>
      <c r="F3440" s="172"/>
      <c r="G3440" s="172"/>
      <c r="H3440" s="172"/>
      <c r="I3440" s="172"/>
      <c r="J3440" s="173"/>
      <c r="K3440" s="132"/>
      <c r="L3440" s="133"/>
    </row>
    <row r="3441" spans="1:14" x14ac:dyDescent="0.2">
      <c r="A3441" s="158"/>
      <c r="B3441" s="55"/>
      <c r="C3441" s="175"/>
      <c r="D3441" s="175"/>
      <c r="E3441" s="172"/>
      <c r="F3441" s="172"/>
      <c r="G3441" s="172"/>
      <c r="H3441" s="172"/>
      <c r="I3441" s="172"/>
      <c r="J3441" s="173"/>
      <c r="K3441" s="132"/>
      <c r="L3441" s="133"/>
    </row>
    <row r="3442" spans="1:14" x14ac:dyDescent="0.2">
      <c r="A3442" s="158"/>
      <c r="B3442" s="55"/>
      <c r="C3442" s="175"/>
      <c r="D3442" s="175"/>
      <c r="E3442" s="172"/>
      <c r="F3442" s="172"/>
      <c r="G3442" s="172"/>
      <c r="H3442" s="172"/>
      <c r="I3442" s="172"/>
      <c r="J3442" s="173"/>
      <c r="K3442" s="132"/>
      <c r="L3442" s="133"/>
    </row>
    <row r="3443" spans="1:14" x14ac:dyDescent="0.2">
      <c r="A3443" s="158"/>
      <c r="B3443" s="55"/>
      <c r="C3443" s="175"/>
      <c r="D3443" s="175"/>
      <c r="E3443" s="175"/>
      <c r="F3443" s="175"/>
      <c r="G3443" s="175"/>
      <c r="H3443" s="175"/>
      <c r="I3443" s="175"/>
      <c r="J3443" s="176"/>
      <c r="K3443" s="132"/>
      <c r="L3443" s="133"/>
    </row>
    <row r="3444" spans="1:14" x14ac:dyDescent="0.2">
      <c r="A3444" s="158"/>
      <c r="B3444" s="55"/>
      <c r="C3444" s="175"/>
      <c r="D3444" s="175"/>
      <c r="E3444" s="175"/>
      <c r="F3444" s="175"/>
      <c r="G3444" s="175"/>
      <c r="H3444" s="175"/>
      <c r="I3444" s="175"/>
      <c r="J3444" s="176"/>
      <c r="K3444" s="132"/>
      <c r="L3444" s="133"/>
    </row>
    <row r="3445" spans="1:14" x14ac:dyDescent="0.2">
      <c r="A3445" s="158"/>
      <c r="B3445" s="55"/>
      <c r="C3445" s="175"/>
      <c r="D3445" s="175"/>
      <c r="E3445" s="175"/>
      <c r="F3445" s="175"/>
      <c r="G3445" s="175"/>
      <c r="H3445" s="175"/>
      <c r="I3445" s="175"/>
      <c r="J3445" s="176"/>
      <c r="K3445" s="132"/>
      <c r="L3445" s="133"/>
    </row>
    <row r="3446" spans="1:14" ht="13.5" thickBot="1" x14ac:dyDescent="0.25">
      <c r="A3446" s="149"/>
      <c r="B3446" s="167"/>
      <c r="C3446" s="151"/>
      <c r="D3446" s="151"/>
      <c r="E3446" s="151"/>
      <c r="F3446" s="151"/>
      <c r="G3446" s="151"/>
      <c r="H3446" s="151"/>
      <c r="I3446" s="151"/>
      <c r="J3446" s="168"/>
      <c r="K3446" s="132"/>
      <c r="L3446" s="133"/>
    </row>
    <row r="3447" spans="1:14" ht="15.75" x14ac:dyDescent="0.2">
      <c r="A3447" s="602" t="s">
        <v>4</v>
      </c>
      <c r="B3447" s="603"/>
      <c r="C3447" s="603" t="str">
        <f>'A IV.A'!$B$43</f>
        <v>FECHAMENTOS, PROTEÇÕES E ALVENARIAS EM GERAL</v>
      </c>
      <c r="D3447" s="603"/>
      <c r="E3447" s="603"/>
      <c r="F3447" s="603"/>
      <c r="G3447" s="603"/>
      <c r="H3447" s="603"/>
      <c r="I3447" s="603"/>
      <c r="J3447" s="604"/>
      <c r="K3447" s="132"/>
      <c r="L3447" s="133"/>
    </row>
    <row r="3448" spans="1:14" x14ac:dyDescent="0.2">
      <c r="A3448" s="609" t="str">
        <f>'A IV.A'!$A$43</f>
        <v>3.0</v>
      </c>
      <c r="B3448" s="610"/>
      <c r="C3448" s="605"/>
      <c r="D3448" s="605"/>
      <c r="E3448" s="605"/>
      <c r="F3448" s="605"/>
      <c r="G3448" s="605"/>
      <c r="H3448" s="605"/>
      <c r="I3448" s="605"/>
      <c r="J3448" s="606"/>
      <c r="K3448" s="132"/>
      <c r="L3448" s="133"/>
    </row>
    <row r="3449" spans="1:14" ht="13.5" thickBot="1" x14ac:dyDescent="0.25">
      <c r="A3449" s="611"/>
      <c r="B3449" s="612"/>
      <c r="C3449" s="607"/>
      <c r="D3449" s="607"/>
      <c r="E3449" s="607"/>
      <c r="F3449" s="607"/>
      <c r="G3449" s="607"/>
      <c r="H3449" s="607"/>
      <c r="I3449" s="607"/>
      <c r="J3449" s="608"/>
      <c r="K3449" s="132"/>
      <c r="L3449" s="133"/>
    </row>
    <row r="3450" spans="1:14" ht="13.5" thickBot="1" x14ac:dyDescent="0.25">
      <c r="A3450" s="169"/>
      <c r="B3450" s="169"/>
      <c r="C3450" s="613"/>
      <c r="D3450" s="613"/>
      <c r="E3450" s="613"/>
      <c r="F3450" s="613"/>
      <c r="G3450" s="613"/>
      <c r="H3450" s="613"/>
      <c r="I3450" s="613"/>
      <c r="J3450" s="169"/>
      <c r="K3450" s="132"/>
      <c r="L3450" s="133"/>
    </row>
    <row r="3451" spans="1:14" ht="13.5" thickBot="1" x14ac:dyDescent="0.25">
      <c r="A3451" s="632" t="s">
        <v>60</v>
      </c>
      <c r="B3451" s="633"/>
      <c r="C3451" s="656" t="s">
        <v>61</v>
      </c>
      <c r="D3451" s="656"/>
      <c r="E3451" s="656"/>
      <c r="F3451" s="656"/>
      <c r="G3451" s="656"/>
      <c r="H3451" s="656"/>
      <c r="I3451" s="656"/>
      <c r="J3451" s="260" t="s">
        <v>0</v>
      </c>
      <c r="K3451" s="132"/>
      <c r="L3451" s="133"/>
    </row>
    <row r="3452" spans="1:14" x14ac:dyDescent="0.2">
      <c r="A3452" s="136"/>
      <c r="B3452" s="137"/>
      <c r="C3452" s="619"/>
      <c r="D3452" s="620"/>
      <c r="E3452" s="621"/>
      <c r="F3452" s="621"/>
      <c r="G3452" s="621"/>
      <c r="H3452" s="621"/>
      <c r="I3452" s="622"/>
      <c r="J3452" s="138"/>
      <c r="K3452" s="132"/>
      <c r="L3452" s="133"/>
    </row>
    <row r="3453" spans="1:14" x14ac:dyDescent="0.2">
      <c r="A3453" s="623" t="str">
        <f>'A IV.A'!$A$108</f>
        <v>3.11.1</v>
      </c>
      <c r="B3453" s="624"/>
      <c r="C3453" s="626" t="str">
        <f>'A IV.A'!$B$108</f>
        <v xml:space="preserve">VIDRO FANTASIA, COLOCADO EM CAIXILIO COM OU SEM BAGUETE, DUAS DEMÃOS DE MASSA E= 4 MM </v>
      </c>
      <c r="D3453" s="627"/>
      <c r="E3453" s="627"/>
      <c r="F3453" s="627"/>
      <c r="G3453" s="627"/>
      <c r="H3453" s="627"/>
      <c r="I3453" s="628"/>
      <c r="J3453" s="629" t="str">
        <f>'A IV.A'!$C$108</f>
        <v>M2</v>
      </c>
      <c r="K3453" s="630" t="str">
        <f>VLOOKUP(A3453,'A IV.A'!$A$14:$M$233,2,FALSE)</f>
        <v xml:space="preserve">VIDRO FANTASIA, COLOCADO EM CAIXILIO COM OU SEM BAGUETE, DUAS DEMÃOS DE MASSA E= 4 MM </v>
      </c>
      <c r="L3453" s="631" t="str">
        <f>IF(C3453=K3453,"sim","nao")</f>
        <v>sim</v>
      </c>
      <c r="M3453" s="631" t="str">
        <f>VLOOKUP(A3453,'A IV.A'!$A$14:$M$233,3,FALSE)</f>
        <v>M2</v>
      </c>
      <c r="N3453" s="631" t="str">
        <f>IF(J3453=M3453,"sim","nao")</f>
        <v>sim</v>
      </c>
    </row>
    <row r="3454" spans="1:14" x14ac:dyDescent="0.2">
      <c r="A3454" s="625"/>
      <c r="B3454" s="624"/>
      <c r="C3454" s="626"/>
      <c r="D3454" s="627"/>
      <c r="E3454" s="627"/>
      <c r="F3454" s="627"/>
      <c r="G3454" s="627"/>
      <c r="H3454" s="627"/>
      <c r="I3454" s="628"/>
      <c r="J3454" s="629"/>
      <c r="K3454" s="630"/>
      <c r="L3454" s="631"/>
      <c r="M3454" s="631"/>
      <c r="N3454" s="631"/>
    </row>
    <row r="3455" spans="1:14" x14ac:dyDescent="0.2">
      <c r="A3455" s="139"/>
      <c r="B3455" s="140"/>
      <c r="C3455" s="141"/>
      <c r="D3455" s="142"/>
      <c r="E3455" s="142"/>
      <c r="F3455" s="142"/>
      <c r="G3455" s="142"/>
      <c r="H3455" s="142"/>
      <c r="I3455" s="143"/>
      <c r="J3455" s="144"/>
      <c r="K3455" s="132"/>
      <c r="L3455" s="133"/>
    </row>
    <row r="3456" spans="1:14" x14ac:dyDescent="0.2">
      <c r="A3456" s="623" t="str">
        <f>'A IV.A'!$A$109</f>
        <v>3.11.2</v>
      </c>
      <c r="B3456" s="624"/>
      <c r="C3456" s="626" t="str">
        <f>'A IV.A'!$B$109</f>
        <v xml:space="preserve">VIDRO COMUM LISO, COLOCADO EM CAIXILHO COM OU SEM BAGUETE, DUAS DEMÃOS DE MASSA E= 4 MM </v>
      </c>
      <c r="D3456" s="627"/>
      <c r="E3456" s="627"/>
      <c r="F3456" s="627"/>
      <c r="G3456" s="627"/>
      <c r="H3456" s="627"/>
      <c r="I3456" s="628"/>
      <c r="J3456" s="629" t="str">
        <f>'A IV.A'!$C$109</f>
        <v>M2</v>
      </c>
      <c r="K3456" s="630" t="str">
        <f>VLOOKUP(A3456,'A IV.A'!$A$14:$M$233,2,FALSE)</f>
        <v xml:space="preserve">VIDRO COMUM LISO, COLOCADO EM CAIXILHO COM OU SEM BAGUETE, DUAS DEMÃOS DE MASSA E= 4 MM </v>
      </c>
      <c r="L3456" s="631" t="str">
        <f>IF(C3456=K3456,"sim","nao")</f>
        <v>sim</v>
      </c>
      <c r="M3456" s="631" t="str">
        <f>VLOOKUP(A3456,'A IV.A'!$A$14:$M$233,3,FALSE)</f>
        <v>M2</v>
      </c>
      <c r="N3456" s="631" t="str">
        <f>IF(J3456=M3456,"sim","nao")</f>
        <v>sim</v>
      </c>
    </row>
    <row r="3457" spans="1:14" x14ac:dyDescent="0.2">
      <c r="A3457" s="625"/>
      <c r="B3457" s="624"/>
      <c r="C3457" s="626"/>
      <c r="D3457" s="627"/>
      <c r="E3457" s="627"/>
      <c r="F3457" s="627"/>
      <c r="G3457" s="627"/>
      <c r="H3457" s="627"/>
      <c r="I3457" s="628"/>
      <c r="J3457" s="629"/>
      <c r="K3457" s="630"/>
      <c r="L3457" s="631"/>
      <c r="M3457" s="631"/>
      <c r="N3457" s="631"/>
    </row>
    <row r="3458" spans="1:14" x14ac:dyDescent="0.2">
      <c r="A3458" s="145"/>
      <c r="B3458" s="146"/>
      <c r="C3458" s="147"/>
      <c r="D3458" s="147"/>
      <c r="E3458" s="147"/>
      <c r="F3458" s="147"/>
      <c r="G3458" s="147"/>
      <c r="H3458" s="147"/>
      <c r="I3458" s="147"/>
      <c r="J3458" s="148"/>
      <c r="K3458" s="132"/>
      <c r="L3458" s="133"/>
    </row>
    <row r="3459" spans="1:14" x14ac:dyDescent="0.2">
      <c r="A3459" s="199"/>
      <c r="B3459" s="188"/>
      <c r="C3459" s="189"/>
      <c r="D3459" s="165"/>
      <c r="E3459" s="165"/>
      <c r="F3459" s="165"/>
      <c r="G3459" s="165"/>
      <c r="H3459" s="165"/>
      <c r="I3459" s="190"/>
      <c r="J3459" s="191"/>
      <c r="K3459" s="192"/>
      <c r="L3459" s="55"/>
      <c r="M3459" s="55"/>
      <c r="N3459" s="55"/>
    </row>
    <row r="3460" spans="1:14" x14ac:dyDescent="0.2">
      <c r="A3460" s="158"/>
      <c r="B3460" s="188"/>
      <c r="C3460" s="189"/>
      <c r="D3460" s="165"/>
      <c r="E3460" s="165"/>
      <c r="F3460" s="165"/>
      <c r="G3460" s="165"/>
      <c r="H3460" s="165"/>
      <c r="I3460" s="190"/>
      <c r="J3460" s="191"/>
      <c r="K3460" s="192"/>
      <c r="L3460" s="55"/>
      <c r="M3460" s="55"/>
      <c r="N3460" s="55"/>
    </row>
    <row r="3461" spans="1:14" x14ac:dyDescent="0.2">
      <c r="A3461" s="145"/>
      <c r="B3461" s="146"/>
      <c r="C3461" s="147"/>
      <c r="D3461" s="147"/>
      <c r="E3461" s="147"/>
      <c r="F3461" s="147"/>
      <c r="G3461" s="147"/>
      <c r="H3461" s="147"/>
      <c r="I3461" s="147"/>
      <c r="J3461" s="148"/>
      <c r="K3461" s="132"/>
      <c r="L3461" s="133"/>
    </row>
    <row r="3462" spans="1:14" x14ac:dyDescent="0.2">
      <c r="A3462" s="199"/>
      <c r="B3462" s="188"/>
      <c r="C3462" s="189"/>
      <c r="D3462" s="165"/>
      <c r="E3462" s="165"/>
      <c r="F3462" s="165"/>
      <c r="G3462" s="165"/>
      <c r="H3462" s="165"/>
      <c r="I3462" s="190"/>
      <c r="J3462" s="191"/>
      <c r="K3462" s="192"/>
      <c r="L3462" s="55"/>
      <c r="M3462" s="55"/>
      <c r="N3462" s="55"/>
    </row>
    <row r="3463" spans="1:14" x14ac:dyDescent="0.2">
      <c r="A3463" s="158"/>
      <c r="B3463" s="188"/>
      <c r="C3463" s="189"/>
      <c r="D3463" s="165"/>
      <c r="E3463" s="165"/>
      <c r="F3463" s="165"/>
      <c r="G3463" s="165"/>
      <c r="H3463" s="165"/>
      <c r="I3463" s="190"/>
      <c r="J3463" s="191"/>
      <c r="K3463" s="192"/>
      <c r="L3463" s="55"/>
      <c r="M3463" s="55"/>
      <c r="N3463" s="55"/>
    </row>
    <row r="3464" spans="1:14" x14ac:dyDescent="0.2">
      <c r="A3464" s="145"/>
      <c r="B3464" s="146"/>
      <c r="C3464" s="147"/>
      <c r="D3464" s="147"/>
      <c r="E3464" s="147"/>
      <c r="F3464" s="147"/>
      <c r="G3464" s="147"/>
      <c r="H3464" s="147"/>
      <c r="I3464" s="147"/>
      <c r="J3464" s="148"/>
      <c r="K3464" s="132"/>
      <c r="L3464" s="133"/>
    </row>
    <row r="3465" spans="1:14" x14ac:dyDescent="0.2">
      <c r="A3465" s="199"/>
      <c r="B3465" s="188"/>
      <c r="C3465" s="189"/>
      <c r="D3465" s="165"/>
      <c r="E3465" s="165"/>
      <c r="F3465" s="165"/>
      <c r="G3465" s="165"/>
      <c r="H3465" s="165"/>
      <c r="I3465" s="190"/>
      <c r="J3465" s="191"/>
      <c r="K3465" s="192"/>
      <c r="L3465" s="55"/>
      <c r="M3465" s="55"/>
      <c r="N3465" s="55"/>
    </row>
    <row r="3466" spans="1:14" x14ac:dyDescent="0.2">
      <c r="A3466" s="158"/>
      <c r="B3466" s="188"/>
      <c r="C3466" s="189"/>
      <c r="D3466" s="165"/>
      <c r="E3466" s="165"/>
      <c r="F3466" s="165"/>
      <c r="G3466" s="165"/>
      <c r="H3466" s="165"/>
      <c r="I3466" s="190"/>
      <c r="J3466" s="191"/>
      <c r="K3466" s="192"/>
      <c r="L3466" s="55"/>
      <c r="M3466" s="55"/>
      <c r="N3466" s="55"/>
    </row>
    <row r="3467" spans="1:14" x14ac:dyDescent="0.2">
      <c r="A3467" s="145"/>
      <c r="B3467" s="146"/>
      <c r="C3467" s="147"/>
      <c r="D3467" s="147"/>
      <c r="E3467" s="147"/>
      <c r="F3467" s="147"/>
      <c r="G3467" s="147"/>
      <c r="H3467" s="147"/>
      <c r="I3467" s="147"/>
      <c r="J3467" s="148"/>
      <c r="K3467" s="132"/>
      <c r="L3467" s="133"/>
    </row>
    <row r="3468" spans="1:14" x14ac:dyDescent="0.2">
      <c r="A3468" s="199"/>
      <c r="B3468" s="188"/>
      <c r="C3468" s="189"/>
      <c r="D3468" s="165"/>
      <c r="E3468" s="165"/>
      <c r="F3468" s="165"/>
      <c r="G3468" s="165"/>
      <c r="H3468" s="165"/>
      <c r="I3468" s="190"/>
      <c r="J3468" s="191"/>
      <c r="K3468" s="192"/>
      <c r="L3468" s="55"/>
      <c r="M3468" s="55"/>
      <c r="N3468" s="55"/>
    </row>
    <row r="3469" spans="1:14" x14ac:dyDescent="0.2">
      <c r="A3469" s="158"/>
      <c r="B3469" s="188"/>
      <c r="C3469" s="189"/>
      <c r="D3469" s="165"/>
      <c r="E3469" s="165"/>
      <c r="F3469" s="165"/>
      <c r="G3469" s="165"/>
      <c r="H3469" s="165"/>
      <c r="I3469" s="190"/>
      <c r="J3469" s="191"/>
      <c r="K3469" s="192"/>
      <c r="L3469" s="55"/>
      <c r="M3469" s="55"/>
      <c r="N3469" s="55"/>
    </row>
    <row r="3470" spans="1:14" x14ac:dyDescent="0.2">
      <c r="A3470" s="145"/>
      <c r="B3470" s="146"/>
      <c r="C3470" s="147"/>
      <c r="D3470" s="147"/>
      <c r="E3470" s="147"/>
      <c r="F3470" s="147"/>
      <c r="G3470" s="147"/>
      <c r="H3470" s="147"/>
      <c r="I3470" s="147"/>
      <c r="J3470" s="148"/>
      <c r="K3470" s="132"/>
      <c r="L3470" s="133"/>
    </row>
    <row r="3471" spans="1:14" x14ac:dyDescent="0.2">
      <c r="A3471" s="199"/>
      <c r="B3471" s="188"/>
      <c r="C3471" s="189"/>
      <c r="D3471" s="165"/>
      <c r="E3471" s="165"/>
      <c r="F3471" s="165"/>
      <c r="G3471" s="165"/>
      <c r="H3471" s="165"/>
      <c r="I3471" s="190"/>
      <c r="J3471" s="191"/>
      <c r="K3471" s="192"/>
      <c r="L3471" s="55"/>
      <c r="M3471" s="55"/>
      <c r="N3471" s="55"/>
    </row>
    <row r="3472" spans="1:14" x14ac:dyDescent="0.2">
      <c r="A3472" s="158"/>
      <c r="B3472" s="188"/>
      <c r="C3472" s="189"/>
      <c r="D3472" s="165"/>
      <c r="E3472" s="165"/>
      <c r="F3472" s="165"/>
      <c r="G3472" s="165"/>
      <c r="H3472" s="165"/>
      <c r="I3472" s="190"/>
      <c r="J3472" s="191"/>
      <c r="K3472" s="192"/>
      <c r="L3472" s="55"/>
      <c r="M3472" s="55"/>
      <c r="N3472" s="55"/>
    </row>
    <row r="3473" spans="1:12" x14ac:dyDescent="0.2">
      <c r="A3473" s="145"/>
      <c r="B3473" s="146"/>
      <c r="C3473" s="147"/>
      <c r="D3473" s="147"/>
      <c r="E3473" s="147"/>
      <c r="F3473" s="147"/>
      <c r="G3473" s="147"/>
      <c r="H3473" s="147"/>
      <c r="I3473" s="147"/>
      <c r="J3473" s="148"/>
      <c r="K3473" s="132"/>
      <c r="L3473" s="133"/>
    </row>
    <row r="3474" spans="1:12" ht="13.5" thickBot="1" x14ac:dyDescent="0.25">
      <c r="A3474" s="149"/>
      <c r="B3474" s="150"/>
      <c r="C3474" s="151"/>
      <c r="D3474" s="151"/>
      <c r="E3474" s="151"/>
      <c r="F3474" s="151"/>
      <c r="G3474" s="151"/>
      <c r="H3474" s="151"/>
      <c r="I3474" s="151"/>
      <c r="J3474" s="152"/>
      <c r="K3474" s="132"/>
      <c r="L3474" s="133"/>
    </row>
    <row r="3475" spans="1:12" ht="13.5" thickBot="1" x14ac:dyDescent="0.25">
      <c r="A3475" s="153"/>
      <c r="B3475" s="153"/>
      <c r="C3475" s="154"/>
      <c r="D3475" s="154"/>
      <c r="E3475" s="154"/>
      <c r="F3475" s="154"/>
      <c r="G3475" s="154"/>
      <c r="H3475" s="154"/>
      <c r="I3475" s="154"/>
      <c r="J3475" s="153"/>
      <c r="K3475" s="132"/>
      <c r="L3475" s="133"/>
    </row>
    <row r="3476" spans="1:12" ht="13.5" thickBot="1" x14ac:dyDescent="0.25">
      <c r="A3476" s="614" t="s">
        <v>62</v>
      </c>
      <c r="B3476" s="648"/>
      <c r="C3476" s="648"/>
      <c r="D3476" s="648"/>
      <c r="E3476" s="648"/>
      <c r="F3476" s="648"/>
      <c r="G3476" s="648"/>
      <c r="H3476" s="648"/>
      <c r="I3476" s="648"/>
      <c r="J3476" s="649"/>
      <c r="K3476" s="132"/>
      <c r="L3476" s="133"/>
    </row>
    <row r="3477" spans="1:12" x14ac:dyDescent="0.2">
      <c r="A3477" s="136"/>
      <c r="B3477" s="155"/>
      <c r="C3477" s="156"/>
      <c r="D3477" s="156"/>
      <c r="E3477" s="156"/>
      <c r="F3477" s="156"/>
      <c r="G3477" s="156"/>
      <c r="H3477" s="156"/>
      <c r="I3477" s="156"/>
      <c r="J3477" s="157"/>
      <c r="K3477" s="132"/>
      <c r="L3477" s="133"/>
    </row>
    <row r="3478" spans="1:12" ht="12.75" customHeight="1" x14ac:dyDescent="0.2">
      <c r="A3478" s="158" t="s">
        <v>63</v>
      </c>
      <c r="B3478" s="55"/>
      <c r="C3478" s="652" t="s">
        <v>73</v>
      </c>
      <c r="D3478" s="652"/>
      <c r="E3478" s="652"/>
      <c r="F3478" s="652"/>
      <c r="G3478" s="652"/>
      <c r="H3478" s="652"/>
      <c r="I3478" s="652"/>
      <c r="J3478" s="653"/>
      <c r="K3478" s="132"/>
      <c r="L3478" s="133"/>
    </row>
    <row r="3479" spans="1:12" x14ac:dyDescent="0.2">
      <c r="A3479" s="158"/>
      <c r="B3479" s="55"/>
      <c r="C3479" s="652"/>
      <c r="D3479" s="652"/>
      <c r="E3479" s="652"/>
      <c r="F3479" s="652"/>
      <c r="G3479" s="652"/>
      <c r="H3479" s="652"/>
      <c r="I3479" s="652"/>
      <c r="J3479" s="653"/>
      <c r="K3479" s="132"/>
      <c r="L3479" s="133"/>
    </row>
    <row r="3480" spans="1:12" x14ac:dyDescent="0.2">
      <c r="A3480" s="158"/>
      <c r="B3480" s="55"/>
      <c r="C3480" s="652"/>
      <c r="D3480" s="652"/>
      <c r="E3480" s="652"/>
      <c r="F3480" s="652"/>
      <c r="G3480" s="652"/>
      <c r="H3480" s="652"/>
      <c r="I3480" s="652"/>
      <c r="J3480" s="653"/>
      <c r="K3480" s="132"/>
      <c r="L3480" s="133"/>
    </row>
    <row r="3481" spans="1:12" x14ac:dyDescent="0.2">
      <c r="A3481" s="158"/>
      <c r="B3481" s="55"/>
      <c r="C3481" s="652"/>
      <c r="D3481" s="652"/>
      <c r="E3481" s="652"/>
      <c r="F3481" s="652"/>
      <c r="G3481" s="652"/>
      <c r="H3481" s="652"/>
      <c r="I3481" s="652"/>
      <c r="J3481" s="653"/>
      <c r="K3481" s="132"/>
      <c r="L3481" s="133"/>
    </row>
    <row r="3482" spans="1:12" x14ac:dyDescent="0.2">
      <c r="A3482" s="158"/>
      <c r="B3482" s="55"/>
      <c r="C3482" s="652"/>
      <c r="D3482" s="652"/>
      <c r="E3482" s="652"/>
      <c r="F3482" s="652"/>
      <c r="G3482" s="652"/>
      <c r="H3482" s="652"/>
      <c r="I3482" s="652"/>
      <c r="J3482" s="653"/>
      <c r="K3482" s="132"/>
      <c r="L3482" s="133"/>
    </row>
    <row r="3483" spans="1:12" x14ac:dyDescent="0.2">
      <c r="A3483" s="158"/>
      <c r="B3483" s="55"/>
      <c r="C3483" s="652"/>
      <c r="D3483" s="652"/>
      <c r="E3483" s="652"/>
      <c r="F3483" s="652"/>
      <c r="G3483" s="652"/>
      <c r="H3483" s="652"/>
      <c r="I3483" s="652"/>
      <c r="J3483" s="653"/>
      <c r="K3483" s="132"/>
      <c r="L3483" s="133"/>
    </row>
    <row r="3484" spans="1:12" x14ac:dyDescent="0.2">
      <c r="A3484" s="158"/>
      <c r="B3484" s="55"/>
      <c r="C3484" s="652"/>
      <c r="D3484" s="652"/>
      <c r="E3484" s="652"/>
      <c r="F3484" s="652"/>
      <c r="G3484" s="652"/>
      <c r="H3484" s="652"/>
      <c r="I3484" s="652"/>
      <c r="J3484" s="653"/>
      <c r="K3484" s="132"/>
      <c r="L3484" s="133"/>
    </row>
    <row r="3485" spans="1:12" x14ac:dyDescent="0.2">
      <c r="A3485" s="158"/>
      <c r="B3485" s="55"/>
      <c r="C3485" s="652"/>
      <c r="D3485" s="652"/>
      <c r="E3485" s="652"/>
      <c r="F3485" s="652"/>
      <c r="G3485" s="652"/>
      <c r="H3485" s="652"/>
      <c r="I3485" s="652"/>
      <c r="J3485" s="653"/>
      <c r="K3485" s="132"/>
      <c r="L3485" s="133"/>
    </row>
    <row r="3486" spans="1:12" x14ac:dyDescent="0.2">
      <c r="A3486" s="158"/>
      <c r="B3486" s="55"/>
      <c r="C3486" s="652"/>
      <c r="D3486" s="652"/>
      <c r="E3486" s="652"/>
      <c r="F3486" s="652"/>
      <c r="G3486" s="652"/>
      <c r="H3486" s="652"/>
      <c r="I3486" s="652"/>
      <c r="J3486" s="653"/>
      <c r="K3486" s="132"/>
      <c r="L3486" s="133"/>
    </row>
    <row r="3487" spans="1:12" x14ac:dyDescent="0.2">
      <c r="A3487" s="158"/>
      <c r="B3487" s="55"/>
      <c r="C3487" s="652"/>
      <c r="D3487" s="652"/>
      <c r="E3487" s="652"/>
      <c r="F3487" s="652"/>
      <c r="G3487" s="652"/>
      <c r="H3487" s="652"/>
      <c r="I3487" s="652"/>
      <c r="J3487" s="653"/>
      <c r="K3487" s="132"/>
      <c r="L3487" s="133"/>
    </row>
    <row r="3488" spans="1:12" x14ac:dyDescent="0.2">
      <c r="A3488" s="158"/>
      <c r="B3488" s="55"/>
      <c r="C3488" s="652"/>
      <c r="D3488" s="652"/>
      <c r="E3488" s="652"/>
      <c r="F3488" s="652"/>
      <c r="G3488" s="652"/>
      <c r="H3488" s="652"/>
      <c r="I3488" s="652"/>
      <c r="J3488" s="653"/>
      <c r="K3488" s="132"/>
      <c r="L3488" s="133"/>
    </row>
    <row r="3489" spans="1:12" x14ac:dyDescent="0.2">
      <c r="A3489" s="158"/>
      <c r="B3489" s="55"/>
      <c r="C3489" s="175"/>
      <c r="D3489" s="175"/>
      <c r="E3489" s="175"/>
      <c r="F3489" s="175"/>
      <c r="G3489" s="175"/>
      <c r="H3489" s="175"/>
      <c r="I3489" s="175"/>
      <c r="J3489" s="176"/>
      <c r="K3489" s="132"/>
      <c r="L3489" s="133"/>
    </row>
    <row r="3490" spans="1:12" x14ac:dyDescent="0.2">
      <c r="A3490" s="598" t="s">
        <v>64</v>
      </c>
      <c r="B3490" s="638"/>
      <c r="C3490" s="596" t="s">
        <v>748</v>
      </c>
      <c r="D3490" s="596"/>
      <c r="E3490" s="596"/>
      <c r="F3490" s="596"/>
      <c r="G3490" s="596"/>
      <c r="H3490" s="596"/>
      <c r="I3490" s="596"/>
      <c r="J3490" s="597"/>
      <c r="K3490" s="132"/>
      <c r="L3490" s="133"/>
    </row>
    <row r="3491" spans="1:12" x14ac:dyDescent="0.2">
      <c r="A3491" s="158"/>
      <c r="B3491" s="55"/>
      <c r="C3491" s="71"/>
      <c r="D3491" s="71"/>
      <c r="E3491" s="71"/>
      <c r="F3491" s="71"/>
      <c r="G3491" s="71"/>
      <c r="H3491" s="71"/>
      <c r="I3491" s="71"/>
      <c r="J3491" s="174"/>
      <c r="K3491" s="132"/>
      <c r="L3491" s="133"/>
    </row>
    <row r="3492" spans="1:12" x14ac:dyDescent="0.2">
      <c r="A3492" s="158"/>
      <c r="B3492" s="55"/>
      <c r="C3492" s="71"/>
      <c r="D3492" s="71"/>
      <c r="E3492" s="71"/>
      <c r="F3492" s="71"/>
      <c r="G3492" s="71"/>
      <c r="H3492" s="71"/>
      <c r="I3492" s="71"/>
      <c r="J3492" s="174"/>
      <c r="K3492" s="132"/>
      <c r="L3492" s="133"/>
    </row>
    <row r="3493" spans="1:12" x14ac:dyDescent="0.2">
      <c r="A3493" s="158"/>
      <c r="B3493" s="55"/>
      <c r="C3493" s="71"/>
      <c r="D3493" s="71"/>
      <c r="E3493" s="71"/>
      <c r="F3493" s="71"/>
      <c r="G3493" s="71"/>
      <c r="H3493" s="71"/>
      <c r="I3493" s="71"/>
      <c r="J3493" s="174"/>
      <c r="K3493" s="132"/>
      <c r="L3493" s="133"/>
    </row>
    <row r="3494" spans="1:12" x14ac:dyDescent="0.2">
      <c r="A3494" s="158"/>
      <c r="B3494" s="55"/>
      <c r="C3494" s="71"/>
      <c r="D3494" s="71"/>
      <c r="E3494" s="71"/>
      <c r="F3494" s="71"/>
      <c r="G3494" s="71"/>
      <c r="H3494" s="71"/>
      <c r="I3494" s="71"/>
      <c r="J3494" s="174"/>
      <c r="K3494" s="132"/>
      <c r="L3494" s="133"/>
    </row>
    <row r="3495" spans="1:12" x14ac:dyDescent="0.2">
      <c r="A3495" s="158"/>
      <c r="B3495" s="55"/>
      <c r="C3495" s="71"/>
      <c r="D3495" s="71"/>
      <c r="E3495" s="71"/>
      <c r="F3495" s="71"/>
      <c r="G3495" s="71"/>
      <c r="H3495" s="71"/>
      <c r="I3495" s="71"/>
      <c r="J3495" s="174"/>
      <c r="K3495" s="132"/>
      <c r="L3495" s="133"/>
    </row>
    <row r="3496" spans="1:12" x14ac:dyDescent="0.2">
      <c r="A3496" s="158"/>
      <c r="B3496" s="55"/>
      <c r="C3496" s="71"/>
      <c r="D3496" s="71"/>
      <c r="E3496" s="71"/>
      <c r="F3496" s="71"/>
      <c r="G3496" s="71"/>
      <c r="H3496" s="71"/>
      <c r="I3496" s="71"/>
      <c r="J3496" s="174"/>
      <c r="K3496" s="132"/>
      <c r="L3496" s="133"/>
    </row>
    <row r="3497" spans="1:12" x14ac:dyDescent="0.2">
      <c r="A3497" s="158"/>
      <c r="B3497" s="55"/>
      <c r="C3497" s="71"/>
      <c r="D3497" s="71"/>
      <c r="E3497" s="71"/>
      <c r="F3497" s="71"/>
      <c r="G3497" s="71"/>
      <c r="H3497" s="71"/>
      <c r="I3497" s="71"/>
      <c r="J3497" s="174"/>
      <c r="K3497" s="132"/>
      <c r="L3497" s="133"/>
    </row>
    <row r="3498" spans="1:12" x14ac:dyDescent="0.2">
      <c r="A3498" s="158"/>
      <c r="B3498" s="55"/>
      <c r="C3498" s="71"/>
      <c r="D3498" s="71"/>
      <c r="E3498" s="71"/>
      <c r="F3498" s="71"/>
      <c r="G3498" s="71"/>
      <c r="H3498" s="71"/>
      <c r="I3498" s="71"/>
      <c r="J3498" s="174"/>
      <c r="K3498" s="132"/>
      <c r="L3498" s="133"/>
    </row>
    <row r="3499" spans="1:12" x14ac:dyDescent="0.2">
      <c r="A3499" s="158"/>
      <c r="B3499" s="55"/>
      <c r="C3499" s="71"/>
      <c r="D3499" s="71"/>
      <c r="E3499" s="71"/>
      <c r="F3499" s="71"/>
      <c r="G3499" s="71"/>
      <c r="H3499" s="71"/>
      <c r="I3499" s="71"/>
      <c r="J3499" s="174"/>
      <c r="K3499" s="132"/>
      <c r="L3499" s="133"/>
    </row>
    <row r="3500" spans="1:12" ht="13.5" thickBot="1" x14ac:dyDescent="0.25">
      <c r="A3500" s="149"/>
      <c r="B3500" s="167"/>
      <c r="C3500" s="151"/>
      <c r="D3500" s="151"/>
      <c r="E3500" s="151"/>
      <c r="F3500" s="151"/>
      <c r="G3500" s="151"/>
      <c r="H3500" s="151"/>
      <c r="I3500" s="151"/>
      <c r="J3500" s="168"/>
      <c r="K3500" s="132"/>
      <c r="L3500" s="133"/>
    </row>
    <row r="3501" spans="1:12" ht="15.75" customHeight="1" x14ac:dyDescent="0.2">
      <c r="A3501" s="715" t="s">
        <v>4</v>
      </c>
      <c r="B3501" s="716"/>
      <c r="C3501" s="639" t="str">
        <f>'A IV.A'!B43</f>
        <v>FECHAMENTOS, PROTEÇÕES E ALVENARIAS EM GERAL</v>
      </c>
      <c r="D3501" s="640"/>
      <c r="E3501" s="640"/>
      <c r="F3501" s="640"/>
      <c r="G3501" s="640"/>
      <c r="H3501" s="640"/>
      <c r="I3501" s="640"/>
      <c r="J3501" s="641"/>
      <c r="K3501" s="132"/>
      <c r="L3501" s="133"/>
    </row>
    <row r="3502" spans="1:12" ht="12.75" customHeight="1" x14ac:dyDescent="0.2">
      <c r="A3502" s="609" t="str">
        <f>'A IV.A'!A43</f>
        <v>3.0</v>
      </c>
      <c r="B3502" s="610"/>
      <c r="C3502" s="642"/>
      <c r="D3502" s="643"/>
      <c r="E3502" s="643"/>
      <c r="F3502" s="643"/>
      <c r="G3502" s="643"/>
      <c r="H3502" s="643"/>
      <c r="I3502" s="643"/>
      <c r="J3502" s="644"/>
      <c r="K3502" s="132"/>
      <c r="L3502" s="133"/>
    </row>
    <row r="3503" spans="1:12" ht="13.5" customHeight="1" thickBot="1" x14ac:dyDescent="0.25">
      <c r="A3503" s="611"/>
      <c r="B3503" s="612"/>
      <c r="C3503" s="645"/>
      <c r="D3503" s="646"/>
      <c r="E3503" s="646"/>
      <c r="F3503" s="646"/>
      <c r="G3503" s="646"/>
      <c r="H3503" s="646"/>
      <c r="I3503" s="646"/>
      <c r="J3503" s="647"/>
      <c r="K3503" s="132"/>
      <c r="L3503" s="133"/>
    </row>
    <row r="3504" spans="1:12" ht="13.5" thickBot="1" x14ac:dyDescent="0.25">
      <c r="A3504" s="169"/>
      <c r="B3504" s="169"/>
      <c r="C3504" s="613"/>
      <c r="D3504" s="613"/>
      <c r="E3504" s="613"/>
      <c r="F3504" s="613"/>
      <c r="G3504" s="613"/>
      <c r="H3504" s="613"/>
      <c r="I3504" s="613"/>
      <c r="J3504" s="169"/>
      <c r="K3504" s="132"/>
      <c r="L3504" s="133"/>
    </row>
    <row r="3505" spans="1:14" ht="13.5" customHeight="1" thickBot="1" x14ac:dyDescent="0.25">
      <c r="A3505" s="614" t="s">
        <v>60</v>
      </c>
      <c r="B3505" s="615"/>
      <c r="C3505" s="616" t="s">
        <v>61</v>
      </c>
      <c r="D3505" s="617"/>
      <c r="E3505" s="617"/>
      <c r="F3505" s="617"/>
      <c r="G3505" s="617"/>
      <c r="H3505" s="617"/>
      <c r="I3505" s="618"/>
      <c r="J3505" s="260" t="s">
        <v>0</v>
      </c>
      <c r="K3505" s="132"/>
      <c r="L3505" s="133"/>
    </row>
    <row r="3506" spans="1:14" x14ac:dyDescent="0.2">
      <c r="A3506" s="136"/>
      <c r="B3506" s="137"/>
      <c r="C3506" s="619"/>
      <c r="D3506" s="620"/>
      <c r="E3506" s="620"/>
      <c r="F3506" s="620"/>
      <c r="G3506" s="620"/>
      <c r="H3506" s="620"/>
      <c r="I3506" s="687"/>
      <c r="J3506" s="138"/>
      <c r="K3506" s="132"/>
      <c r="L3506" s="133"/>
    </row>
    <row r="3507" spans="1:14" ht="12.75" customHeight="1" x14ac:dyDescent="0.2">
      <c r="A3507" s="623" t="str">
        <f>'A IV.A'!A110</f>
        <v>3.11.3</v>
      </c>
      <c r="B3507" s="636"/>
      <c r="C3507" s="626" t="str">
        <f>'A IV.A'!B110</f>
        <v xml:space="preserve">REMOÇÃO DE VIDRO COMUM </v>
      </c>
      <c r="D3507" s="627"/>
      <c r="E3507" s="627"/>
      <c r="F3507" s="627"/>
      <c r="G3507" s="627"/>
      <c r="H3507" s="627"/>
      <c r="I3507" s="628"/>
      <c r="J3507" s="629" t="str">
        <f>'A IV.A'!C110</f>
        <v>M2</v>
      </c>
      <c r="K3507" s="630" t="str">
        <f>VLOOKUP(A3507,'A IV.A'!$A$14:$M$233,2,FALSE)</f>
        <v xml:space="preserve">REMOÇÃO DE VIDRO COMUM </v>
      </c>
      <c r="L3507" s="631" t="str">
        <f>IF(C3507=K3507,"sim","nao")</f>
        <v>sim</v>
      </c>
      <c r="M3507" s="631" t="str">
        <f>VLOOKUP(A3507,'A IV.A'!$A$14:$M$233,3,FALSE)</f>
        <v>M2</v>
      </c>
      <c r="N3507" s="631" t="str">
        <f>IF(J3507=M3507,"sim","nao")</f>
        <v>sim</v>
      </c>
    </row>
    <row r="3508" spans="1:14" x14ac:dyDescent="0.2">
      <c r="A3508" s="623"/>
      <c r="B3508" s="636"/>
      <c r="C3508" s="626"/>
      <c r="D3508" s="627"/>
      <c r="E3508" s="627"/>
      <c r="F3508" s="627"/>
      <c r="G3508" s="627"/>
      <c r="H3508" s="627"/>
      <c r="I3508" s="628"/>
      <c r="J3508" s="629"/>
      <c r="K3508" s="630"/>
      <c r="L3508" s="631"/>
      <c r="M3508" s="631"/>
      <c r="N3508" s="631"/>
    </row>
    <row r="3509" spans="1:14" x14ac:dyDescent="0.2">
      <c r="A3509" s="623"/>
      <c r="B3509" s="636"/>
      <c r="C3509" s="626"/>
      <c r="D3509" s="627"/>
      <c r="E3509" s="627"/>
      <c r="F3509" s="627"/>
      <c r="G3509" s="627"/>
      <c r="H3509" s="627"/>
      <c r="I3509" s="628"/>
      <c r="J3509" s="629"/>
      <c r="K3509" s="132"/>
      <c r="L3509" s="133"/>
    </row>
    <row r="3510" spans="1:14" x14ac:dyDescent="0.2">
      <c r="A3510" s="199"/>
      <c r="B3510" s="188"/>
      <c r="C3510" s="189"/>
      <c r="D3510" s="165"/>
      <c r="E3510" s="165"/>
      <c r="F3510" s="165"/>
      <c r="G3510" s="165"/>
      <c r="H3510" s="165"/>
      <c r="I3510" s="190"/>
      <c r="J3510" s="191"/>
      <c r="K3510" s="192"/>
      <c r="L3510" s="55"/>
      <c r="M3510" s="55"/>
      <c r="N3510" s="55"/>
    </row>
    <row r="3511" spans="1:14" x14ac:dyDescent="0.2">
      <c r="A3511" s="158"/>
      <c r="B3511" s="188"/>
      <c r="C3511" s="189"/>
      <c r="D3511" s="165"/>
      <c r="E3511" s="165"/>
      <c r="F3511" s="165"/>
      <c r="G3511" s="165"/>
      <c r="H3511" s="165"/>
      <c r="I3511" s="190"/>
      <c r="J3511" s="191"/>
      <c r="K3511" s="192"/>
      <c r="L3511" s="55"/>
      <c r="M3511" s="55"/>
      <c r="N3511" s="55"/>
    </row>
    <row r="3512" spans="1:14" x14ac:dyDescent="0.2">
      <c r="A3512" s="145"/>
      <c r="B3512" s="146"/>
      <c r="C3512" s="147"/>
      <c r="D3512" s="147"/>
      <c r="E3512" s="147"/>
      <c r="F3512" s="147"/>
      <c r="G3512" s="147"/>
      <c r="H3512" s="147"/>
      <c r="I3512" s="147"/>
      <c r="J3512" s="148"/>
      <c r="K3512" s="132"/>
      <c r="L3512" s="133"/>
    </row>
    <row r="3513" spans="1:14" x14ac:dyDescent="0.2">
      <c r="A3513" s="199"/>
      <c r="B3513" s="188"/>
      <c r="C3513" s="189"/>
      <c r="D3513" s="165"/>
      <c r="E3513" s="165"/>
      <c r="F3513" s="165"/>
      <c r="G3513" s="165"/>
      <c r="H3513" s="165"/>
      <c r="I3513" s="190"/>
      <c r="J3513" s="191"/>
      <c r="K3513" s="192"/>
      <c r="L3513" s="55"/>
      <c r="M3513" s="55"/>
      <c r="N3513" s="55"/>
    </row>
    <row r="3514" spans="1:14" x14ac:dyDescent="0.2">
      <c r="A3514" s="158"/>
      <c r="B3514" s="188"/>
      <c r="C3514" s="189"/>
      <c r="D3514" s="165"/>
      <c r="E3514" s="165"/>
      <c r="F3514" s="165"/>
      <c r="G3514" s="165"/>
      <c r="H3514" s="165"/>
      <c r="I3514" s="190"/>
      <c r="J3514" s="191"/>
      <c r="K3514" s="192"/>
      <c r="L3514" s="55"/>
      <c r="M3514" s="55"/>
      <c r="N3514" s="55"/>
    </row>
    <row r="3515" spans="1:14" x14ac:dyDescent="0.2">
      <c r="A3515" s="145"/>
      <c r="B3515" s="146"/>
      <c r="C3515" s="147"/>
      <c r="D3515" s="147"/>
      <c r="E3515" s="147"/>
      <c r="F3515" s="147"/>
      <c r="G3515" s="147"/>
      <c r="H3515" s="147"/>
      <c r="I3515" s="147"/>
      <c r="J3515" s="148"/>
      <c r="K3515" s="132"/>
      <c r="L3515" s="133"/>
    </row>
    <row r="3516" spans="1:14" x14ac:dyDescent="0.2">
      <c r="A3516" s="199"/>
      <c r="B3516" s="188"/>
      <c r="C3516" s="189"/>
      <c r="D3516" s="165"/>
      <c r="E3516" s="165"/>
      <c r="F3516" s="165"/>
      <c r="G3516" s="165"/>
      <c r="H3516" s="165"/>
      <c r="I3516" s="190"/>
      <c r="J3516" s="191"/>
      <c r="K3516" s="192"/>
      <c r="L3516" s="55"/>
      <c r="M3516" s="55"/>
      <c r="N3516" s="55"/>
    </row>
    <row r="3517" spans="1:14" x14ac:dyDescent="0.2">
      <c r="A3517" s="158"/>
      <c r="B3517" s="188"/>
      <c r="C3517" s="189"/>
      <c r="D3517" s="165"/>
      <c r="E3517" s="165"/>
      <c r="F3517" s="165"/>
      <c r="G3517" s="165"/>
      <c r="H3517" s="165"/>
      <c r="I3517" s="190"/>
      <c r="J3517" s="191"/>
      <c r="K3517" s="192"/>
      <c r="L3517" s="55"/>
      <c r="M3517" s="55"/>
      <c r="N3517" s="55"/>
    </row>
    <row r="3518" spans="1:14" x14ac:dyDescent="0.2">
      <c r="A3518" s="145"/>
      <c r="B3518" s="146"/>
      <c r="C3518" s="147"/>
      <c r="D3518" s="147"/>
      <c r="E3518" s="147"/>
      <c r="F3518" s="147"/>
      <c r="G3518" s="147"/>
      <c r="H3518" s="147"/>
      <c r="I3518" s="147"/>
      <c r="J3518" s="148"/>
      <c r="K3518" s="132"/>
      <c r="L3518" s="133"/>
    </row>
    <row r="3519" spans="1:14" x14ac:dyDescent="0.2">
      <c r="A3519" s="199"/>
      <c r="B3519" s="188"/>
      <c r="C3519" s="189"/>
      <c r="D3519" s="165"/>
      <c r="E3519" s="165"/>
      <c r="F3519" s="165"/>
      <c r="G3519" s="165"/>
      <c r="H3519" s="165"/>
      <c r="I3519" s="190"/>
      <c r="J3519" s="191"/>
      <c r="K3519" s="192"/>
      <c r="L3519" s="55"/>
      <c r="M3519" s="55"/>
      <c r="N3519" s="55"/>
    </row>
    <row r="3520" spans="1:14" x14ac:dyDescent="0.2">
      <c r="A3520" s="158"/>
      <c r="B3520" s="188"/>
      <c r="C3520" s="189"/>
      <c r="D3520" s="165"/>
      <c r="E3520" s="165"/>
      <c r="F3520" s="165"/>
      <c r="G3520" s="165"/>
      <c r="H3520" s="165"/>
      <c r="I3520" s="190"/>
      <c r="J3520" s="191"/>
      <c r="K3520" s="192"/>
      <c r="L3520" s="55"/>
      <c r="M3520" s="55"/>
      <c r="N3520" s="55"/>
    </row>
    <row r="3521" spans="1:14" x14ac:dyDescent="0.2">
      <c r="A3521" s="145"/>
      <c r="B3521" s="146"/>
      <c r="C3521" s="147"/>
      <c r="D3521" s="147"/>
      <c r="E3521" s="147"/>
      <c r="F3521" s="147"/>
      <c r="G3521" s="147"/>
      <c r="H3521" s="147"/>
      <c r="I3521" s="147"/>
      <c r="J3521" s="148"/>
      <c r="K3521" s="132"/>
      <c r="L3521" s="133"/>
    </row>
    <row r="3522" spans="1:14" x14ac:dyDescent="0.2">
      <c r="A3522" s="199"/>
      <c r="B3522" s="188"/>
      <c r="C3522" s="189"/>
      <c r="D3522" s="165"/>
      <c r="E3522" s="165"/>
      <c r="F3522" s="165"/>
      <c r="G3522" s="165"/>
      <c r="H3522" s="165"/>
      <c r="I3522" s="190"/>
      <c r="J3522" s="191"/>
      <c r="K3522" s="192"/>
      <c r="L3522" s="55"/>
      <c r="M3522" s="55"/>
      <c r="N3522" s="55"/>
    </row>
    <row r="3523" spans="1:14" x14ac:dyDescent="0.2">
      <c r="A3523" s="158"/>
      <c r="B3523" s="188"/>
      <c r="C3523" s="189"/>
      <c r="D3523" s="165"/>
      <c r="E3523" s="165"/>
      <c r="F3523" s="165"/>
      <c r="G3523" s="165"/>
      <c r="H3523" s="165"/>
      <c r="I3523" s="190"/>
      <c r="J3523" s="191"/>
      <c r="K3523" s="192"/>
      <c r="L3523" s="55"/>
      <c r="M3523" s="55"/>
      <c r="N3523" s="55"/>
    </row>
    <row r="3524" spans="1:14" x14ac:dyDescent="0.2">
      <c r="A3524" s="145"/>
      <c r="B3524" s="146"/>
      <c r="C3524" s="147"/>
      <c r="D3524" s="147"/>
      <c r="E3524" s="147"/>
      <c r="F3524" s="147"/>
      <c r="G3524" s="147"/>
      <c r="H3524" s="147"/>
      <c r="I3524" s="147"/>
      <c r="J3524" s="148"/>
      <c r="K3524" s="132"/>
      <c r="L3524" s="133"/>
    </row>
    <row r="3525" spans="1:14" x14ac:dyDescent="0.2">
      <c r="A3525" s="199"/>
      <c r="B3525" s="188"/>
      <c r="C3525" s="189"/>
      <c r="D3525" s="165"/>
      <c r="E3525" s="165"/>
      <c r="F3525" s="165"/>
      <c r="G3525" s="165"/>
      <c r="H3525" s="165"/>
      <c r="I3525" s="190"/>
      <c r="J3525" s="191"/>
      <c r="K3525" s="192"/>
      <c r="L3525" s="55"/>
      <c r="M3525" s="55"/>
      <c r="N3525" s="55"/>
    </row>
    <row r="3526" spans="1:14" x14ac:dyDescent="0.2">
      <c r="A3526" s="158"/>
      <c r="B3526" s="188"/>
      <c r="C3526" s="189"/>
      <c r="D3526" s="165"/>
      <c r="E3526" s="165"/>
      <c r="F3526" s="165"/>
      <c r="G3526" s="165"/>
      <c r="H3526" s="165"/>
      <c r="I3526" s="190"/>
      <c r="J3526" s="191"/>
      <c r="K3526" s="192"/>
      <c r="L3526" s="55"/>
      <c r="M3526" s="55"/>
      <c r="N3526" s="55"/>
    </row>
    <row r="3527" spans="1:14" x14ac:dyDescent="0.2">
      <c r="A3527" s="145"/>
      <c r="B3527" s="146"/>
      <c r="C3527" s="147"/>
      <c r="D3527" s="147"/>
      <c r="E3527" s="147"/>
      <c r="F3527" s="147"/>
      <c r="G3527" s="147"/>
      <c r="H3527" s="147"/>
      <c r="I3527" s="147"/>
      <c r="J3527" s="148"/>
      <c r="K3527" s="132"/>
      <c r="L3527" s="133"/>
    </row>
    <row r="3528" spans="1:14" ht="13.5" thickBot="1" x14ac:dyDescent="0.25">
      <c r="A3528" s="149"/>
      <c r="B3528" s="150"/>
      <c r="C3528" s="151"/>
      <c r="D3528" s="151"/>
      <c r="E3528" s="151"/>
      <c r="F3528" s="151"/>
      <c r="G3528" s="151"/>
      <c r="H3528" s="151"/>
      <c r="I3528" s="151"/>
      <c r="J3528" s="152"/>
      <c r="K3528" s="132"/>
      <c r="L3528" s="133"/>
    </row>
    <row r="3529" spans="1:14" ht="13.5" thickBot="1" x14ac:dyDescent="0.25">
      <c r="A3529" s="153"/>
      <c r="B3529" s="153"/>
      <c r="C3529" s="154"/>
      <c r="D3529" s="154"/>
      <c r="E3529" s="154"/>
      <c r="F3529" s="154"/>
      <c r="G3529" s="154"/>
      <c r="H3529" s="154"/>
      <c r="I3529" s="154"/>
      <c r="J3529" s="153"/>
      <c r="K3529" s="132"/>
      <c r="L3529" s="133"/>
    </row>
    <row r="3530" spans="1:14" ht="13.5" thickBot="1" x14ac:dyDescent="0.25">
      <c r="A3530" s="614" t="s">
        <v>62</v>
      </c>
      <c r="B3530" s="648"/>
      <c r="C3530" s="648"/>
      <c r="D3530" s="648"/>
      <c r="E3530" s="648"/>
      <c r="F3530" s="648"/>
      <c r="G3530" s="648"/>
      <c r="H3530" s="648"/>
      <c r="I3530" s="648"/>
      <c r="J3530" s="649"/>
      <c r="K3530" s="132"/>
      <c r="L3530" s="133"/>
    </row>
    <row r="3531" spans="1:14" x14ac:dyDescent="0.2">
      <c r="A3531" s="136"/>
      <c r="B3531" s="155"/>
      <c r="C3531" s="156"/>
      <c r="D3531" s="156"/>
      <c r="E3531" s="156"/>
      <c r="F3531" s="156"/>
      <c r="G3531" s="156"/>
      <c r="H3531" s="156"/>
      <c r="I3531" s="156"/>
      <c r="J3531" s="157"/>
      <c r="K3531" s="132"/>
      <c r="L3531" s="133"/>
    </row>
    <row r="3532" spans="1:14" ht="12.75" customHeight="1" x14ac:dyDescent="0.2">
      <c r="A3532" s="158" t="s">
        <v>63</v>
      </c>
      <c r="B3532" s="55"/>
      <c r="C3532" s="596" t="s">
        <v>1032</v>
      </c>
      <c r="D3532" s="596"/>
      <c r="E3532" s="596"/>
      <c r="F3532" s="596"/>
      <c r="G3532" s="596"/>
      <c r="H3532" s="596"/>
      <c r="I3532" s="596"/>
      <c r="J3532" s="597"/>
      <c r="K3532" s="132"/>
      <c r="L3532" s="133"/>
    </row>
    <row r="3533" spans="1:14" x14ac:dyDescent="0.2">
      <c r="A3533" s="158"/>
      <c r="B3533" s="55"/>
      <c r="C3533" s="596"/>
      <c r="D3533" s="596"/>
      <c r="E3533" s="596"/>
      <c r="F3533" s="596"/>
      <c r="G3533" s="596"/>
      <c r="H3533" s="596"/>
      <c r="I3533" s="596"/>
      <c r="J3533" s="597"/>
      <c r="K3533" s="132"/>
      <c r="L3533" s="133"/>
    </row>
    <row r="3534" spans="1:14" x14ac:dyDescent="0.2">
      <c r="A3534" s="158"/>
      <c r="B3534" s="55"/>
      <c r="C3534" s="175"/>
      <c r="D3534" s="175"/>
      <c r="E3534" s="175"/>
      <c r="F3534" s="175"/>
      <c r="G3534" s="175"/>
      <c r="H3534" s="175"/>
      <c r="I3534" s="175"/>
      <c r="J3534" s="176"/>
      <c r="K3534" s="132"/>
      <c r="L3534" s="133"/>
    </row>
    <row r="3535" spans="1:14" ht="12.75" customHeight="1" x14ac:dyDescent="0.2">
      <c r="A3535" s="598" t="s">
        <v>64</v>
      </c>
      <c r="B3535" s="638"/>
      <c r="C3535" s="634" t="s">
        <v>1033</v>
      </c>
      <c r="D3535" s="634"/>
      <c r="E3535" s="634"/>
      <c r="F3535" s="634"/>
      <c r="G3535" s="634"/>
      <c r="H3535" s="634"/>
      <c r="I3535" s="634"/>
      <c r="J3535" s="635"/>
      <c r="K3535" s="132"/>
      <c r="L3535" s="133"/>
    </row>
    <row r="3536" spans="1:14" x14ac:dyDescent="0.2">
      <c r="A3536" s="158"/>
      <c r="B3536" s="55"/>
      <c r="C3536" s="175"/>
      <c r="D3536" s="175"/>
      <c r="E3536" s="175"/>
      <c r="F3536" s="175"/>
      <c r="G3536" s="175"/>
      <c r="H3536" s="175"/>
      <c r="I3536" s="175"/>
      <c r="J3536" s="176"/>
      <c r="K3536" s="132"/>
      <c r="L3536" s="133"/>
    </row>
    <row r="3537" spans="1:12" x14ac:dyDescent="0.2">
      <c r="A3537" s="158"/>
      <c r="B3537" s="55"/>
      <c r="C3537" s="175"/>
      <c r="D3537" s="175"/>
      <c r="E3537" s="175"/>
      <c r="F3537" s="175"/>
      <c r="G3537" s="175"/>
      <c r="H3537" s="175"/>
      <c r="I3537" s="175"/>
      <c r="J3537" s="176"/>
      <c r="K3537" s="132"/>
      <c r="L3537" s="133"/>
    </row>
    <row r="3538" spans="1:12" x14ac:dyDescent="0.2">
      <c r="A3538" s="158"/>
      <c r="B3538" s="55"/>
      <c r="C3538" s="175"/>
      <c r="D3538" s="175"/>
      <c r="E3538" s="175"/>
      <c r="F3538" s="175"/>
      <c r="G3538" s="175"/>
      <c r="H3538" s="175"/>
      <c r="I3538" s="175"/>
      <c r="J3538" s="176"/>
      <c r="K3538" s="132"/>
      <c r="L3538" s="133"/>
    </row>
    <row r="3539" spans="1:12" x14ac:dyDescent="0.2">
      <c r="A3539" s="158"/>
      <c r="B3539" s="55"/>
      <c r="C3539" s="71"/>
      <c r="D3539" s="71"/>
      <c r="E3539" s="71"/>
      <c r="F3539" s="71"/>
      <c r="G3539" s="71"/>
      <c r="H3539" s="71"/>
      <c r="I3539" s="71"/>
      <c r="J3539" s="174"/>
      <c r="K3539" s="132"/>
      <c r="L3539" s="133"/>
    </row>
    <row r="3540" spans="1:12" x14ac:dyDescent="0.2">
      <c r="A3540" s="158"/>
      <c r="B3540" s="55"/>
      <c r="C3540" s="71"/>
      <c r="D3540" s="71"/>
      <c r="E3540" s="71"/>
      <c r="F3540" s="71"/>
      <c r="G3540" s="71"/>
      <c r="H3540" s="71"/>
      <c r="I3540" s="71"/>
      <c r="J3540" s="174"/>
      <c r="K3540" s="132"/>
      <c r="L3540" s="133"/>
    </row>
    <row r="3541" spans="1:12" x14ac:dyDescent="0.2">
      <c r="A3541" s="158"/>
      <c r="B3541" s="55"/>
      <c r="C3541" s="71"/>
      <c r="D3541" s="71"/>
      <c r="E3541" s="71"/>
      <c r="F3541" s="71"/>
      <c r="G3541" s="71"/>
      <c r="H3541" s="71"/>
      <c r="I3541" s="71"/>
      <c r="J3541" s="174"/>
      <c r="K3541" s="132"/>
      <c r="L3541" s="133"/>
    </row>
    <row r="3542" spans="1:12" x14ac:dyDescent="0.2">
      <c r="A3542" s="158"/>
      <c r="B3542" s="55"/>
      <c r="C3542" s="71"/>
      <c r="D3542" s="71"/>
      <c r="E3542" s="71"/>
      <c r="F3542" s="71"/>
      <c r="G3542" s="71"/>
      <c r="H3542" s="71"/>
      <c r="I3542" s="71"/>
      <c r="J3542" s="174"/>
      <c r="K3542" s="132"/>
      <c r="L3542" s="133"/>
    </row>
    <row r="3543" spans="1:12" x14ac:dyDescent="0.2">
      <c r="A3543" s="158"/>
      <c r="B3543" s="55"/>
      <c r="C3543" s="71"/>
      <c r="D3543" s="71"/>
      <c r="E3543" s="71"/>
      <c r="F3543" s="71"/>
      <c r="G3543" s="71"/>
      <c r="H3543" s="71"/>
      <c r="I3543" s="71"/>
      <c r="J3543" s="174"/>
      <c r="K3543" s="132"/>
      <c r="L3543" s="133"/>
    </row>
    <row r="3544" spans="1:12" x14ac:dyDescent="0.2">
      <c r="A3544" s="158"/>
      <c r="B3544" s="55"/>
      <c r="C3544" s="71"/>
      <c r="D3544" s="71"/>
      <c r="E3544" s="71"/>
      <c r="F3544" s="71"/>
      <c r="G3544" s="71"/>
      <c r="H3544" s="71"/>
      <c r="I3544" s="71"/>
      <c r="J3544" s="174"/>
      <c r="K3544" s="132"/>
      <c r="L3544" s="133"/>
    </row>
    <row r="3545" spans="1:12" x14ac:dyDescent="0.2">
      <c r="A3545" s="158"/>
      <c r="B3545" s="55"/>
      <c r="C3545" s="71"/>
      <c r="D3545" s="71"/>
      <c r="E3545" s="71"/>
      <c r="F3545" s="71"/>
      <c r="G3545" s="71"/>
      <c r="H3545" s="71"/>
      <c r="I3545" s="71"/>
      <c r="J3545" s="174"/>
      <c r="K3545" s="132"/>
      <c r="L3545" s="133"/>
    </row>
    <row r="3546" spans="1:12" x14ac:dyDescent="0.2">
      <c r="A3546" s="158"/>
      <c r="B3546" s="55"/>
      <c r="C3546" s="71"/>
      <c r="D3546" s="71"/>
      <c r="E3546" s="71"/>
      <c r="F3546" s="71"/>
      <c r="G3546" s="71"/>
      <c r="H3546" s="71"/>
      <c r="I3546" s="71"/>
      <c r="J3546" s="174"/>
      <c r="K3546" s="132"/>
      <c r="L3546" s="133"/>
    </row>
    <row r="3547" spans="1:12" x14ac:dyDescent="0.2">
      <c r="A3547" s="158"/>
      <c r="B3547" s="55"/>
      <c r="C3547" s="71"/>
      <c r="D3547" s="71"/>
      <c r="E3547" s="71"/>
      <c r="F3547" s="71"/>
      <c r="G3547" s="71"/>
      <c r="H3547" s="71"/>
      <c r="I3547" s="71"/>
      <c r="J3547" s="174"/>
      <c r="K3547" s="132"/>
      <c r="L3547" s="133"/>
    </row>
    <row r="3548" spans="1:12" x14ac:dyDescent="0.2">
      <c r="A3548" s="158"/>
      <c r="B3548" s="55"/>
      <c r="C3548" s="71"/>
      <c r="D3548" s="71"/>
      <c r="E3548" s="71"/>
      <c r="F3548" s="71"/>
      <c r="G3548" s="71"/>
      <c r="H3548" s="71"/>
      <c r="I3548" s="71"/>
      <c r="J3548" s="174"/>
      <c r="K3548" s="132"/>
      <c r="L3548" s="133"/>
    </row>
    <row r="3549" spans="1:12" x14ac:dyDescent="0.2">
      <c r="A3549" s="158"/>
      <c r="B3549" s="55"/>
      <c r="C3549" s="175"/>
      <c r="D3549" s="175"/>
      <c r="E3549" s="172"/>
      <c r="F3549" s="172"/>
      <c r="G3549" s="172"/>
      <c r="H3549" s="172"/>
      <c r="I3549" s="172"/>
      <c r="J3549" s="173"/>
      <c r="K3549" s="132"/>
      <c r="L3549" s="133"/>
    </row>
    <row r="3550" spans="1:12" x14ac:dyDescent="0.2">
      <c r="A3550" s="158"/>
      <c r="B3550" s="55"/>
      <c r="C3550" s="175"/>
      <c r="D3550" s="175"/>
      <c r="E3550" s="172"/>
      <c r="F3550" s="172"/>
      <c r="G3550" s="172"/>
      <c r="H3550" s="172"/>
      <c r="I3550" s="172"/>
      <c r="J3550" s="173"/>
      <c r="K3550" s="132"/>
      <c r="L3550" s="133"/>
    </row>
    <row r="3551" spans="1:12" x14ac:dyDescent="0.2">
      <c r="A3551" s="158"/>
      <c r="B3551" s="55"/>
      <c r="C3551" s="175"/>
      <c r="D3551" s="175"/>
      <c r="E3551" s="172"/>
      <c r="F3551" s="172"/>
      <c r="G3551" s="172"/>
      <c r="H3551" s="172"/>
      <c r="I3551" s="172"/>
      <c r="J3551" s="173"/>
      <c r="K3551" s="132"/>
      <c r="L3551" s="133"/>
    </row>
    <row r="3552" spans="1:12" x14ac:dyDescent="0.2">
      <c r="A3552" s="158"/>
      <c r="B3552" s="55"/>
      <c r="C3552" s="175"/>
      <c r="D3552" s="175"/>
      <c r="E3552" s="175"/>
      <c r="F3552" s="175"/>
      <c r="G3552" s="175"/>
      <c r="H3552" s="175"/>
      <c r="I3552" s="175"/>
      <c r="J3552" s="176"/>
      <c r="K3552" s="132"/>
      <c r="L3552" s="133"/>
    </row>
    <row r="3553" spans="1:14" x14ac:dyDescent="0.2">
      <c r="A3553" s="158"/>
      <c r="B3553" s="55"/>
      <c r="C3553" s="175"/>
      <c r="D3553" s="175"/>
      <c r="E3553" s="175"/>
      <c r="F3553" s="175"/>
      <c r="G3553" s="175"/>
      <c r="H3553" s="175"/>
      <c r="I3553" s="175"/>
      <c r="J3553" s="176"/>
      <c r="K3553" s="132"/>
      <c r="L3553" s="133"/>
    </row>
    <row r="3554" spans="1:14" ht="13.5" thickBot="1" x14ac:dyDescent="0.25">
      <c r="A3554" s="149"/>
      <c r="B3554" s="167"/>
      <c r="C3554" s="151"/>
      <c r="D3554" s="151"/>
      <c r="E3554" s="151"/>
      <c r="F3554" s="151"/>
      <c r="G3554" s="151"/>
      <c r="H3554" s="151"/>
      <c r="I3554" s="151"/>
      <c r="J3554" s="168"/>
      <c r="K3554" s="132"/>
      <c r="L3554" s="133"/>
    </row>
    <row r="3555" spans="1:14" ht="15.75" customHeight="1" x14ac:dyDescent="0.2">
      <c r="A3555" s="715" t="s">
        <v>4</v>
      </c>
      <c r="B3555" s="716"/>
      <c r="C3555" s="639" t="str">
        <f>'A IV.A'!$B$112</f>
        <v>FORNECIMENTO E INSTALAÇÕES HIDRAULICAS - ITEM 9.0 DO TERMO DE REFERÊNCIA</v>
      </c>
      <c r="D3555" s="640"/>
      <c r="E3555" s="640"/>
      <c r="F3555" s="640"/>
      <c r="G3555" s="640"/>
      <c r="H3555" s="640"/>
      <c r="I3555" s="640"/>
      <c r="J3555" s="641"/>
      <c r="K3555" s="132"/>
      <c r="L3555" s="133"/>
    </row>
    <row r="3556" spans="1:14" ht="12.75" customHeight="1" x14ac:dyDescent="0.2">
      <c r="A3556" s="609" t="str">
        <f>'A IV.A'!$A$112</f>
        <v>4.0</v>
      </c>
      <c r="B3556" s="610"/>
      <c r="C3556" s="642"/>
      <c r="D3556" s="643"/>
      <c r="E3556" s="643"/>
      <c r="F3556" s="643"/>
      <c r="G3556" s="643"/>
      <c r="H3556" s="643"/>
      <c r="I3556" s="643"/>
      <c r="J3556" s="644"/>
      <c r="K3556" s="132"/>
      <c r="L3556" s="133"/>
    </row>
    <row r="3557" spans="1:14" ht="13.5" customHeight="1" thickBot="1" x14ac:dyDescent="0.25">
      <c r="A3557" s="611"/>
      <c r="B3557" s="612"/>
      <c r="C3557" s="645"/>
      <c r="D3557" s="646"/>
      <c r="E3557" s="646"/>
      <c r="F3557" s="646"/>
      <c r="G3557" s="646"/>
      <c r="H3557" s="646"/>
      <c r="I3557" s="646"/>
      <c r="J3557" s="647"/>
      <c r="K3557" s="132"/>
      <c r="L3557" s="133"/>
    </row>
    <row r="3558" spans="1:14" ht="13.5" thickBot="1" x14ac:dyDescent="0.25">
      <c r="A3558" s="169"/>
      <c r="B3558" s="169"/>
      <c r="C3558" s="613"/>
      <c r="D3558" s="613"/>
      <c r="E3558" s="613"/>
      <c r="F3558" s="613"/>
      <c r="G3558" s="613"/>
      <c r="H3558" s="613"/>
      <c r="I3558" s="613"/>
      <c r="J3558" s="169"/>
      <c r="K3558" s="132"/>
      <c r="L3558" s="133"/>
    </row>
    <row r="3559" spans="1:14" ht="13.5" customHeight="1" thickBot="1" x14ac:dyDescent="0.25">
      <c r="A3559" s="614" t="s">
        <v>60</v>
      </c>
      <c r="B3559" s="615"/>
      <c r="C3559" s="616" t="s">
        <v>61</v>
      </c>
      <c r="D3559" s="617"/>
      <c r="E3559" s="617"/>
      <c r="F3559" s="617"/>
      <c r="G3559" s="617"/>
      <c r="H3559" s="617"/>
      <c r="I3559" s="618"/>
      <c r="J3559" s="260" t="s">
        <v>0</v>
      </c>
      <c r="K3559" s="132"/>
      <c r="L3559" s="133"/>
    </row>
    <row r="3560" spans="1:14" x14ac:dyDescent="0.2">
      <c r="A3560" s="136"/>
      <c r="B3560" s="137"/>
      <c r="C3560" s="619"/>
      <c r="D3560" s="620"/>
      <c r="E3560" s="620"/>
      <c r="F3560" s="620"/>
      <c r="G3560" s="620"/>
      <c r="H3560" s="620"/>
      <c r="I3560" s="687"/>
      <c r="J3560" s="138"/>
      <c r="K3560" s="132"/>
      <c r="L3560" s="133"/>
    </row>
    <row r="3561" spans="1:14" ht="12.75" customHeight="1" x14ac:dyDescent="0.2">
      <c r="A3561" s="623" t="str">
        <f>'A IV.A'!$A$114</f>
        <v>4.1</v>
      </c>
      <c r="B3561" s="636"/>
      <c r="C3561" s="626" t="str">
        <f>'A IV.A'!$B$114</f>
        <v>RALO SECO DE PVC RÍGIDO, ALTURA 50MM, DIÂMETRO DE ENTRADA 40MM, COM GRELHA QUADRADA DE PVC BRANCO, DIMENSÕES 100X100MM</v>
      </c>
      <c r="D3561" s="627"/>
      <c r="E3561" s="627"/>
      <c r="F3561" s="627"/>
      <c r="G3561" s="627"/>
      <c r="H3561" s="627"/>
      <c r="I3561" s="628"/>
      <c r="J3561" s="629" t="str">
        <f>'A IV.A'!$C$114</f>
        <v>UN</v>
      </c>
      <c r="K3561" s="630" t="str">
        <f>VLOOKUP(A3561,'A IV.A'!$A$14:$M$233,2,FALSE)</f>
        <v>RALO SECO DE PVC RÍGIDO, ALTURA 50MM, DIÂMETRO DE ENTRADA 40MM, COM GRELHA QUADRADA DE PVC BRANCO, DIMENSÕES 100X100MM</v>
      </c>
      <c r="L3561" s="631" t="str">
        <f>IF(C3561=K3561,"sim","nao")</f>
        <v>sim</v>
      </c>
      <c r="M3561" s="631" t="str">
        <f>VLOOKUP(A3561,'A IV.A'!$A$14:$M$233,3,FALSE)</f>
        <v>UN</v>
      </c>
      <c r="N3561" s="631" t="str">
        <f>IF(J3561=M3561,"sim","nao")</f>
        <v>sim</v>
      </c>
    </row>
    <row r="3562" spans="1:14" x14ac:dyDescent="0.2">
      <c r="A3562" s="623"/>
      <c r="B3562" s="636"/>
      <c r="C3562" s="626"/>
      <c r="D3562" s="627"/>
      <c r="E3562" s="627"/>
      <c r="F3562" s="627"/>
      <c r="G3562" s="627"/>
      <c r="H3562" s="627"/>
      <c r="I3562" s="628"/>
      <c r="J3562" s="629"/>
      <c r="K3562" s="630"/>
      <c r="L3562" s="631"/>
      <c r="M3562" s="631"/>
      <c r="N3562" s="631"/>
    </row>
    <row r="3563" spans="1:14" x14ac:dyDescent="0.2">
      <c r="A3563" s="623"/>
      <c r="B3563" s="636"/>
      <c r="C3563" s="626"/>
      <c r="D3563" s="627"/>
      <c r="E3563" s="627"/>
      <c r="F3563" s="627"/>
      <c r="G3563" s="627"/>
      <c r="H3563" s="627"/>
      <c r="I3563" s="628"/>
      <c r="J3563" s="629"/>
      <c r="K3563" s="132"/>
      <c r="L3563" s="133"/>
    </row>
    <row r="3564" spans="1:14" x14ac:dyDescent="0.2">
      <c r="A3564" s="199"/>
      <c r="B3564" s="188"/>
      <c r="C3564" s="189"/>
      <c r="D3564" s="165"/>
      <c r="E3564" s="165"/>
      <c r="F3564" s="165"/>
      <c r="G3564" s="165"/>
      <c r="H3564" s="165"/>
      <c r="I3564" s="190"/>
      <c r="J3564" s="191"/>
      <c r="K3564" s="192"/>
      <c r="L3564" s="55"/>
      <c r="M3564" s="55"/>
      <c r="N3564" s="55"/>
    </row>
    <row r="3565" spans="1:14" x14ac:dyDescent="0.2">
      <c r="A3565" s="158"/>
      <c r="B3565" s="188"/>
      <c r="C3565" s="189"/>
      <c r="D3565" s="165"/>
      <c r="E3565" s="165"/>
      <c r="F3565" s="165"/>
      <c r="G3565" s="165"/>
      <c r="H3565" s="165"/>
      <c r="I3565" s="190"/>
      <c r="J3565" s="191"/>
      <c r="K3565" s="192"/>
      <c r="L3565" s="55"/>
      <c r="M3565" s="55"/>
      <c r="N3565" s="55"/>
    </row>
    <row r="3566" spans="1:14" x14ac:dyDescent="0.2">
      <c r="A3566" s="145"/>
      <c r="B3566" s="146"/>
      <c r="C3566" s="147"/>
      <c r="D3566" s="147"/>
      <c r="E3566" s="147"/>
      <c r="F3566" s="147"/>
      <c r="G3566" s="147"/>
      <c r="H3566" s="147"/>
      <c r="I3566" s="147"/>
      <c r="J3566" s="148"/>
      <c r="K3566" s="132"/>
      <c r="L3566" s="133"/>
    </row>
    <row r="3567" spans="1:14" x14ac:dyDescent="0.2">
      <c r="A3567" s="199"/>
      <c r="B3567" s="188"/>
      <c r="C3567" s="189"/>
      <c r="D3567" s="165"/>
      <c r="E3567" s="165"/>
      <c r="F3567" s="165"/>
      <c r="G3567" s="165"/>
      <c r="H3567" s="165"/>
      <c r="I3567" s="190"/>
      <c r="J3567" s="191"/>
      <c r="K3567" s="192"/>
      <c r="L3567" s="55"/>
      <c r="M3567" s="55"/>
      <c r="N3567" s="55"/>
    </row>
    <row r="3568" spans="1:14" x14ac:dyDescent="0.2">
      <c r="A3568" s="158"/>
      <c r="B3568" s="188"/>
      <c r="C3568" s="189"/>
      <c r="D3568" s="165"/>
      <c r="E3568" s="165"/>
      <c r="F3568" s="165"/>
      <c r="G3568" s="165"/>
      <c r="H3568" s="165"/>
      <c r="I3568" s="190"/>
      <c r="J3568" s="191"/>
      <c r="K3568" s="192"/>
      <c r="L3568" s="55"/>
      <c r="M3568" s="55"/>
      <c r="N3568" s="55"/>
    </row>
    <row r="3569" spans="1:14" x14ac:dyDescent="0.2">
      <c r="A3569" s="145"/>
      <c r="B3569" s="146"/>
      <c r="C3569" s="147"/>
      <c r="D3569" s="147"/>
      <c r="E3569" s="147"/>
      <c r="F3569" s="147"/>
      <c r="G3569" s="147"/>
      <c r="H3569" s="147"/>
      <c r="I3569" s="147"/>
      <c r="J3569" s="148"/>
      <c r="K3569" s="132"/>
      <c r="L3569" s="133"/>
    </row>
    <row r="3570" spans="1:14" x14ac:dyDescent="0.2">
      <c r="A3570" s="199"/>
      <c r="B3570" s="188"/>
      <c r="C3570" s="189"/>
      <c r="D3570" s="165"/>
      <c r="E3570" s="165"/>
      <c r="F3570" s="165"/>
      <c r="G3570" s="165"/>
      <c r="H3570" s="165"/>
      <c r="I3570" s="190"/>
      <c r="J3570" s="191"/>
      <c r="K3570" s="192"/>
      <c r="L3570" s="55"/>
      <c r="M3570" s="55"/>
      <c r="N3570" s="55"/>
    </row>
    <row r="3571" spans="1:14" x14ac:dyDescent="0.2">
      <c r="A3571" s="158"/>
      <c r="B3571" s="188"/>
      <c r="C3571" s="189"/>
      <c r="D3571" s="165"/>
      <c r="E3571" s="165"/>
      <c r="F3571" s="165"/>
      <c r="G3571" s="165"/>
      <c r="H3571" s="165"/>
      <c r="I3571" s="190"/>
      <c r="J3571" s="191"/>
      <c r="K3571" s="192"/>
      <c r="L3571" s="55"/>
      <c r="M3571" s="55"/>
      <c r="N3571" s="55"/>
    </row>
    <row r="3572" spans="1:14" x14ac:dyDescent="0.2">
      <c r="A3572" s="145"/>
      <c r="B3572" s="146"/>
      <c r="C3572" s="147"/>
      <c r="D3572" s="147"/>
      <c r="E3572" s="147"/>
      <c r="F3572" s="147"/>
      <c r="G3572" s="147"/>
      <c r="H3572" s="147"/>
      <c r="I3572" s="147"/>
      <c r="J3572" s="148"/>
      <c r="K3572" s="132"/>
      <c r="L3572" s="133"/>
    </row>
    <row r="3573" spans="1:14" x14ac:dyDescent="0.2">
      <c r="A3573" s="199"/>
      <c r="B3573" s="188"/>
      <c r="C3573" s="189"/>
      <c r="D3573" s="165"/>
      <c r="E3573" s="165"/>
      <c r="F3573" s="165"/>
      <c r="G3573" s="165"/>
      <c r="H3573" s="165"/>
      <c r="I3573" s="190"/>
      <c r="J3573" s="191"/>
      <c r="K3573" s="192"/>
      <c r="L3573" s="55"/>
      <c r="M3573" s="55"/>
      <c r="N3573" s="55"/>
    </row>
    <row r="3574" spans="1:14" x14ac:dyDescent="0.2">
      <c r="A3574" s="158"/>
      <c r="B3574" s="188"/>
      <c r="C3574" s="189"/>
      <c r="D3574" s="165"/>
      <c r="E3574" s="165"/>
      <c r="F3574" s="165"/>
      <c r="G3574" s="165"/>
      <c r="H3574" s="165"/>
      <c r="I3574" s="190"/>
      <c r="J3574" s="191"/>
      <c r="K3574" s="192"/>
      <c r="L3574" s="55"/>
      <c r="M3574" s="55"/>
      <c r="N3574" s="55"/>
    </row>
    <row r="3575" spans="1:14" x14ac:dyDescent="0.2">
      <c r="A3575" s="145"/>
      <c r="B3575" s="146"/>
      <c r="C3575" s="147"/>
      <c r="D3575" s="147"/>
      <c r="E3575" s="147"/>
      <c r="F3575" s="147"/>
      <c r="G3575" s="147"/>
      <c r="H3575" s="147"/>
      <c r="I3575" s="147"/>
      <c r="J3575" s="148"/>
      <c r="K3575" s="132"/>
      <c r="L3575" s="133"/>
    </row>
    <row r="3576" spans="1:14" x14ac:dyDescent="0.2">
      <c r="A3576" s="199"/>
      <c r="B3576" s="188"/>
      <c r="C3576" s="189"/>
      <c r="D3576" s="165"/>
      <c r="E3576" s="165"/>
      <c r="F3576" s="165"/>
      <c r="G3576" s="165"/>
      <c r="H3576" s="165"/>
      <c r="I3576" s="190"/>
      <c r="J3576" s="191"/>
      <c r="K3576" s="192"/>
      <c r="L3576" s="55"/>
      <c r="M3576" s="55"/>
      <c r="N3576" s="55"/>
    </row>
    <row r="3577" spans="1:14" x14ac:dyDescent="0.2">
      <c r="A3577" s="158"/>
      <c r="B3577" s="188"/>
      <c r="C3577" s="189"/>
      <c r="D3577" s="165"/>
      <c r="E3577" s="165"/>
      <c r="F3577" s="165"/>
      <c r="G3577" s="165"/>
      <c r="H3577" s="165"/>
      <c r="I3577" s="190"/>
      <c r="J3577" s="191"/>
      <c r="K3577" s="192"/>
      <c r="L3577" s="55"/>
      <c r="M3577" s="55"/>
      <c r="N3577" s="55"/>
    </row>
    <row r="3578" spans="1:14" x14ac:dyDescent="0.2">
      <c r="A3578" s="145"/>
      <c r="B3578" s="146"/>
      <c r="C3578" s="147"/>
      <c r="D3578" s="147"/>
      <c r="E3578" s="147"/>
      <c r="F3578" s="147"/>
      <c r="G3578" s="147"/>
      <c r="H3578" s="147"/>
      <c r="I3578" s="147"/>
      <c r="J3578" s="148"/>
      <c r="K3578" s="132"/>
      <c r="L3578" s="133"/>
    </row>
    <row r="3579" spans="1:14" x14ac:dyDescent="0.2">
      <c r="A3579" s="199"/>
      <c r="B3579" s="188"/>
      <c r="C3579" s="189"/>
      <c r="D3579" s="165"/>
      <c r="E3579" s="165"/>
      <c r="F3579" s="165"/>
      <c r="G3579" s="165"/>
      <c r="H3579" s="165"/>
      <c r="I3579" s="190"/>
      <c r="J3579" s="191"/>
      <c r="K3579" s="192"/>
      <c r="L3579" s="55"/>
      <c r="M3579" s="55"/>
      <c r="N3579" s="55"/>
    </row>
    <row r="3580" spans="1:14" x14ac:dyDescent="0.2">
      <c r="A3580" s="158"/>
      <c r="B3580" s="188"/>
      <c r="C3580" s="189"/>
      <c r="D3580" s="165"/>
      <c r="E3580" s="165"/>
      <c r="F3580" s="165"/>
      <c r="G3580" s="165"/>
      <c r="H3580" s="165"/>
      <c r="I3580" s="190"/>
      <c r="J3580" s="191"/>
      <c r="K3580" s="192"/>
      <c r="L3580" s="55"/>
      <c r="M3580" s="55"/>
      <c r="N3580" s="55"/>
    </row>
    <row r="3581" spans="1:14" x14ac:dyDescent="0.2">
      <c r="A3581" s="145"/>
      <c r="B3581" s="146"/>
      <c r="C3581" s="147"/>
      <c r="D3581" s="147"/>
      <c r="E3581" s="147"/>
      <c r="F3581" s="147"/>
      <c r="G3581" s="147"/>
      <c r="H3581" s="147"/>
      <c r="I3581" s="147"/>
      <c r="J3581" s="148"/>
      <c r="K3581" s="132"/>
      <c r="L3581" s="133"/>
    </row>
    <row r="3582" spans="1:14" ht="13.5" thickBot="1" x14ac:dyDescent="0.25">
      <c r="A3582" s="149"/>
      <c r="B3582" s="150"/>
      <c r="C3582" s="151"/>
      <c r="D3582" s="151"/>
      <c r="E3582" s="151"/>
      <c r="F3582" s="151"/>
      <c r="G3582" s="151"/>
      <c r="H3582" s="151"/>
      <c r="I3582" s="151"/>
      <c r="J3582" s="152"/>
      <c r="K3582" s="132"/>
      <c r="L3582" s="133"/>
    </row>
    <row r="3583" spans="1:14" ht="13.5" thickBot="1" x14ac:dyDescent="0.25">
      <c r="A3583" s="153"/>
      <c r="B3583" s="153"/>
      <c r="C3583" s="154"/>
      <c r="D3583" s="154"/>
      <c r="E3583" s="154"/>
      <c r="F3583" s="154"/>
      <c r="G3583" s="154"/>
      <c r="H3583" s="154"/>
      <c r="I3583" s="154"/>
      <c r="J3583" s="153"/>
      <c r="K3583" s="132"/>
      <c r="L3583" s="133"/>
    </row>
    <row r="3584" spans="1:14" ht="13.5" thickBot="1" x14ac:dyDescent="0.25">
      <c r="A3584" s="614" t="s">
        <v>62</v>
      </c>
      <c r="B3584" s="648"/>
      <c r="C3584" s="648"/>
      <c r="D3584" s="648"/>
      <c r="E3584" s="648"/>
      <c r="F3584" s="648"/>
      <c r="G3584" s="648"/>
      <c r="H3584" s="648"/>
      <c r="I3584" s="648"/>
      <c r="J3584" s="649"/>
      <c r="K3584" s="132"/>
      <c r="L3584" s="133"/>
    </row>
    <row r="3585" spans="1:12" x14ac:dyDescent="0.2">
      <c r="A3585" s="136"/>
      <c r="B3585" s="155"/>
      <c r="C3585" s="156"/>
      <c r="D3585" s="156"/>
      <c r="E3585" s="156"/>
      <c r="F3585" s="156"/>
      <c r="G3585" s="156"/>
      <c r="H3585" s="156"/>
      <c r="I3585" s="156"/>
      <c r="J3585" s="157"/>
      <c r="K3585" s="132"/>
      <c r="L3585" s="133"/>
    </row>
    <row r="3586" spans="1:12" ht="12.75" customHeight="1" x14ac:dyDescent="0.2">
      <c r="A3586" s="158" t="s">
        <v>63</v>
      </c>
      <c r="B3586" s="55"/>
      <c r="C3586" s="596" t="s">
        <v>496</v>
      </c>
      <c r="D3586" s="596"/>
      <c r="E3586" s="596"/>
      <c r="F3586" s="596"/>
      <c r="G3586" s="596"/>
      <c r="H3586" s="596"/>
      <c r="I3586" s="596"/>
      <c r="J3586" s="597"/>
      <c r="K3586" s="132"/>
      <c r="L3586" s="133"/>
    </row>
    <row r="3587" spans="1:12" x14ac:dyDescent="0.2">
      <c r="A3587" s="158"/>
      <c r="B3587" s="55"/>
      <c r="C3587" s="596"/>
      <c r="D3587" s="596"/>
      <c r="E3587" s="596"/>
      <c r="F3587" s="596"/>
      <c r="G3587" s="596"/>
      <c r="H3587" s="596"/>
      <c r="I3587" s="596"/>
      <c r="J3587" s="597"/>
      <c r="K3587" s="132"/>
      <c r="L3587" s="133"/>
    </row>
    <row r="3588" spans="1:12" x14ac:dyDescent="0.2">
      <c r="A3588" s="158"/>
      <c r="B3588" s="55"/>
      <c r="C3588" s="175"/>
      <c r="D3588" s="175"/>
      <c r="E3588" s="175"/>
      <c r="F3588" s="175"/>
      <c r="G3588" s="175"/>
      <c r="H3588" s="175"/>
      <c r="I3588" s="175"/>
      <c r="J3588" s="176"/>
      <c r="K3588" s="132"/>
      <c r="L3588" s="133"/>
    </row>
    <row r="3589" spans="1:12" ht="12.75" customHeight="1" x14ac:dyDescent="0.2">
      <c r="A3589" s="598" t="s">
        <v>64</v>
      </c>
      <c r="B3589" s="638"/>
      <c r="C3589" s="634" t="s">
        <v>66</v>
      </c>
      <c r="D3589" s="634"/>
      <c r="E3589" s="634"/>
      <c r="F3589" s="634"/>
      <c r="G3589" s="634"/>
      <c r="H3589" s="634"/>
      <c r="I3589" s="634"/>
      <c r="J3589" s="635"/>
      <c r="K3589" s="132"/>
      <c r="L3589" s="133"/>
    </row>
    <row r="3590" spans="1:12" x14ac:dyDescent="0.2">
      <c r="A3590" s="158"/>
      <c r="B3590" s="55"/>
      <c r="C3590" s="175"/>
      <c r="D3590" s="175"/>
      <c r="E3590" s="175"/>
      <c r="F3590" s="175"/>
      <c r="G3590" s="175"/>
      <c r="H3590" s="175"/>
      <c r="I3590" s="175"/>
      <c r="J3590" s="176"/>
      <c r="K3590" s="132"/>
      <c r="L3590" s="133"/>
    </row>
    <row r="3591" spans="1:12" x14ac:dyDescent="0.2">
      <c r="A3591" s="158"/>
      <c r="B3591" s="55"/>
      <c r="C3591" s="175"/>
      <c r="D3591" s="175"/>
      <c r="E3591" s="175"/>
      <c r="F3591" s="175"/>
      <c r="G3591" s="175"/>
      <c r="H3591" s="175"/>
      <c r="I3591" s="175"/>
      <c r="J3591" s="176"/>
      <c r="K3591" s="132"/>
      <c r="L3591" s="133"/>
    </row>
    <row r="3592" spans="1:12" x14ac:dyDescent="0.2">
      <c r="A3592" s="158"/>
      <c r="B3592" s="55"/>
      <c r="C3592" s="175"/>
      <c r="D3592" s="175"/>
      <c r="E3592" s="175"/>
      <c r="F3592" s="175"/>
      <c r="G3592" s="175"/>
      <c r="H3592" s="175"/>
      <c r="I3592" s="175"/>
      <c r="J3592" s="176"/>
      <c r="K3592" s="132"/>
      <c r="L3592" s="133"/>
    </row>
    <row r="3593" spans="1:12" x14ac:dyDescent="0.2">
      <c r="A3593" s="158"/>
      <c r="B3593" s="55"/>
      <c r="C3593" s="71"/>
      <c r="D3593" s="71"/>
      <c r="E3593" s="71"/>
      <c r="F3593" s="71"/>
      <c r="G3593" s="71"/>
      <c r="H3593" s="71"/>
      <c r="I3593" s="71"/>
      <c r="J3593" s="174"/>
      <c r="K3593" s="132"/>
      <c r="L3593" s="133"/>
    </row>
    <row r="3594" spans="1:12" x14ac:dyDescent="0.2">
      <c r="A3594" s="158"/>
      <c r="B3594" s="55"/>
      <c r="C3594" s="71"/>
      <c r="D3594" s="71"/>
      <c r="E3594" s="71"/>
      <c r="F3594" s="71"/>
      <c r="G3594" s="71"/>
      <c r="H3594" s="71"/>
      <c r="I3594" s="71"/>
      <c r="J3594" s="174"/>
      <c r="K3594" s="132"/>
      <c r="L3594" s="133"/>
    </row>
    <row r="3595" spans="1:12" x14ac:dyDescent="0.2">
      <c r="A3595" s="158"/>
      <c r="B3595" s="55"/>
      <c r="C3595" s="71"/>
      <c r="D3595" s="71"/>
      <c r="E3595" s="71"/>
      <c r="F3595" s="71"/>
      <c r="G3595" s="71"/>
      <c r="H3595" s="71"/>
      <c r="I3595" s="71"/>
      <c r="J3595" s="174"/>
      <c r="K3595" s="132"/>
      <c r="L3595" s="133"/>
    </row>
    <row r="3596" spans="1:12" x14ac:dyDescent="0.2">
      <c r="A3596" s="158"/>
      <c r="B3596" s="55"/>
      <c r="C3596" s="71"/>
      <c r="D3596" s="71"/>
      <c r="E3596" s="71"/>
      <c r="F3596" s="71"/>
      <c r="G3596" s="71"/>
      <c r="H3596" s="71"/>
      <c r="I3596" s="71"/>
      <c r="J3596" s="174"/>
      <c r="K3596" s="132"/>
      <c r="L3596" s="133"/>
    </row>
    <row r="3597" spans="1:12" x14ac:dyDescent="0.2">
      <c r="A3597" s="158"/>
      <c r="B3597" s="55"/>
      <c r="C3597" s="71"/>
      <c r="D3597" s="71"/>
      <c r="E3597" s="71"/>
      <c r="F3597" s="71"/>
      <c r="G3597" s="71"/>
      <c r="H3597" s="71"/>
      <c r="I3597" s="71"/>
      <c r="J3597" s="174"/>
      <c r="K3597" s="132"/>
      <c r="L3597" s="133"/>
    </row>
    <row r="3598" spans="1:12" x14ac:dyDescent="0.2">
      <c r="A3598" s="158"/>
      <c r="B3598" s="55"/>
      <c r="C3598" s="71"/>
      <c r="D3598" s="71"/>
      <c r="E3598" s="71"/>
      <c r="F3598" s="71"/>
      <c r="G3598" s="71"/>
      <c r="H3598" s="71"/>
      <c r="I3598" s="71"/>
      <c r="J3598" s="174"/>
      <c r="K3598" s="132"/>
      <c r="L3598" s="133"/>
    </row>
    <row r="3599" spans="1:12" x14ac:dyDescent="0.2">
      <c r="A3599" s="158"/>
      <c r="B3599" s="55"/>
      <c r="C3599" s="71"/>
      <c r="D3599" s="71"/>
      <c r="E3599" s="71"/>
      <c r="F3599" s="71"/>
      <c r="G3599" s="71"/>
      <c r="H3599" s="71"/>
      <c r="I3599" s="71"/>
      <c r="J3599" s="174"/>
      <c r="K3599" s="132"/>
      <c r="L3599" s="133"/>
    </row>
    <row r="3600" spans="1:12" x14ac:dyDescent="0.2">
      <c r="A3600" s="158"/>
      <c r="B3600" s="55"/>
      <c r="C3600" s="71"/>
      <c r="D3600" s="71"/>
      <c r="E3600" s="71"/>
      <c r="F3600" s="71"/>
      <c r="G3600" s="71"/>
      <c r="H3600" s="71"/>
      <c r="I3600" s="71"/>
      <c r="J3600" s="174"/>
      <c r="K3600" s="132"/>
      <c r="L3600" s="133"/>
    </row>
    <row r="3601" spans="1:14" x14ac:dyDescent="0.2">
      <c r="A3601" s="158"/>
      <c r="B3601" s="55"/>
      <c r="C3601" s="71"/>
      <c r="D3601" s="71"/>
      <c r="E3601" s="71"/>
      <c r="F3601" s="71"/>
      <c r="G3601" s="71"/>
      <c r="H3601" s="71"/>
      <c r="I3601" s="71"/>
      <c r="J3601" s="174"/>
      <c r="K3601" s="132"/>
      <c r="L3601" s="133"/>
    </row>
    <row r="3602" spans="1:14" x14ac:dyDescent="0.2">
      <c r="A3602" s="158"/>
      <c r="B3602" s="55"/>
      <c r="C3602" s="71"/>
      <c r="D3602" s="71"/>
      <c r="E3602" s="71"/>
      <c r="F3602" s="71"/>
      <c r="G3602" s="71"/>
      <c r="H3602" s="71"/>
      <c r="I3602" s="71"/>
      <c r="J3602" s="174"/>
      <c r="K3602" s="132"/>
      <c r="L3602" s="133"/>
    </row>
    <row r="3603" spans="1:14" x14ac:dyDescent="0.2">
      <c r="A3603" s="158"/>
      <c r="B3603" s="55"/>
      <c r="C3603" s="175"/>
      <c r="D3603" s="175"/>
      <c r="E3603" s="172"/>
      <c r="F3603" s="172"/>
      <c r="G3603" s="172"/>
      <c r="H3603" s="172"/>
      <c r="I3603" s="172"/>
      <c r="J3603" s="173"/>
      <c r="K3603" s="132"/>
      <c r="L3603" s="133"/>
    </row>
    <row r="3604" spans="1:14" x14ac:dyDescent="0.2">
      <c r="A3604" s="158"/>
      <c r="B3604" s="55"/>
      <c r="C3604" s="175"/>
      <c r="D3604" s="175"/>
      <c r="E3604" s="172"/>
      <c r="F3604" s="172"/>
      <c r="G3604" s="172"/>
      <c r="H3604" s="172"/>
      <c r="I3604" s="172"/>
      <c r="J3604" s="173"/>
      <c r="K3604" s="132"/>
      <c r="L3604" s="133"/>
    </row>
    <row r="3605" spans="1:14" x14ac:dyDescent="0.2">
      <c r="A3605" s="158"/>
      <c r="B3605" s="55"/>
      <c r="C3605" s="175"/>
      <c r="D3605" s="175"/>
      <c r="E3605" s="172"/>
      <c r="F3605" s="172"/>
      <c r="G3605" s="172"/>
      <c r="H3605" s="172"/>
      <c r="I3605" s="172"/>
      <c r="J3605" s="173"/>
      <c r="K3605" s="132"/>
      <c r="L3605" s="133"/>
    </row>
    <row r="3606" spans="1:14" x14ac:dyDescent="0.2">
      <c r="A3606" s="158"/>
      <c r="B3606" s="55"/>
      <c r="C3606" s="175"/>
      <c r="D3606" s="175"/>
      <c r="E3606" s="175"/>
      <c r="F3606" s="175"/>
      <c r="G3606" s="175"/>
      <c r="H3606" s="175"/>
      <c r="I3606" s="175"/>
      <c r="J3606" s="176"/>
      <c r="K3606" s="132"/>
      <c r="L3606" s="133"/>
    </row>
    <row r="3607" spans="1:14" x14ac:dyDescent="0.2">
      <c r="A3607" s="158"/>
      <c r="B3607" s="55"/>
      <c r="C3607" s="175"/>
      <c r="D3607" s="175"/>
      <c r="E3607" s="175"/>
      <c r="F3607" s="175"/>
      <c r="G3607" s="175"/>
      <c r="H3607" s="175"/>
      <c r="I3607" s="175"/>
      <c r="J3607" s="176"/>
      <c r="K3607" s="132"/>
      <c r="L3607" s="133"/>
    </row>
    <row r="3608" spans="1:14" ht="13.5" thickBot="1" x14ac:dyDescent="0.25">
      <c r="A3608" s="149"/>
      <c r="B3608" s="167"/>
      <c r="C3608" s="151"/>
      <c r="D3608" s="151"/>
      <c r="E3608" s="151"/>
      <c r="F3608" s="151"/>
      <c r="G3608" s="151"/>
      <c r="H3608" s="151"/>
      <c r="I3608" s="151"/>
      <c r="J3608" s="168"/>
      <c r="K3608" s="132"/>
      <c r="L3608" s="133"/>
    </row>
    <row r="3609" spans="1:14" ht="15.75" x14ac:dyDescent="0.2">
      <c r="A3609" s="602" t="s">
        <v>4</v>
      </c>
      <c r="B3609" s="603"/>
      <c r="C3609" s="637" t="str">
        <f>'A IV.A'!$B$112</f>
        <v>FORNECIMENTO E INSTALAÇÕES HIDRAULICAS - ITEM 9.0 DO TERMO DE REFERÊNCIA</v>
      </c>
      <c r="D3609" s="637"/>
      <c r="E3609" s="637"/>
      <c r="F3609" s="637"/>
      <c r="G3609" s="637"/>
      <c r="H3609" s="637"/>
      <c r="I3609" s="637"/>
      <c r="J3609" s="719"/>
      <c r="K3609" s="132"/>
      <c r="L3609" s="133"/>
    </row>
    <row r="3610" spans="1:14" ht="12.75" customHeight="1" x14ac:dyDescent="0.2">
      <c r="A3610" s="609" t="str">
        <f>'A IV.A'!$A$112</f>
        <v>4.0</v>
      </c>
      <c r="B3610" s="610"/>
      <c r="C3610" s="720"/>
      <c r="D3610" s="720"/>
      <c r="E3610" s="720"/>
      <c r="F3610" s="720"/>
      <c r="G3610" s="720"/>
      <c r="H3610" s="720"/>
      <c r="I3610" s="720"/>
      <c r="J3610" s="721"/>
      <c r="K3610" s="132"/>
      <c r="L3610" s="133"/>
    </row>
    <row r="3611" spans="1:14" ht="13.5" customHeight="1" thickBot="1" x14ac:dyDescent="0.25">
      <c r="A3611" s="611"/>
      <c r="B3611" s="612"/>
      <c r="C3611" s="722"/>
      <c r="D3611" s="722"/>
      <c r="E3611" s="722"/>
      <c r="F3611" s="722"/>
      <c r="G3611" s="722"/>
      <c r="H3611" s="722"/>
      <c r="I3611" s="722"/>
      <c r="J3611" s="723"/>
      <c r="K3611" s="132"/>
      <c r="L3611" s="133"/>
    </row>
    <row r="3612" spans="1:14" ht="13.5" thickBot="1" x14ac:dyDescent="0.25">
      <c r="A3612" s="169"/>
      <c r="B3612" s="169"/>
      <c r="C3612" s="613"/>
      <c r="D3612" s="613"/>
      <c r="E3612" s="613"/>
      <c r="F3612" s="613"/>
      <c r="G3612" s="613"/>
      <c r="H3612" s="613"/>
      <c r="I3612" s="613"/>
      <c r="J3612" s="169"/>
      <c r="K3612" s="132"/>
      <c r="L3612" s="133"/>
    </row>
    <row r="3613" spans="1:14" ht="13.5" thickBot="1" x14ac:dyDescent="0.25">
      <c r="A3613" s="632" t="s">
        <v>60</v>
      </c>
      <c r="B3613" s="633"/>
      <c r="C3613" s="656" t="s">
        <v>61</v>
      </c>
      <c r="D3613" s="656"/>
      <c r="E3613" s="656"/>
      <c r="F3613" s="656"/>
      <c r="G3613" s="656"/>
      <c r="H3613" s="656"/>
      <c r="I3613" s="656"/>
      <c r="J3613" s="260" t="s">
        <v>0</v>
      </c>
      <c r="K3613" s="132"/>
      <c r="L3613" s="133"/>
    </row>
    <row r="3614" spans="1:14" x14ac:dyDescent="0.2">
      <c r="A3614" s="136"/>
      <c r="B3614" s="137"/>
      <c r="C3614" s="619"/>
      <c r="D3614" s="620"/>
      <c r="E3614" s="621"/>
      <c r="F3614" s="621"/>
      <c r="G3614" s="621"/>
      <c r="H3614" s="621"/>
      <c r="I3614" s="622"/>
      <c r="J3614" s="138"/>
      <c r="K3614" s="132"/>
      <c r="L3614" s="133"/>
    </row>
    <row r="3615" spans="1:14" ht="12.75" customHeight="1" x14ac:dyDescent="0.2">
      <c r="A3615" s="623" t="str">
        <f>'A IV.A'!A115</f>
        <v>4.2</v>
      </c>
      <c r="B3615" s="636"/>
      <c r="C3615" s="626" t="str">
        <f>'A IV.A'!B115</f>
        <v>RALO SECO DE PVC RÍGIDO, ALTURA 50MM, DIÂMETRO DE ENTRADA 40MM, COM GRELHA QUADRADA METÁLICA, DIMENSÕES 100X100MM</v>
      </c>
      <c r="D3615" s="627"/>
      <c r="E3615" s="627"/>
      <c r="F3615" s="627"/>
      <c r="G3615" s="627"/>
      <c r="H3615" s="627"/>
      <c r="I3615" s="628"/>
      <c r="J3615" s="629" t="str">
        <f>'A IV.A'!C115</f>
        <v>UN</v>
      </c>
      <c r="K3615" s="630" t="str">
        <f>VLOOKUP(A3615,'A IV.A'!$A$14:$M$233,2,FALSE)</f>
        <v>RALO SECO DE PVC RÍGIDO, ALTURA 50MM, DIÂMETRO DE ENTRADA 40MM, COM GRELHA QUADRADA METÁLICA, DIMENSÕES 100X100MM</v>
      </c>
      <c r="L3615" s="631" t="str">
        <f>IF(C3615=K3615,"sim","nao")</f>
        <v>sim</v>
      </c>
      <c r="M3615" s="631" t="str">
        <f>VLOOKUP(A3615,'A IV.A'!$A$14:$M$233,3,FALSE)</f>
        <v>UN</v>
      </c>
      <c r="N3615" s="631" t="str">
        <f>IF(J3615=M3615,"sim","nao")</f>
        <v>sim</v>
      </c>
    </row>
    <row r="3616" spans="1:14" x14ac:dyDescent="0.2">
      <c r="A3616" s="623"/>
      <c r="B3616" s="636"/>
      <c r="C3616" s="626"/>
      <c r="D3616" s="627"/>
      <c r="E3616" s="627"/>
      <c r="F3616" s="627"/>
      <c r="G3616" s="627"/>
      <c r="H3616" s="627"/>
      <c r="I3616" s="628"/>
      <c r="J3616" s="629"/>
      <c r="K3616" s="630"/>
      <c r="L3616" s="631"/>
      <c r="M3616" s="631"/>
      <c r="N3616" s="631"/>
    </row>
    <row r="3617" spans="1:14" x14ac:dyDescent="0.2">
      <c r="A3617" s="623"/>
      <c r="B3617" s="636"/>
      <c r="C3617" s="626"/>
      <c r="D3617" s="627"/>
      <c r="E3617" s="627"/>
      <c r="F3617" s="627"/>
      <c r="G3617" s="627"/>
      <c r="H3617" s="627"/>
      <c r="I3617" s="628"/>
      <c r="J3617" s="629"/>
      <c r="K3617" s="132"/>
      <c r="L3617" s="133"/>
    </row>
    <row r="3618" spans="1:14" x14ac:dyDescent="0.2">
      <c r="A3618" s="199"/>
      <c r="B3618" s="188"/>
      <c r="C3618" s="189"/>
      <c r="D3618" s="165"/>
      <c r="E3618" s="165"/>
      <c r="F3618" s="165"/>
      <c r="G3618" s="165"/>
      <c r="H3618" s="165"/>
      <c r="I3618" s="190"/>
      <c r="J3618" s="191"/>
      <c r="K3618" s="192"/>
      <c r="L3618" s="55"/>
      <c r="M3618" s="55"/>
      <c r="N3618" s="55"/>
    </row>
    <row r="3619" spans="1:14" x14ac:dyDescent="0.2">
      <c r="A3619" s="158"/>
      <c r="B3619" s="188"/>
      <c r="C3619" s="189"/>
      <c r="D3619" s="165"/>
      <c r="E3619" s="165"/>
      <c r="F3619" s="165"/>
      <c r="G3619" s="165"/>
      <c r="H3619" s="165"/>
      <c r="I3619" s="190"/>
      <c r="J3619" s="191"/>
      <c r="K3619" s="192"/>
      <c r="L3619" s="55"/>
      <c r="M3619" s="55"/>
      <c r="N3619" s="55"/>
    </row>
    <row r="3620" spans="1:14" x14ac:dyDescent="0.2">
      <c r="A3620" s="145"/>
      <c r="B3620" s="146"/>
      <c r="C3620" s="147"/>
      <c r="D3620" s="147"/>
      <c r="E3620" s="147"/>
      <c r="F3620" s="147"/>
      <c r="G3620" s="147"/>
      <c r="H3620" s="147"/>
      <c r="I3620" s="147"/>
      <c r="J3620" s="148"/>
      <c r="K3620" s="132"/>
      <c r="L3620" s="133"/>
    </row>
    <row r="3621" spans="1:14" x14ac:dyDescent="0.2">
      <c r="A3621" s="199"/>
      <c r="B3621" s="188"/>
      <c r="C3621" s="189"/>
      <c r="D3621" s="165"/>
      <c r="E3621" s="165"/>
      <c r="F3621" s="165"/>
      <c r="G3621" s="165"/>
      <c r="H3621" s="165"/>
      <c r="I3621" s="190"/>
      <c r="J3621" s="191"/>
      <c r="K3621" s="192"/>
      <c r="L3621" s="55"/>
      <c r="M3621" s="55"/>
      <c r="N3621" s="55"/>
    </row>
    <row r="3622" spans="1:14" x14ac:dyDescent="0.2">
      <c r="A3622" s="158"/>
      <c r="B3622" s="188"/>
      <c r="C3622" s="189"/>
      <c r="D3622" s="165"/>
      <c r="E3622" s="165"/>
      <c r="F3622" s="165"/>
      <c r="G3622" s="165"/>
      <c r="H3622" s="165"/>
      <c r="I3622" s="190"/>
      <c r="J3622" s="191"/>
      <c r="K3622" s="192"/>
      <c r="L3622" s="55"/>
      <c r="M3622" s="55"/>
      <c r="N3622" s="55"/>
    </row>
    <row r="3623" spans="1:14" x14ac:dyDescent="0.2">
      <c r="A3623" s="145"/>
      <c r="B3623" s="146"/>
      <c r="C3623" s="147"/>
      <c r="D3623" s="147"/>
      <c r="E3623" s="147"/>
      <c r="F3623" s="147"/>
      <c r="G3623" s="147"/>
      <c r="H3623" s="147"/>
      <c r="I3623" s="147"/>
      <c r="J3623" s="148"/>
      <c r="K3623" s="132"/>
      <c r="L3623" s="133"/>
    </row>
    <row r="3624" spans="1:14" x14ac:dyDescent="0.2">
      <c r="A3624" s="199"/>
      <c r="B3624" s="188"/>
      <c r="C3624" s="189"/>
      <c r="D3624" s="165"/>
      <c r="E3624" s="165"/>
      <c r="F3624" s="165"/>
      <c r="G3624" s="165"/>
      <c r="H3624" s="165"/>
      <c r="I3624" s="190"/>
      <c r="J3624" s="191"/>
      <c r="K3624" s="192"/>
      <c r="L3624" s="55"/>
      <c r="M3624" s="55"/>
      <c r="N3624" s="55"/>
    </row>
    <row r="3625" spans="1:14" x14ac:dyDescent="0.2">
      <c r="A3625" s="158"/>
      <c r="B3625" s="188"/>
      <c r="C3625" s="189"/>
      <c r="D3625" s="165"/>
      <c r="E3625" s="165"/>
      <c r="F3625" s="165"/>
      <c r="G3625" s="165"/>
      <c r="H3625" s="165"/>
      <c r="I3625" s="190"/>
      <c r="J3625" s="191"/>
      <c r="K3625" s="192"/>
      <c r="L3625" s="55"/>
      <c r="M3625" s="55"/>
      <c r="N3625" s="55"/>
    </row>
    <row r="3626" spans="1:14" x14ac:dyDescent="0.2">
      <c r="A3626" s="145"/>
      <c r="B3626" s="146"/>
      <c r="C3626" s="147"/>
      <c r="D3626" s="147"/>
      <c r="E3626" s="147"/>
      <c r="F3626" s="147"/>
      <c r="G3626" s="147"/>
      <c r="H3626" s="147"/>
      <c r="I3626" s="147"/>
      <c r="J3626" s="148"/>
      <c r="K3626" s="132"/>
      <c r="L3626" s="133"/>
    </row>
    <row r="3627" spans="1:14" x14ac:dyDescent="0.2">
      <c r="A3627" s="199"/>
      <c r="B3627" s="188"/>
      <c r="C3627" s="189"/>
      <c r="D3627" s="165"/>
      <c r="E3627" s="165"/>
      <c r="F3627" s="165"/>
      <c r="G3627" s="165"/>
      <c r="H3627" s="165"/>
      <c r="I3627" s="190"/>
      <c r="J3627" s="191"/>
      <c r="K3627" s="192"/>
      <c r="L3627" s="55"/>
      <c r="M3627" s="55"/>
      <c r="N3627" s="55"/>
    </row>
    <row r="3628" spans="1:14" x14ac:dyDescent="0.2">
      <c r="A3628" s="158"/>
      <c r="B3628" s="188"/>
      <c r="C3628" s="189"/>
      <c r="D3628" s="165"/>
      <c r="E3628" s="165"/>
      <c r="F3628" s="165"/>
      <c r="G3628" s="165"/>
      <c r="H3628" s="165"/>
      <c r="I3628" s="190"/>
      <c r="J3628" s="191"/>
      <c r="K3628" s="192"/>
      <c r="L3628" s="55"/>
      <c r="M3628" s="55"/>
      <c r="N3628" s="55"/>
    </row>
    <row r="3629" spans="1:14" x14ac:dyDescent="0.2">
      <c r="A3629" s="145"/>
      <c r="B3629" s="146"/>
      <c r="C3629" s="147"/>
      <c r="D3629" s="147"/>
      <c r="E3629" s="147"/>
      <c r="F3629" s="147"/>
      <c r="G3629" s="147"/>
      <c r="H3629" s="147"/>
      <c r="I3629" s="147"/>
      <c r="J3629" s="148"/>
      <c r="K3629" s="132"/>
      <c r="L3629" s="133"/>
    </row>
    <row r="3630" spans="1:14" x14ac:dyDescent="0.2">
      <c r="A3630" s="199"/>
      <c r="B3630" s="188"/>
      <c r="C3630" s="189"/>
      <c r="D3630" s="165"/>
      <c r="E3630" s="165"/>
      <c r="F3630" s="165"/>
      <c r="G3630" s="165"/>
      <c r="H3630" s="165"/>
      <c r="I3630" s="190"/>
      <c r="J3630" s="191"/>
      <c r="K3630" s="192"/>
      <c r="L3630" s="55"/>
      <c r="M3630" s="55"/>
      <c r="N3630" s="55"/>
    </row>
    <row r="3631" spans="1:14" x14ac:dyDescent="0.2">
      <c r="A3631" s="158"/>
      <c r="B3631" s="188"/>
      <c r="C3631" s="189"/>
      <c r="D3631" s="165"/>
      <c r="E3631" s="165"/>
      <c r="F3631" s="165"/>
      <c r="G3631" s="165"/>
      <c r="H3631" s="165"/>
      <c r="I3631" s="190"/>
      <c r="J3631" s="191"/>
      <c r="K3631" s="192"/>
      <c r="L3631" s="55"/>
      <c r="M3631" s="55"/>
      <c r="N3631" s="55"/>
    </row>
    <row r="3632" spans="1:14" x14ac:dyDescent="0.2">
      <c r="A3632" s="145"/>
      <c r="B3632" s="146"/>
      <c r="C3632" s="147"/>
      <c r="D3632" s="147"/>
      <c r="E3632" s="147"/>
      <c r="F3632" s="147"/>
      <c r="G3632" s="147"/>
      <c r="H3632" s="147"/>
      <c r="I3632" s="147"/>
      <c r="J3632" s="148"/>
      <c r="K3632" s="132"/>
      <c r="L3632" s="133"/>
    </row>
    <row r="3633" spans="1:14" x14ac:dyDescent="0.2">
      <c r="A3633" s="199"/>
      <c r="B3633" s="188"/>
      <c r="C3633" s="189"/>
      <c r="D3633" s="165"/>
      <c r="E3633" s="165"/>
      <c r="F3633" s="165"/>
      <c r="G3633" s="165"/>
      <c r="H3633" s="165"/>
      <c r="I3633" s="190"/>
      <c r="J3633" s="191"/>
      <c r="K3633" s="192"/>
      <c r="L3633" s="55"/>
      <c r="M3633" s="55"/>
      <c r="N3633" s="55"/>
    </row>
    <row r="3634" spans="1:14" x14ac:dyDescent="0.2">
      <c r="A3634" s="158"/>
      <c r="B3634" s="188"/>
      <c r="C3634" s="189"/>
      <c r="D3634" s="165"/>
      <c r="E3634" s="165"/>
      <c r="F3634" s="165"/>
      <c r="G3634" s="165"/>
      <c r="H3634" s="165"/>
      <c r="I3634" s="190"/>
      <c r="J3634" s="191"/>
      <c r="K3634" s="192"/>
      <c r="L3634" s="55"/>
      <c r="M3634" s="55"/>
      <c r="N3634" s="55"/>
    </row>
    <row r="3635" spans="1:14" x14ac:dyDescent="0.2">
      <c r="A3635" s="145"/>
      <c r="B3635" s="146"/>
      <c r="C3635" s="147"/>
      <c r="D3635" s="147"/>
      <c r="E3635" s="147"/>
      <c r="F3635" s="147"/>
      <c r="G3635" s="147"/>
      <c r="H3635" s="147"/>
      <c r="I3635" s="147"/>
      <c r="J3635" s="148"/>
      <c r="K3635" s="132"/>
      <c r="L3635" s="133"/>
    </row>
    <row r="3636" spans="1:14" ht="13.5" thickBot="1" x14ac:dyDescent="0.25">
      <c r="A3636" s="149"/>
      <c r="B3636" s="150"/>
      <c r="C3636" s="151"/>
      <c r="D3636" s="151"/>
      <c r="E3636" s="151"/>
      <c r="F3636" s="151"/>
      <c r="G3636" s="151"/>
      <c r="H3636" s="151"/>
      <c r="I3636" s="151"/>
      <c r="J3636" s="152"/>
      <c r="K3636" s="132"/>
      <c r="L3636" s="133"/>
    </row>
    <row r="3637" spans="1:14" ht="13.5" thickBot="1" x14ac:dyDescent="0.25">
      <c r="A3637" s="153"/>
      <c r="B3637" s="153"/>
      <c r="C3637" s="154"/>
      <c r="D3637" s="154"/>
      <c r="E3637" s="154"/>
      <c r="F3637" s="154"/>
      <c r="G3637" s="154"/>
      <c r="H3637" s="154"/>
      <c r="I3637" s="154"/>
      <c r="J3637" s="153"/>
      <c r="K3637" s="132"/>
      <c r="L3637" s="133"/>
    </row>
    <row r="3638" spans="1:14" ht="13.5" thickBot="1" x14ac:dyDescent="0.25">
      <c r="A3638" s="614" t="s">
        <v>62</v>
      </c>
      <c r="B3638" s="648"/>
      <c r="C3638" s="648"/>
      <c r="D3638" s="648"/>
      <c r="E3638" s="648"/>
      <c r="F3638" s="648"/>
      <c r="G3638" s="648"/>
      <c r="H3638" s="648"/>
      <c r="I3638" s="648"/>
      <c r="J3638" s="649"/>
      <c r="K3638" s="132"/>
      <c r="L3638" s="133"/>
    </row>
    <row r="3639" spans="1:14" x14ac:dyDescent="0.2">
      <c r="A3639" s="136"/>
      <c r="B3639" s="155"/>
      <c r="C3639" s="156"/>
      <c r="D3639" s="156"/>
      <c r="E3639" s="156"/>
      <c r="F3639" s="156"/>
      <c r="G3639" s="156"/>
      <c r="H3639" s="156"/>
      <c r="I3639" s="156"/>
      <c r="J3639" s="157"/>
      <c r="K3639" s="132"/>
      <c r="L3639" s="133"/>
    </row>
    <row r="3640" spans="1:14" x14ac:dyDescent="0.2">
      <c r="A3640" s="158" t="s">
        <v>63</v>
      </c>
      <c r="B3640" s="55"/>
      <c r="C3640" s="596" t="s">
        <v>497</v>
      </c>
      <c r="D3640" s="596"/>
      <c r="E3640" s="596"/>
      <c r="F3640" s="596"/>
      <c r="G3640" s="596"/>
      <c r="H3640" s="596"/>
      <c r="I3640" s="596"/>
      <c r="J3640" s="597"/>
      <c r="K3640" s="132"/>
      <c r="L3640" s="133"/>
    </row>
    <row r="3641" spans="1:14" x14ac:dyDescent="0.2">
      <c r="A3641" s="158"/>
      <c r="B3641" s="55"/>
      <c r="C3641" s="596"/>
      <c r="D3641" s="596"/>
      <c r="E3641" s="596"/>
      <c r="F3641" s="596"/>
      <c r="G3641" s="596"/>
      <c r="H3641" s="596"/>
      <c r="I3641" s="596"/>
      <c r="J3641" s="597"/>
      <c r="K3641" s="132"/>
      <c r="L3641" s="133"/>
    </row>
    <row r="3642" spans="1:14" x14ac:dyDescent="0.2">
      <c r="A3642" s="158"/>
      <c r="B3642" s="55"/>
      <c r="C3642" s="175"/>
      <c r="D3642" s="175"/>
      <c r="E3642" s="175"/>
      <c r="F3642" s="175"/>
      <c r="G3642" s="175"/>
      <c r="H3642" s="175"/>
      <c r="I3642" s="175"/>
      <c r="J3642" s="176"/>
      <c r="K3642" s="132"/>
      <c r="L3642" s="133"/>
    </row>
    <row r="3643" spans="1:14" x14ac:dyDescent="0.2">
      <c r="A3643" s="598" t="s">
        <v>64</v>
      </c>
      <c r="B3643" s="638"/>
      <c r="C3643" s="634" t="s">
        <v>66</v>
      </c>
      <c r="D3643" s="634"/>
      <c r="E3643" s="634"/>
      <c r="F3643" s="634"/>
      <c r="G3643" s="634"/>
      <c r="H3643" s="634"/>
      <c r="I3643" s="634"/>
      <c r="J3643" s="635"/>
      <c r="K3643" s="132"/>
      <c r="L3643" s="133"/>
    </row>
    <row r="3644" spans="1:14" x14ac:dyDescent="0.2">
      <c r="A3644" s="158"/>
      <c r="B3644" s="55"/>
      <c r="C3644" s="175"/>
      <c r="D3644" s="175"/>
      <c r="E3644" s="175"/>
      <c r="F3644" s="175"/>
      <c r="G3644" s="175"/>
      <c r="H3644" s="175"/>
      <c r="I3644" s="175"/>
      <c r="J3644" s="176"/>
      <c r="K3644" s="132"/>
      <c r="L3644" s="133"/>
    </row>
    <row r="3645" spans="1:14" x14ac:dyDescent="0.2">
      <c r="A3645" s="158"/>
      <c r="B3645" s="55"/>
      <c r="C3645" s="175"/>
      <c r="D3645" s="175"/>
      <c r="E3645" s="175"/>
      <c r="F3645" s="175"/>
      <c r="G3645" s="175"/>
      <c r="H3645" s="175"/>
      <c r="I3645" s="175"/>
      <c r="J3645" s="176"/>
      <c r="K3645" s="132"/>
      <c r="L3645" s="133"/>
    </row>
    <row r="3646" spans="1:14" x14ac:dyDescent="0.2">
      <c r="A3646" s="158"/>
      <c r="B3646" s="55"/>
      <c r="C3646" s="175"/>
      <c r="D3646" s="175"/>
      <c r="E3646" s="175"/>
      <c r="F3646" s="175"/>
      <c r="G3646" s="175"/>
      <c r="H3646" s="175"/>
      <c r="I3646" s="175"/>
      <c r="J3646" s="176"/>
      <c r="K3646" s="132"/>
      <c r="L3646" s="133"/>
    </row>
    <row r="3647" spans="1:14" x14ac:dyDescent="0.2">
      <c r="A3647" s="158"/>
      <c r="B3647" s="55"/>
      <c r="C3647" s="71"/>
      <c r="D3647" s="71"/>
      <c r="E3647" s="71"/>
      <c r="F3647" s="71"/>
      <c r="G3647" s="71"/>
      <c r="H3647" s="71"/>
      <c r="I3647" s="71"/>
      <c r="J3647" s="174"/>
      <c r="K3647" s="132"/>
      <c r="L3647" s="133"/>
    </row>
    <row r="3648" spans="1:14" x14ac:dyDescent="0.2">
      <c r="A3648" s="158"/>
      <c r="B3648" s="55"/>
      <c r="C3648" s="71"/>
      <c r="D3648" s="71"/>
      <c r="E3648" s="71"/>
      <c r="F3648" s="71"/>
      <c r="G3648" s="71"/>
      <c r="H3648" s="71"/>
      <c r="I3648" s="71"/>
      <c r="J3648" s="174"/>
      <c r="K3648" s="132"/>
      <c r="L3648" s="133"/>
    </row>
    <row r="3649" spans="1:12" x14ac:dyDescent="0.2">
      <c r="A3649" s="158"/>
      <c r="B3649" s="55"/>
      <c r="C3649" s="71"/>
      <c r="D3649" s="71"/>
      <c r="E3649" s="71"/>
      <c r="F3649" s="71"/>
      <c r="G3649" s="71"/>
      <c r="H3649" s="71"/>
      <c r="I3649" s="71"/>
      <c r="J3649" s="174"/>
      <c r="K3649" s="132"/>
      <c r="L3649" s="133"/>
    </row>
    <row r="3650" spans="1:12" x14ac:dyDescent="0.2">
      <c r="A3650" s="158"/>
      <c r="B3650" s="55"/>
      <c r="C3650" s="71"/>
      <c r="D3650" s="71"/>
      <c r="E3650" s="71"/>
      <c r="F3650" s="71"/>
      <c r="G3650" s="71"/>
      <c r="H3650" s="71"/>
      <c r="I3650" s="71"/>
      <c r="J3650" s="174"/>
      <c r="K3650" s="132"/>
      <c r="L3650" s="133"/>
    </row>
    <row r="3651" spans="1:12" x14ac:dyDescent="0.2">
      <c r="A3651" s="158"/>
      <c r="B3651" s="55"/>
      <c r="C3651" s="71"/>
      <c r="D3651" s="71"/>
      <c r="E3651" s="71"/>
      <c r="F3651" s="71"/>
      <c r="G3651" s="71"/>
      <c r="H3651" s="71"/>
      <c r="I3651" s="71"/>
      <c r="J3651" s="174"/>
      <c r="K3651" s="132"/>
      <c r="L3651" s="133"/>
    </row>
    <row r="3652" spans="1:12" x14ac:dyDescent="0.2">
      <c r="A3652" s="158"/>
      <c r="B3652" s="55"/>
      <c r="C3652" s="71"/>
      <c r="D3652" s="71"/>
      <c r="E3652" s="71"/>
      <c r="F3652" s="71"/>
      <c r="G3652" s="71"/>
      <c r="H3652" s="71"/>
      <c r="I3652" s="71"/>
      <c r="J3652" s="174"/>
      <c r="K3652" s="132"/>
      <c r="L3652" s="133"/>
    </row>
    <row r="3653" spans="1:12" x14ac:dyDescent="0.2">
      <c r="A3653" s="158"/>
      <c r="B3653" s="55"/>
      <c r="C3653" s="71"/>
      <c r="D3653" s="71"/>
      <c r="E3653" s="71"/>
      <c r="F3653" s="71"/>
      <c r="G3653" s="71"/>
      <c r="H3653" s="71"/>
      <c r="I3653" s="71"/>
      <c r="J3653" s="174"/>
      <c r="K3653" s="132"/>
      <c r="L3653" s="133"/>
    </row>
    <row r="3654" spans="1:12" x14ac:dyDescent="0.2">
      <c r="A3654" s="158"/>
      <c r="B3654" s="55"/>
      <c r="C3654" s="71"/>
      <c r="D3654" s="71"/>
      <c r="E3654" s="71"/>
      <c r="F3654" s="71"/>
      <c r="G3654" s="71"/>
      <c r="H3654" s="71"/>
      <c r="I3654" s="71"/>
      <c r="J3654" s="174"/>
      <c r="K3654" s="132"/>
      <c r="L3654" s="133"/>
    </row>
    <row r="3655" spans="1:12" x14ac:dyDescent="0.2">
      <c r="A3655" s="158"/>
      <c r="B3655" s="55"/>
      <c r="C3655" s="71"/>
      <c r="D3655" s="71"/>
      <c r="E3655" s="71"/>
      <c r="F3655" s="71"/>
      <c r="G3655" s="71"/>
      <c r="H3655" s="71"/>
      <c r="I3655" s="71"/>
      <c r="J3655" s="174"/>
      <c r="K3655" s="132"/>
      <c r="L3655" s="133"/>
    </row>
    <row r="3656" spans="1:12" x14ac:dyDescent="0.2">
      <c r="A3656" s="158"/>
      <c r="B3656" s="55"/>
      <c r="C3656" s="71"/>
      <c r="D3656" s="71"/>
      <c r="E3656" s="71"/>
      <c r="F3656" s="71"/>
      <c r="G3656" s="71"/>
      <c r="H3656" s="71"/>
      <c r="I3656" s="71"/>
      <c r="J3656" s="174"/>
      <c r="K3656" s="132"/>
      <c r="L3656" s="133"/>
    </row>
    <row r="3657" spans="1:12" x14ac:dyDescent="0.2">
      <c r="A3657" s="158"/>
      <c r="B3657" s="55"/>
      <c r="C3657" s="175"/>
      <c r="D3657" s="175"/>
      <c r="E3657" s="172"/>
      <c r="F3657" s="172"/>
      <c r="G3657" s="172"/>
      <c r="H3657" s="172"/>
      <c r="I3657" s="172"/>
      <c r="J3657" s="173"/>
      <c r="K3657" s="132"/>
      <c r="L3657" s="133"/>
    </row>
    <row r="3658" spans="1:12" x14ac:dyDescent="0.2">
      <c r="A3658" s="158"/>
      <c r="B3658" s="55"/>
      <c r="C3658" s="175"/>
      <c r="D3658" s="175"/>
      <c r="E3658" s="172"/>
      <c r="F3658" s="172"/>
      <c r="G3658" s="172"/>
      <c r="H3658" s="172"/>
      <c r="I3658" s="172"/>
      <c r="J3658" s="173"/>
      <c r="K3658" s="132"/>
      <c r="L3658" s="133"/>
    </row>
    <row r="3659" spans="1:12" x14ac:dyDescent="0.2">
      <c r="A3659" s="158"/>
      <c r="B3659" s="55"/>
      <c r="C3659" s="175"/>
      <c r="D3659" s="175"/>
      <c r="E3659" s="172"/>
      <c r="F3659" s="172"/>
      <c r="G3659" s="172"/>
      <c r="H3659" s="172"/>
      <c r="I3659" s="172"/>
      <c r="J3659" s="173"/>
      <c r="K3659" s="132"/>
      <c r="L3659" s="133"/>
    </row>
    <row r="3660" spans="1:12" x14ac:dyDescent="0.2">
      <c r="A3660" s="158"/>
      <c r="B3660" s="55"/>
      <c r="C3660" s="175"/>
      <c r="D3660" s="175"/>
      <c r="E3660" s="175"/>
      <c r="F3660" s="175"/>
      <c r="G3660" s="175"/>
      <c r="H3660" s="175"/>
      <c r="I3660" s="175"/>
      <c r="J3660" s="176"/>
      <c r="K3660" s="132"/>
      <c r="L3660" s="133"/>
    </row>
    <row r="3661" spans="1:12" x14ac:dyDescent="0.2">
      <c r="A3661" s="158"/>
      <c r="B3661" s="55"/>
      <c r="C3661" s="175"/>
      <c r="D3661" s="175"/>
      <c r="E3661" s="175"/>
      <c r="F3661" s="175"/>
      <c r="G3661" s="175"/>
      <c r="H3661" s="175"/>
      <c r="I3661" s="175"/>
      <c r="J3661" s="176"/>
      <c r="K3661" s="132"/>
      <c r="L3661" s="133"/>
    </row>
    <row r="3662" spans="1:12" ht="13.5" thickBot="1" x14ac:dyDescent="0.25">
      <c r="A3662" s="149"/>
      <c r="B3662" s="167"/>
      <c r="C3662" s="151"/>
      <c r="D3662" s="151"/>
      <c r="E3662" s="151"/>
      <c r="F3662" s="151"/>
      <c r="G3662" s="151"/>
      <c r="H3662" s="151"/>
      <c r="I3662" s="151"/>
      <c r="J3662" s="168"/>
      <c r="K3662" s="132"/>
      <c r="L3662" s="133"/>
    </row>
    <row r="3663" spans="1:12" ht="15.75" x14ac:dyDescent="0.2">
      <c r="A3663" s="602" t="s">
        <v>4</v>
      </c>
      <c r="B3663" s="603"/>
      <c r="C3663" s="637" t="str">
        <f>'A IV.A'!$B$112</f>
        <v>FORNECIMENTO E INSTALAÇÕES HIDRAULICAS - ITEM 9.0 DO TERMO DE REFERÊNCIA</v>
      </c>
      <c r="D3663" s="637"/>
      <c r="E3663" s="637"/>
      <c r="F3663" s="637"/>
      <c r="G3663" s="637"/>
      <c r="H3663" s="637"/>
      <c r="I3663" s="637"/>
      <c r="J3663" s="719"/>
      <c r="K3663" s="132"/>
      <c r="L3663" s="133"/>
    </row>
    <row r="3664" spans="1:12" ht="12.75" customHeight="1" x14ac:dyDescent="0.2">
      <c r="A3664" s="609" t="str">
        <f>'A IV.A'!$A$112</f>
        <v>4.0</v>
      </c>
      <c r="B3664" s="610"/>
      <c r="C3664" s="720"/>
      <c r="D3664" s="720"/>
      <c r="E3664" s="720"/>
      <c r="F3664" s="720"/>
      <c r="G3664" s="720"/>
      <c r="H3664" s="720"/>
      <c r="I3664" s="720"/>
      <c r="J3664" s="721"/>
      <c r="K3664" s="132"/>
      <c r="L3664" s="133"/>
    </row>
    <row r="3665" spans="1:14" ht="13.5" customHeight="1" thickBot="1" x14ac:dyDescent="0.25">
      <c r="A3665" s="611"/>
      <c r="B3665" s="612"/>
      <c r="C3665" s="722"/>
      <c r="D3665" s="722"/>
      <c r="E3665" s="722"/>
      <c r="F3665" s="722"/>
      <c r="G3665" s="722"/>
      <c r="H3665" s="722"/>
      <c r="I3665" s="722"/>
      <c r="J3665" s="723"/>
      <c r="K3665" s="132"/>
      <c r="L3665" s="133"/>
    </row>
    <row r="3666" spans="1:14" ht="13.5" thickBot="1" x14ac:dyDescent="0.25">
      <c r="A3666" s="169"/>
      <c r="B3666" s="169"/>
      <c r="C3666" s="613"/>
      <c r="D3666" s="613"/>
      <c r="E3666" s="613"/>
      <c r="F3666" s="613"/>
      <c r="G3666" s="613"/>
      <c r="H3666" s="613"/>
      <c r="I3666" s="613"/>
      <c r="J3666" s="169"/>
      <c r="K3666" s="132"/>
      <c r="L3666" s="133"/>
    </row>
    <row r="3667" spans="1:14" ht="13.5" thickBot="1" x14ac:dyDescent="0.25">
      <c r="A3667" s="632" t="s">
        <v>60</v>
      </c>
      <c r="B3667" s="633"/>
      <c r="C3667" s="656" t="s">
        <v>61</v>
      </c>
      <c r="D3667" s="656"/>
      <c r="E3667" s="656"/>
      <c r="F3667" s="656"/>
      <c r="G3667" s="656"/>
      <c r="H3667" s="656"/>
      <c r="I3667" s="656"/>
      <c r="J3667" s="260" t="s">
        <v>0</v>
      </c>
      <c r="K3667" s="132"/>
      <c r="L3667" s="133"/>
    </row>
    <row r="3668" spans="1:14" x14ac:dyDescent="0.2">
      <c r="A3668" s="136"/>
      <c r="B3668" s="137"/>
      <c r="C3668" s="619"/>
      <c r="D3668" s="620"/>
      <c r="E3668" s="621"/>
      <c r="F3668" s="621"/>
      <c r="G3668" s="621"/>
      <c r="H3668" s="621"/>
      <c r="I3668" s="622"/>
      <c r="J3668" s="138"/>
      <c r="K3668" s="132"/>
      <c r="L3668" s="133"/>
    </row>
    <row r="3669" spans="1:14" ht="12.75" customHeight="1" x14ac:dyDescent="0.2">
      <c r="A3669" s="623" t="str">
        <f>'A IV.A'!A116</f>
        <v>4.3</v>
      </c>
      <c r="B3669" s="636"/>
      <c r="C3669" s="626" t="str">
        <f>'A IV.A'!B116</f>
        <v xml:space="preserve">CAIXA SIFONADA DE PVC RÍGIDO, ALTURA DE 50MM, COM GRELHA REDONDA DE PVC BRANCO, NAS DIMENSÕES DN = 150MM </v>
      </c>
      <c r="D3669" s="627"/>
      <c r="E3669" s="627"/>
      <c r="F3669" s="627"/>
      <c r="G3669" s="627"/>
      <c r="H3669" s="627"/>
      <c r="I3669" s="628"/>
      <c r="J3669" s="629" t="str">
        <f>'A IV.A'!C116</f>
        <v>UN</v>
      </c>
      <c r="K3669" s="630" t="str">
        <f>VLOOKUP(A3669,'A IV.A'!$A$14:$M$233,2,FALSE)</f>
        <v xml:space="preserve">CAIXA SIFONADA DE PVC RÍGIDO, ALTURA DE 50MM, COM GRELHA REDONDA DE PVC BRANCO, NAS DIMENSÕES DN = 150MM </v>
      </c>
      <c r="L3669" s="631" t="str">
        <f>IF(C3669=K3669,"sim","nao")</f>
        <v>sim</v>
      </c>
      <c r="M3669" s="631" t="str">
        <f>VLOOKUP(A3669,'A IV.A'!$A$14:$M$233,3,FALSE)</f>
        <v>UN</v>
      </c>
      <c r="N3669" s="631" t="str">
        <f>IF(J3669=M3669,"sim","nao")</f>
        <v>sim</v>
      </c>
    </row>
    <row r="3670" spans="1:14" x14ac:dyDescent="0.2">
      <c r="A3670" s="623"/>
      <c r="B3670" s="636"/>
      <c r="C3670" s="626"/>
      <c r="D3670" s="627"/>
      <c r="E3670" s="627"/>
      <c r="F3670" s="627"/>
      <c r="G3670" s="627"/>
      <c r="H3670" s="627"/>
      <c r="I3670" s="628"/>
      <c r="J3670" s="629"/>
      <c r="K3670" s="630"/>
      <c r="L3670" s="631"/>
      <c r="M3670" s="631"/>
      <c r="N3670" s="631"/>
    </row>
    <row r="3671" spans="1:14" x14ac:dyDescent="0.2">
      <c r="A3671" s="623"/>
      <c r="B3671" s="636"/>
      <c r="C3671" s="626"/>
      <c r="D3671" s="627"/>
      <c r="E3671" s="627"/>
      <c r="F3671" s="627"/>
      <c r="G3671" s="627"/>
      <c r="H3671" s="627"/>
      <c r="I3671" s="628"/>
      <c r="J3671" s="629"/>
      <c r="K3671" s="132"/>
      <c r="L3671" s="133"/>
    </row>
    <row r="3672" spans="1:14" x14ac:dyDescent="0.2">
      <c r="A3672" s="199"/>
      <c r="B3672" s="188"/>
      <c r="C3672" s="189"/>
      <c r="D3672" s="165"/>
      <c r="E3672" s="165"/>
      <c r="F3672" s="165"/>
      <c r="G3672" s="165"/>
      <c r="H3672" s="165"/>
      <c r="I3672" s="190"/>
      <c r="J3672" s="191"/>
      <c r="K3672" s="192"/>
      <c r="L3672" s="55"/>
      <c r="M3672" s="55"/>
      <c r="N3672" s="55"/>
    </row>
    <row r="3673" spans="1:14" x14ac:dyDescent="0.2">
      <c r="A3673" s="158"/>
      <c r="B3673" s="188"/>
      <c r="C3673" s="189"/>
      <c r="D3673" s="165"/>
      <c r="E3673" s="165"/>
      <c r="F3673" s="165"/>
      <c r="G3673" s="165"/>
      <c r="H3673" s="165"/>
      <c r="I3673" s="190"/>
      <c r="J3673" s="191"/>
      <c r="K3673" s="192"/>
      <c r="L3673" s="55"/>
      <c r="M3673" s="55"/>
      <c r="N3673" s="55"/>
    </row>
    <row r="3674" spans="1:14" x14ac:dyDescent="0.2">
      <c r="A3674" s="145"/>
      <c r="B3674" s="146"/>
      <c r="C3674" s="147"/>
      <c r="D3674" s="147"/>
      <c r="E3674" s="147"/>
      <c r="F3674" s="147"/>
      <c r="G3674" s="147"/>
      <c r="H3674" s="147"/>
      <c r="I3674" s="147"/>
      <c r="J3674" s="148"/>
      <c r="K3674" s="132"/>
      <c r="L3674" s="133"/>
    </row>
    <row r="3675" spans="1:14" x14ac:dyDescent="0.2">
      <c r="A3675" s="199"/>
      <c r="B3675" s="188"/>
      <c r="C3675" s="189"/>
      <c r="D3675" s="165"/>
      <c r="E3675" s="165"/>
      <c r="F3675" s="165"/>
      <c r="G3675" s="165"/>
      <c r="H3675" s="165"/>
      <c r="I3675" s="190"/>
      <c r="J3675" s="191"/>
      <c r="K3675" s="192"/>
      <c r="L3675" s="55"/>
      <c r="M3675" s="55"/>
      <c r="N3675" s="55"/>
    </row>
    <row r="3676" spans="1:14" x14ac:dyDescent="0.2">
      <c r="A3676" s="158"/>
      <c r="B3676" s="188"/>
      <c r="C3676" s="189"/>
      <c r="D3676" s="165"/>
      <c r="E3676" s="165"/>
      <c r="F3676" s="165"/>
      <c r="G3676" s="165"/>
      <c r="H3676" s="165"/>
      <c r="I3676" s="190"/>
      <c r="J3676" s="191"/>
      <c r="K3676" s="192"/>
      <c r="L3676" s="55"/>
      <c r="M3676" s="55"/>
      <c r="N3676" s="55"/>
    </row>
    <row r="3677" spans="1:14" x14ac:dyDescent="0.2">
      <c r="A3677" s="145"/>
      <c r="B3677" s="146"/>
      <c r="C3677" s="147"/>
      <c r="D3677" s="147"/>
      <c r="E3677" s="147"/>
      <c r="F3677" s="147"/>
      <c r="G3677" s="147"/>
      <c r="H3677" s="147"/>
      <c r="I3677" s="147"/>
      <c r="J3677" s="148"/>
      <c r="K3677" s="132"/>
      <c r="L3677" s="133"/>
    </row>
    <row r="3678" spans="1:14" x14ac:dyDescent="0.2">
      <c r="A3678" s="199"/>
      <c r="B3678" s="188"/>
      <c r="C3678" s="189"/>
      <c r="D3678" s="165"/>
      <c r="E3678" s="165"/>
      <c r="F3678" s="165"/>
      <c r="G3678" s="165"/>
      <c r="H3678" s="165"/>
      <c r="I3678" s="190"/>
      <c r="J3678" s="191"/>
      <c r="K3678" s="192"/>
      <c r="L3678" s="55"/>
      <c r="M3678" s="55"/>
      <c r="N3678" s="55"/>
    </row>
    <row r="3679" spans="1:14" x14ac:dyDescent="0.2">
      <c r="A3679" s="158"/>
      <c r="B3679" s="188"/>
      <c r="C3679" s="189"/>
      <c r="D3679" s="165"/>
      <c r="E3679" s="165"/>
      <c r="F3679" s="165"/>
      <c r="G3679" s="165"/>
      <c r="H3679" s="165"/>
      <c r="I3679" s="190"/>
      <c r="J3679" s="191"/>
      <c r="K3679" s="192"/>
      <c r="L3679" s="55"/>
      <c r="M3679" s="55"/>
      <c r="N3679" s="55"/>
    </row>
    <row r="3680" spans="1:14" x14ac:dyDescent="0.2">
      <c r="A3680" s="145"/>
      <c r="B3680" s="146"/>
      <c r="C3680" s="147"/>
      <c r="D3680" s="147"/>
      <c r="E3680" s="147"/>
      <c r="F3680" s="147"/>
      <c r="G3680" s="147"/>
      <c r="H3680" s="147"/>
      <c r="I3680" s="147"/>
      <c r="J3680" s="148"/>
      <c r="K3680" s="132"/>
      <c r="L3680" s="133"/>
    </row>
    <row r="3681" spans="1:14" x14ac:dyDescent="0.2">
      <c r="A3681" s="199"/>
      <c r="B3681" s="188"/>
      <c r="C3681" s="189"/>
      <c r="D3681" s="165"/>
      <c r="E3681" s="165"/>
      <c r="F3681" s="165"/>
      <c r="G3681" s="165"/>
      <c r="H3681" s="165"/>
      <c r="I3681" s="190"/>
      <c r="J3681" s="191"/>
      <c r="K3681" s="192"/>
      <c r="L3681" s="55"/>
      <c r="M3681" s="55"/>
      <c r="N3681" s="55"/>
    </row>
    <row r="3682" spans="1:14" x14ac:dyDescent="0.2">
      <c r="A3682" s="158"/>
      <c r="B3682" s="188"/>
      <c r="C3682" s="189"/>
      <c r="D3682" s="165"/>
      <c r="E3682" s="165"/>
      <c r="F3682" s="165"/>
      <c r="G3682" s="165"/>
      <c r="H3682" s="165"/>
      <c r="I3682" s="190"/>
      <c r="J3682" s="191"/>
      <c r="K3682" s="192"/>
      <c r="L3682" s="55"/>
      <c r="M3682" s="55"/>
      <c r="N3682" s="55"/>
    </row>
    <row r="3683" spans="1:14" x14ac:dyDescent="0.2">
      <c r="A3683" s="145"/>
      <c r="B3683" s="146"/>
      <c r="C3683" s="147"/>
      <c r="D3683" s="147"/>
      <c r="E3683" s="147"/>
      <c r="F3683" s="147"/>
      <c r="G3683" s="147"/>
      <c r="H3683" s="147"/>
      <c r="I3683" s="147"/>
      <c r="J3683" s="148"/>
      <c r="K3683" s="132"/>
      <c r="L3683" s="133"/>
    </row>
    <row r="3684" spans="1:14" x14ac:dyDescent="0.2">
      <c r="A3684" s="199"/>
      <c r="B3684" s="188"/>
      <c r="C3684" s="189"/>
      <c r="D3684" s="165"/>
      <c r="E3684" s="165"/>
      <c r="F3684" s="165"/>
      <c r="G3684" s="165"/>
      <c r="H3684" s="165"/>
      <c r="I3684" s="190"/>
      <c r="J3684" s="191"/>
      <c r="K3684" s="192"/>
      <c r="L3684" s="55"/>
      <c r="M3684" s="55"/>
      <c r="N3684" s="55"/>
    </row>
    <row r="3685" spans="1:14" x14ac:dyDescent="0.2">
      <c r="A3685" s="158"/>
      <c r="B3685" s="188"/>
      <c r="C3685" s="189"/>
      <c r="D3685" s="165"/>
      <c r="E3685" s="165"/>
      <c r="F3685" s="165"/>
      <c r="G3685" s="165"/>
      <c r="H3685" s="165"/>
      <c r="I3685" s="190"/>
      <c r="J3685" s="191"/>
      <c r="K3685" s="192"/>
      <c r="L3685" s="55"/>
      <c r="M3685" s="55"/>
      <c r="N3685" s="55"/>
    </row>
    <row r="3686" spans="1:14" x14ac:dyDescent="0.2">
      <c r="A3686" s="145"/>
      <c r="B3686" s="146"/>
      <c r="C3686" s="147"/>
      <c r="D3686" s="147"/>
      <c r="E3686" s="147"/>
      <c r="F3686" s="147"/>
      <c r="G3686" s="147"/>
      <c r="H3686" s="147"/>
      <c r="I3686" s="147"/>
      <c r="J3686" s="148"/>
      <c r="K3686" s="132"/>
      <c r="L3686" s="133"/>
    </row>
    <row r="3687" spans="1:14" x14ac:dyDescent="0.2">
      <c r="A3687" s="199"/>
      <c r="B3687" s="188"/>
      <c r="C3687" s="189"/>
      <c r="D3687" s="165"/>
      <c r="E3687" s="165"/>
      <c r="F3687" s="165"/>
      <c r="G3687" s="165"/>
      <c r="H3687" s="165"/>
      <c r="I3687" s="190"/>
      <c r="J3687" s="191"/>
      <c r="K3687" s="192"/>
      <c r="L3687" s="55"/>
      <c r="M3687" s="55"/>
      <c r="N3687" s="55"/>
    </row>
    <row r="3688" spans="1:14" x14ac:dyDescent="0.2">
      <c r="A3688" s="158"/>
      <c r="B3688" s="188"/>
      <c r="C3688" s="189"/>
      <c r="D3688" s="165"/>
      <c r="E3688" s="165"/>
      <c r="F3688" s="165"/>
      <c r="G3688" s="165"/>
      <c r="H3688" s="165"/>
      <c r="I3688" s="190"/>
      <c r="J3688" s="191"/>
      <c r="K3688" s="192"/>
      <c r="L3688" s="55"/>
      <c r="M3688" s="55"/>
      <c r="N3688" s="55"/>
    </row>
    <row r="3689" spans="1:14" x14ac:dyDescent="0.2">
      <c r="A3689" s="145"/>
      <c r="B3689" s="146"/>
      <c r="C3689" s="147"/>
      <c r="D3689" s="147"/>
      <c r="E3689" s="147"/>
      <c r="F3689" s="147"/>
      <c r="G3689" s="147"/>
      <c r="H3689" s="147"/>
      <c r="I3689" s="147"/>
      <c r="J3689" s="148"/>
      <c r="K3689" s="132"/>
      <c r="L3689" s="133"/>
    </row>
    <row r="3690" spans="1:14" ht="13.5" thickBot="1" x14ac:dyDescent="0.25">
      <c r="A3690" s="149"/>
      <c r="B3690" s="150"/>
      <c r="C3690" s="151"/>
      <c r="D3690" s="151"/>
      <c r="E3690" s="151"/>
      <c r="F3690" s="151"/>
      <c r="G3690" s="151"/>
      <c r="H3690" s="151"/>
      <c r="I3690" s="151"/>
      <c r="J3690" s="152"/>
      <c r="K3690" s="132"/>
      <c r="L3690" s="133"/>
    </row>
    <row r="3691" spans="1:14" ht="13.5" thickBot="1" x14ac:dyDescent="0.25">
      <c r="A3691" s="153"/>
      <c r="B3691" s="153"/>
      <c r="C3691" s="154"/>
      <c r="D3691" s="154"/>
      <c r="E3691" s="154"/>
      <c r="F3691" s="154"/>
      <c r="G3691" s="154"/>
      <c r="H3691" s="154"/>
      <c r="I3691" s="154"/>
      <c r="J3691" s="153"/>
      <c r="K3691" s="132"/>
      <c r="L3691" s="133"/>
    </row>
    <row r="3692" spans="1:14" ht="13.5" thickBot="1" x14ac:dyDescent="0.25">
      <c r="A3692" s="614" t="s">
        <v>62</v>
      </c>
      <c r="B3692" s="648"/>
      <c r="C3692" s="648"/>
      <c r="D3692" s="648"/>
      <c r="E3692" s="648"/>
      <c r="F3692" s="648"/>
      <c r="G3692" s="648"/>
      <c r="H3692" s="648"/>
      <c r="I3692" s="648"/>
      <c r="J3692" s="649"/>
      <c r="K3692" s="132"/>
      <c r="L3692" s="133"/>
    </row>
    <row r="3693" spans="1:14" x14ac:dyDescent="0.2">
      <c r="A3693" s="136"/>
      <c r="B3693" s="155"/>
      <c r="C3693" s="156"/>
      <c r="D3693" s="156"/>
      <c r="E3693" s="156"/>
      <c r="F3693" s="156"/>
      <c r="G3693" s="156"/>
      <c r="H3693" s="156"/>
      <c r="I3693" s="156"/>
      <c r="J3693" s="157"/>
      <c r="K3693" s="132"/>
      <c r="L3693" s="133"/>
    </row>
    <row r="3694" spans="1:14" ht="12.75" customHeight="1" x14ac:dyDescent="0.2">
      <c r="A3694" s="158" t="s">
        <v>63</v>
      </c>
      <c r="B3694" s="55"/>
      <c r="C3694" s="596" t="s">
        <v>583</v>
      </c>
      <c r="D3694" s="596"/>
      <c r="E3694" s="596"/>
      <c r="F3694" s="596"/>
      <c r="G3694" s="596"/>
      <c r="H3694" s="596"/>
      <c r="I3694" s="596"/>
      <c r="J3694" s="597"/>
      <c r="K3694" s="132"/>
      <c r="L3694" s="133"/>
    </row>
    <row r="3695" spans="1:14" x14ac:dyDescent="0.2">
      <c r="A3695" s="158"/>
      <c r="B3695" s="55"/>
      <c r="C3695" s="596"/>
      <c r="D3695" s="596"/>
      <c r="E3695" s="596"/>
      <c r="F3695" s="596"/>
      <c r="G3695" s="596"/>
      <c r="H3695" s="596"/>
      <c r="I3695" s="596"/>
      <c r="J3695" s="597"/>
      <c r="K3695" s="132"/>
      <c r="L3695" s="133"/>
    </row>
    <row r="3696" spans="1:14" x14ac:dyDescent="0.2">
      <c r="A3696" s="158"/>
      <c r="B3696" s="55"/>
      <c r="C3696" s="596"/>
      <c r="D3696" s="596"/>
      <c r="E3696" s="596"/>
      <c r="F3696" s="596"/>
      <c r="G3696" s="596"/>
      <c r="H3696" s="596"/>
      <c r="I3696" s="596"/>
      <c r="J3696" s="597"/>
      <c r="K3696" s="132"/>
      <c r="L3696" s="133"/>
    </row>
    <row r="3697" spans="1:12" x14ac:dyDescent="0.2">
      <c r="A3697" s="158"/>
      <c r="B3697" s="55"/>
      <c r="C3697" s="175"/>
      <c r="D3697" s="175"/>
      <c r="E3697" s="175"/>
      <c r="F3697" s="175"/>
      <c r="G3697" s="175"/>
      <c r="H3697" s="175"/>
      <c r="I3697" s="175"/>
      <c r="J3697" s="176"/>
      <c r="K3697" s="132"/>
      <c r="L3697" s="133"/>
    </row>
    <row r="3698" spans="1:12" x14ac:dyDescent="0.2">
      <c r="A3698" s="598" t="s">
        <v>64</v>
      </c>
      <c r="B3698" s="638"/>
      <c r="C3698" s="634" t="s">
        <v>582</v>
      </c>
      <c r="D3698" s="634"/>
      <c r="E3698" s="634"/>
      <c r="F3698" s="634"/>
      <c r="G3698" s="634"/>
      <c r="H3698" s="634"/>
      <c r="I3698" s="634"/>
      <c r="J3698" s="635"/>
      <c r="K3698" s="132"/>
      <c r="L3698" s="133"/>
    </row>
    <row r="3699" spans="1:12" x14ac:dyDescent="0.2">
      <c r="A3699" s="158"/>
      <c r="B3699" s="55"/>
      <c r="C3699" s="175"/>
      <c r="D3699" s="175"/>
      <c r="E3699" s="175"/>
      <c r="F3699" s="175"/>
      <c r="G3699" s="175"/>
      <c r="H3699" s="175"/>
      <c r="I3699" s="175"/>
      <c r="J3699" s="176"/>
      <c r="K3699" s="132"/>
      <c r="L3699" s="133"/>
    </row>
    <row r="3700" spans="1:12" x14ac:dyDescent="0.2">
      <c r="A3700" s="158"/>
      <c r="B3700" s="55"/>
      <c r="C3700" s="71"/>
      <c r="D3700" s="71"/>
      <c r="E3700" s="71"/>
      <c r="F3700" s="71"/>
      <c r="G3700" s="71"/>
      <c r="H3700" s="71"/>
      <c r="I3700" s="71"/>
      <c r="J3700" s="174"/>
      <c r="K3700" s="132"/>
      <c r="L3700" s="133"/>
    </row>
    <row r="3701" spans="1:12" x14ac:dyDescent="0.2">
      <c r="A3701" s="158"/>
      <c r="B3701" s="55"/>
      <c r="C3701" s="71"/>
      <c r="D3701" s="71"/>
      <c r="E3701" s="71"/>
      <c r="F3701" s="71"/>
      <c r="G3701" s="71"/>
      <c r="H3701" s="71"/>
      <c r="I3701" s="71"/>
      <c r="J3701" s="174"/>
      <c r="K3701" s="132"/>
      <c r="L3701" s="133"/>
    </row>
    <row r="3702" spans="1:12" x14ac:dyDescent="0.2">
      <c r="A3702" s="158"/>
      <c r="B3702" s="55"/>
      <c r="C3702" s="71"/>
      <c r="D3702" s="71"/>
      <c r="E3702" s="71"/>
      <c r="F3702" s="71"/>
      <c r="G3702" s="71"/>
      <c r="H3702" s="71"/>
      <c r="I3702" s="71"/>
      <c r="J3702" s="174"/>
      <c r="K3702" s="132"/>
      <c r="L3702" s="133"/>
    </row>
    <row r="3703" spans="1:12" x14ac:dyDescent="0.2">
      <c r="A3703" s="158"/>
      <c r="B3703" s="55"/>
      <c r="C3703" s="71"/>
      <c r="D3703" s="71"/>
      <c r="E3703" s="71"/>
      <c r="F3703" s="71"/>
      <c r="G3703" s="71"/>
      <c r="H3703" s="71"/>
      <c r="I3703" s="71"/>
      <c r="J3703" s="174"/>
      <c r="K3703" s="132"/>
      <c r="L3703" s="133"/>
    </row>
    <row r="3704" spans="1:12" x14ac:dyDescent="0.2">
      <c r="J3704" s="315"/>
      <c r="K3704" s="132"/>
      <c r="L3704" s="133"/>
    </row>
    <row r="3705" spans="1:12" x14ac:dyDescent="0.2">
      <c r="A3705" s="158"/>
      <c r="B3705" s="55"/>
      <c r="C3705" s="71"/>
      <c r="D3705" s="71"/>
      <c r="E3705" s="71"/>
      <c r="F3705" s="71"/>
      <c r="G3705" s="71"/>
      <c r="H3705" s="71"/>
      <c r="I3705" s="71"/>
      <c r="J3705" s="174"/>
      <c r="K3705" s="132"/>
      <c r="L3705" s="133"/>
    </row>
    <row r="3706" spans="1:12" x14ac:dyDescent="0.2">
      <c r="A3706" s="158"/>
      <c r="B3706" s="55"/>
      <c r="C3706" s="71"/>
      <c r="D3706" s="71"/>
      <c r="E3706" s="71"/>
      <c r="F3706" s="71"/>
      <c r="G3706" s="71"/>
      <c r="H3706" s="71"/>
      <c r="I3706" s="71"/>
      <c r="J3706" s="174"/>
      <c r="K3706" s="132"/>
      <c r="L3706" s="133"/>
    </row>
    <row r="3707" spans="1:12" x14ac:dyDescent="0.2">
      <c r="A3707" s="158"/>
      <c r="B3707" s="55"/>
      <c r="C3707" s="71"/>
      <c r="D3707" s="71"/>
      <c r="E3707" s="71"/>
      <c r="F3707" s="71"/>
      <c r="G3707" s="71"/>
      <c r="H3707" s="71"/>
      <c r="I3707" s="71"/>
      <c r="J3707" s="174"/>
      <c r="K3707" s="132"/>
      <c r="L3707" s="133"/>
    </row>
    <row r="3708" spans="1:12" x14ac:dyDescent="0.2">
      <c r="A3708" s="158"/>
      <c r="B3708" s="55"/>
      <c r="C3708" s="71"/>
      <c r="D3708" s="71"/>
      <c r="E3708" s="71"/>
      <c r="F3708" s="71"/>
      <c r="G3708" s="71"/>
      <c r="H3708" s="71"/>
      <c r="I3708" s="71"/>
      <c r="J3708" s="174"/>
      <c r="K3708" s="132"/>
      <c r="L3708" s="133"/>
    </row>
    <row r="3709" spans="1:12" x14ac:dyDescent="0.2">
      <c r="A3709" s="158"/>
      <c r="B3709" s="55"/>
      <c r="C3709" s="71"/>
      <c r="D3709" s="71"/>
      <c r="E3709" s="71"/>
      <c r="F3709" s="71"/>
      <c r="G3709" s="71"/>
      <c r="H3709" s="71"/>
      <c r="I3709" s="71"/>
      <c r="J3709" s="174"/>
      <c r="K3709" s="132"/>
      <c r="L3709" s="133"/>
    </row>
    <row r="3710" spans="1:12" x14ac:dyDescent="0.2">
      <c r="A3710" s="158"/>
      <c r="B3710" s="55"/>
      <c r="C3710" s="71"/>
      <c r="D3710" s="71"/>
      <c r="E3710" s="71"/>
      <c r="F3710" s="71"/>
      <c r="G3710" s="71"/>
      <c r="H3710" s="71"/>
      <c r="I3710" s="71"/>
      <c r="J3710" s="174"/>
      <c r="K3710" s="132"/>
      <c r="L3710" s="133"/>
    </row>
    <row r="3711" spans="1:12" x14ac:dyDescent="0.2">
      <c r="A3711" s="158"/>
      <c r="B3711" s="55"/>
      <c r="C3711" s="175"/>
      <c r="D3711" s="175"/>
      <c r="E3711" s="172"/>
      <c r="F3711" s="172"/>
      <c r="G3711" s="172"/>
      <c r="H3711" s="172"/>
      <c r="I3711" s="172"/>
      <c r="J3711" s="173"/>
      <c r="K3711" s="132"/>
      <c r="L3711" s="133"/>
    </row>
    <row r="3712" spans="1:12" x14ac:dyDescent="0.2">
      <c r="A3712" s="158"/>
      <c r="B3712" s="55"/>
      <c r="C3712" s="175"/>
      <c r="D3712" s="175"/>
      <c r="E3712" s="172"/>
      <c r="F3712" s="172"/>
      <c r="G3712" s="172"/>
      <c r="H3712" s="172"/>
      <c r="I3712" s="172"/>
      <c r="J3712" s="173"/>
      <c r="K3712" s="132"/>
      <c r="L3712" s="133"/>
    </row>
    <row r="3713" spans="1:14" x14ac:dyDescent="0.2">
      <c r="A3713" s="158"/>
      <c r="B3713" s="55"/>
      <c r="C3713" s="175"/>
      <c r="D3713" s="175"/>
      <c r="E3713" s="172"/>
      <c r="F3713" s="172"/>
      <c r="G3713" s="172"/>
      <c r="H3713" s="172"/>
      <c r="I3713" s="172"/>
      <c r="J3713" s="173"/>
      <c r="K3713" s="132"/>
      <c r="L3713" s="133"/>
    </row>
    <row r="3714" spans="1:14" x14ac:dyDescent="0.2">
      <c r="A3714" s="158"/>
      <c r="B3714" s="55"/>
      <c r="C3714" s="175"/>
      <c r="D3714" s="175"/>
      <c r="E3714" s="175"/>
      <c r="F3714" s="175"/>
      <c r="G3714" s="175"/>
      <c r="H3714" s="175"/>
      <c r="I3714" s="175"/>
      <c r="J3714" s="176"/>
      <c r="K3714" s="132"/>
      <c r="L3714" s="133"/>
    </row>
    <row r="3715" spans="1:14" x14ac:dyDescent="0.2">
      <c r="A3715" s="158"/>
      <c r="B3715" s="55"/>
      <c r="C3715" s="175"/>
      <c r="D3715" s="175"/>
      <c r="E3715" s="175"/>
      <c r="F3715" s="175"/>
      <c r="G3715" s="175"/>
      <c r="H3715" s="175"/>
      <c r="I3715" s="175"/>
      <c r="J3715" s="176"/>
      <c r="K3715" s="132"/>
      <c r="L3715" s="133"/>
    </row>
    <row r="3716" spans="1:14" ht="13.5" thickBot="1" x14ac:dyDescent="0.25">
      <c r="A3716" s="149"/>
      <c r="B3716" s="167"/>
      <c r="C3716" s="151"/>
      <c r="D3716" s="151"/>
      <c r="E3716" s="151"/>
      <c r="F3716" s="151"/>
      <c r="G3716" s="151"/>
      <c r="H3716" s="151"/>
      <c r="I3716" s="151"/>
      <c r="J3716" s="168"/>
      <c r="K3716" s="132"/>
      <c r="L3716" s="133"/>
    </row>
    <row r="3717" spans="1:14" ht="15.75" x14ac:dyDescent="0.2">
      <c r="A3717" s="602" t="s">
        <v>4</v>
      </c>
      <c r="B3717" s="603"/>
      <c r="C3717" s="637" t="str">
        <f>'A IV.A'!$B$112</f>
        <v>FORNECIMENTO E INSTALAÇÕES HIDRAULICAS - ITEM 9.0 DO TERMO DE REFERÊNCIA</v>
      </c>
      <c r="D3717" s="637"/>
      <c r="E3717" s="637"/>
      <c r="F3717" s="637"/>
      <c r="G3717" s="637"/>
      <c r="H3717" s="637"/>
      <c r="I3717" s="637"/>
      <c r="J3717" s="719"/>
      <c r="K3717" s="132"/>
      <c r="L3717" s="133"/>
    </row>
    <row r="3718" spans="1:14" ht="12.75" customHeight="1" x14ac:dyDescent="0.2">
      <c r="A3718" s="609" t="str">
        <f>'A IV.A'!$A$112</f>
        <v>4.0</v>
      </c>
      <c r="B3718" s="610"/>
      <c r="C3718" s="720"/>
      <c r="D3718" s="720"/>
      <c r="E3718" s="720"/>
      <c r="F3718" s="720"/>
      <c r="G3718" s="720"/>
      <c r="H3718" s="720"/>
      <c r="I3718" s="720"/>
      <c r="J3718" s="721"/>
      <c r="K3718" s="132"/>
      <c r="L3718" s="133"/>
    </row>
    <row r="3719" spans="1:14" ht="13.5" customHeight="1" thickBot="1" x14ac:dyDescent="0.25">
      <c r="A3719" s="611"/>
      <c r="B3719" s="612"/>
      <c r="C3719" s="722"/>
      <c r="D3719" s="722"/>
      <c r="E3719" s="722"/>
      <c r="F3719" s="722"/>
      <c r="G3719" s="722"/>
      <c r="H3719" s="722"/>
      <c r="I3719" s="722"/>
      <c r="J3719" s="723"/>
      <c r="K3719" s="132"/>
      <c r="L3719" s="133"/>
    </row>
    <row r="3720" spans="1:14" ht="13.5" thickBot="1" x14ac:dyDescent="0.25">
      <c r="A3720" s="169"/>
      <c r="B3720" s="169"/>
      <c r="C3720" s="613"/>
      <c r="D3720" s="613"/>
      <c r="E3720" s="613"/>
      <c r="F3720" s="613"/>
      <c r="G3720" s="613"/>
      <c r="H3720" s="613"/>
      <c r="I3720" s="613"/>
      <c r="J3720" s="169"/>
      <c r="K3720" s="132"/>
      <c r="L3720" s="133"/>
    </row>
    <row r="3721" spans="1:14" ht="13.5" customHeight="1" thickBot="1" x14ac:dyDescent="0.25">
      <c r="A3721" s="632" t="s">
        <v>60</v>
      </c>
      <c r="B3721" s="633"/>
      <c r="C3721" s="637" t="s">
        <v>61</v>
      </c>
      <c r="D3721" s="637"/>
      <c r="E3721" s="637"/>
      <c r="F3721" s="637"/>
      <c r="G3721" s="637"/>
      <c r="H3721" s="637"/>
      <c r="I3721" s="637"/>
      <c r="J3721" s="260" t="s">
        <v>0</v>
      </c>
      <c r="K3721" s="132"/>
      <c r="L3721" s="133"/>
    </row>
    <row r="3722" spans="1:14" x14ac:dyDescent="0.2">
      <c r="A3722" s="136"/>
      <c r="B3722" s="137"/>
      <c r="C3722" s="619"/>
      <c r="D3722" s="620"/>
      <c r="E3722" s="621"/>
      <c r="F3722" s="621"/>
      <c r="G3722" s="621"/>
      <c r="H3722" s="621"/>
      <c r="I3722" s="622"/>
      <c r="J3722" s="138"/>
      <c r="K3722" s="132"/>
      <c r="L3722" s="133"/>
    </row>
    <row r="3723" spans="1:14" ht="12.75" customHeight="1" x14ac:dyDescent="0.2">
      <c r="A3723" s="623" t="str">
        <f>'A IV.A'!A117</f>
        <v>4.4</v>
      </c>
      <c r="B3723" s="636"/>
      <c r="C3723" s="626" t="str">
        <f>'A IV.A'!B117</f>
        <v>TUBO PVC RÍGIDO SOLDÁVEL MARROM, DN = 25 MM (3/4'), INCLUSE CONEXÕES</v>
      </c>
      <c r="D3723" s="627"/>
      <c r="E3723" s="627"/>
      <c r="F3723" s="627"/>
      <c r="G3723" s="627"/>
      <c r="H3723" s="627"/>
      <c r="I3723" s="628"/>
      <c r="J3723" s="629" t="str">
        <f>'A IV.A'!C117</f>
        <v>M</v>
      </c>
      <c r="K3723" s="630" t="str">
        <f>VLOOKUP(A3723,'A IV.A'!$A$14:$M$233,2,FALSE)</f>
        <v>TUBO PVC RÍGIDO SOLDÁVEL MARROM, DN = 25 MM (3/4'), INCLUSE CONEXÕES</v>
      </c>
      <c r="L3723" s="631" t="str">
        <f>IF(C3723=K3723,"sim","nao")</f>
        <v>sim</v>
      </c>
      <c r="M3723" s="631" t="str">
        <f>VLOOKUP(A3723,'A IV.A'!$A$14:$M$233,3,FALSE)</f>
        <v>M</v>
      </c>
      <c r="N3723" s="631" t="str">
        <f>IF(J3723=M3723,"sim","nao")</f>
        <v>sim</v>
      </c>
    </row>
    <row r="3724" spans="1:14" x14ac:dyDescent="0.2">
      <c r="A3724" s="623"/>
      <c r="B3724" s="636"/>
      <c r="C3724" s="626"/>
      <c r="D3724" s="627"/>
      <c r="E3724" s="627"/>
      <c r="F3724" s="627"/>
      <c r="G3724" s="627"/>
      <c r="H3724" s="627"/>
      <c r="I3724" s="628"/>
      <c r="J3724" s="629"/>
      <c r="K3724" s="630"/>
      <c r="L3724" s="631"/>
      <c r="M3724" s="631"/>
      <c r="N3724" s="631"/>
    </row>
    <row r="3725" spans="1:14" x14ac:dyDescent="0.2">
      <c r="A3725" s="623"/>
      <c r="B3725" s="636"/>
      <c r="C3725" s="626"/>
      <c r="D3725" s="627"/>
      <c r="E3725" s="627"/>
      <c r="F3725" s="627"/>
      <c r="G3725" s="627"/>
      <c r="H3725" s="627"/>
      <c r="I3725" s="628"/>
      <c r="J3725" s="629"/>
      <c r="K3725" s="132"/>
      <c r="L3725" s="133"/>
    </row>
    <row r="3726" spans="1:14" x14ac:dyDescent="0.2">
      <c r="A3726" s="199"/>
      <c r="B3726" s="188"/>
      <c r="C3726" s="189"/>
      <c r="D3726" s="165"/>
      <c r="E3726" s="165"/>
      <c r="F3726" s="165"/>
      <c r="G3726" s="165"/>
      <c r="H3726" s="165"/>
      <c r="I3726" s="190"/>
      <c r="J3726" s="191"/>
      <c r="K3726" s="192"/>
      <c r="L3726" s="55"/>
      <c r="M3726" s="55"/>
      <c r="N3726" s="55"/>
    </row>
    <row r="3727" spans="1:14" x14ac:dyDescent="0.2">
      <c r="A3727" s="623" t="str">
        <f>'A IV.A'!A118</f>
        <v>4.5</v>
      </c>
      <c r="B3727" s="636"/>
      <c r="C3727" s="626" t="str">
        <f>'A IV.A'!B118</f>
        <v>TUBO PVC RÍGIDO SOLDÁVEL MARROM, DN = 40 MM (1.1/4'), INCLUSE CONEXÕES</v>
      </c>
      <c r="D3727" s="627"/>
      <c r="E3727" s="627"/>
      <c r="F3727" s="627"/>
      <c r="G3727" s="627"/>
      <c r="H3727" s="627"/>
      <c r="I3727" s="628"/>
      <c r="J3727" s="629" t="str">
        <f>'A IV.A'!C118</f>
        <v>M</v>
      </c>
      <c r="K3727" s="630" t="str">
        <f>VLOOKUP(A3727,'A IV.A'!$A$14:$M$233,2,FALSE)</f>
        <v>TUBO PVC RÍGIDO SOLDÁVEL MARROM, DN = 40 MM (1.1/4'), INCLUSE CONEXÕES</v>
      </c>
      <c r="L3727" s="631" t="str">
        <f>IF(C3727=K3727,"sim","nao")</f>
        <v>sim</v>
      </c>
      <c r="M3727" s="631" t="str">
        <f>VLOOKUP(A3727,'A IV.A'!$A$14:$M$233,3,FALSE)</f>
        <v>M</v>
      </c>
      <c r="N3727" s="631" t="str">
        <f>IF(J3727=M3727,"sim","nao")</f>
        <v>sim</v>
      </c>
    </row>
    <row r="3728" spans="1:14" x14ac:dyDescent="0.2">
      <c r="A3728" s="623"/>
      <c r="B3728" s="636"/>
      <c r="C3728" s="626"/>
      <c r="D3728" s="627"/>
      <c r="E3728" s="627"/>
      <c r="F3728" s="627"/>
      <c r="G3728" s="627"/>
      <c r="H3728" s="627"/>
      <c r="I3728" s="628"/>
      <c r="J3728" s="629"/>
      <c r="K3728" s="630"/>
      <c r="L3728" s="631"/>
      <c r="M3728" s="631"/>
      <c r="N3728" s="631"/>
    </row>
    <row r="3729" spans="1:14" x14ac:dyDescent="0.2">
      <c r="A3729" s="623"/>
      <c r="B3729" s="636"/>
      <c r="C3729" s="626"/>
      <c r="D3729" s="627"/>
      <c r="E3729" s="627"/>
      <c r="F3729" s="627"/>
      <c r="G3729" s="627"/>
      <c r="H3729" s="627"/>
      <c r="I3729" s="628"/>
      <c r="J3729" s="629"/>
      <c r="K3729" s="132"/>
      <c r="L3729" s="133"/>
    </row>
    <row r="3730" spans="1:14" x14ac:dyDescent="0.2">
      <c r="A3730" s="158"/>
      <c r="B3730" s="188"/>
      <c r="C3730" s="189"/>
      <c r="D3730" s="165"/>
      <c r="E3730" s="165"/>
      <c r="F3730" s="165"/>
      <c r="G3730" s="165"/>
      <c r="H3730" s="165"/>
      <c r="I3730" s="190"/>
      <c r="J3730" s="191"/>
      <c r="K3730" s="192"/>
      <c r="L3730" s="55"/>
      <c r="M3730" s="55"/>
      <c r="N3730" s="55"/>
    </row>
    <row r="3731" spans="1:14" x14ac:dyDescent="0.2">
      <c r="A3731" s="623" t="str">
        <f>'A IV.A'!A119</f>
        <v>4.6</v>
      </c>
      <c r="B3731" s="636"/>
      <c r="C3731" s="626" t="str">
        <f>'A IV.A'!B119</f>
        <v>TUBO PVC RÍGIDO SOLDÁVEL MARROM, DN = 50 MM (1.1/2'), INCLUSE CONEXÕES</v>
      </c>
      <c r="D3731" s="627"/>
      <c r="E3731" s="627"/>
      <c r="F3731" s="627"/>
      <c r="G3731" s="627"/>
      <c r="H3731" s="627"/>
      <c r="I3731" s="628"/>
      <c r="J3731" s="629" t="str">
        <f>'A IV.A'!C119</f>
        <v>M</v>
      </c>
      <c r="K3731" s="630" t="str">
        <f>VLOOKUP(A3731,'A IV.A'!$A$14:$M$233,2,FALSE)</f>
        <v>TUBO PVC RÍGIDO SOLDÁVEL MARROM, DN = 50 MM (1.1/2'), INCLUSE CONEXÕES</v>
      </c>
      <c r="L3731" s="631" t="str">
        <f>IF(C3731=K3731,"sim","nao")</f>
        <v>sim</v>
      </c>
      <c r="M3731" s="631" t="str">
        <f>VLOOKUP(A3731,'A IV.A'!$A$14:$M$233,3,FALSE)</f>
        <v>M</v>
      </c>
      <c r="N3731" s="631" t="str">
        <f>IF(J3731=M3731,"sim","nao")</f>
        <v>sim</v>
      </c>
    </row>
    <row r="3732" spans="1:14" x14ac:dyDescent="0.2">
      <c r="A3732" s="623"/>
      <c r="B3732" s="636"/>
      <c r="C3732" s="626"/>
      <c r="D3732" s="627"/>
      <c r="E3732" s="627"/>
      <c r="F3732" s="627"/>
      <c r="G3732" s="627"/>
      <c r="H3732" s="627"/>
      <c r="I3732" s="628"/>
      <c r="J3732" s="629"/>
      <c r="K3732" s="630"/>
      <c r="L3732" s="631"/>
      <c r="M3732" s="631"/>
      <c r="N3732" s="631"/>
    </row>
    <row r="3733" spans="1:14" x14ac:dyDescent="0.2">
      <c r="A3733" s="623"/>
      <c r="B3733" s="636"/>
      <c r="C3733" s="626"/>
      <c r="D3733" s="627"/>
      <c r="E3733" s="627"/>
      <c r="F3733" s="627"/>
      <c r="G3733" s="627"/>
      <c r="H3733" s="627"/>
      <c r="I3733" s="628"/>
      <c r="J3733" s="629"/>
      <c r="K3733" s="132"/>
      <c r="L3733" s="133"/>
    </row>
    <row r="3734" spans="1:14" x14ac:dyDescent="0.2">
      <c r="A3734" s="145"/>
      <c r="B3734" s="146"/>
      <c r="C3734" s="147"/>
      <c r="D3734" s="147"/>
      <c r="E3734" s="147"/>
      <c r="F3734" s="147"/>
      <c r="G3734" s="147"/>
      <c r="H3734" s="147"/>
      <c r="I3734" s="147"/>
      <c r="J3734" s="148"/>
      <c r="K3734" s="132"/>
      <c r="L3734" s="133"/>
    </row>
    <row r="3735" spans="1:14" x14ac:dyDescent="0.2">
      <c r="A3735" s="199"/>
      <c r="B3735" s="188"/>
      <c r="C3735" s="189"/>
      <c r="D3735" s="165"/>
      <c r="E3735" s="165"/>
      <c r="F3735" s="165"/>
      <c r="G3735" s="165"/>
      <c r="H3735" s="165"/>
      <c r="I3735" s="190"/>
      <c r="J3735" s="191"/>
      <c r="K3735" s="192"/>
      <c r="L3735" s="55"/>
      <c r="M3735" s="55"/>
      <c r="N3735" s="55"/>
    </row>
    <row r="3736" spans="1:14" x14ac:dyDescent="0.2">
      <c r="A3736" s="158"/>
      <c r="B3736" s="188"/>
      <c r="C3736" s="189"/>
      <c r="D3736" s="165"/>
      <c r="E3736" s="165"/>
      <c r="F3736" s="165"/>
      <c r="G3736" s="165"/>
      <c r="H3736" s="165"/>
      <c r="I3736" s="190"/>
      <c r="J3736" s="191"/>
      <c r="K3736" s="192"/>
      <c r="L3736" s="55"/>
      <c r="M3736" s="55"/>
      <c r="N3736" s="55"/>
    </row>
    <row r="3737" spans="1:14" x14ac:dyDescent="0.2">
      <c r="A3737" s="145"/>
      <c r="B3737" s="146"/>
      <c r="C3737" s="147"/>
      <c r="D3737" s="147"/>
      <c r="E3737" s="147"/>
      <c r="F3737" s="147"/>
      <c r="G3737" s="147"/>
      <c r="H3737" s="147"/>
      <c r="I3737" s="147"/>
      <c r="J3737" s="148"/>
      <c r="K3737" s="132"/>
      <c r="L3737" s="133"/>
    </row>
    <row r="3738" spans="1:14" x14ac:dyDescent="0.2">
      <c r="A3738" s="199"/>
      <c r="B3738" s="188"/>
      <c r="C3738" s="189"/>
      <c r="D3738" s="165"/>
      <c r="E3738" s="165"/>
      <c r="F3738" s="165"/>
      <c r="G3738" s="165"/>
      <c r="H3738" s="165"/>
      <c r="I3738" s="190"/>
      <c r="J3738" s="191"/>
      <c r="K3738" s="192"/>
      <c r="L3738" s="55"/>
      <c r="M3738" s="55"/>
      <c r="N3738" s="55"/>
    </row>
    <row r="3739" spans="1:14" x14ac:dyDescent="0.2">
      <c r="A3739" s="158"/>
      <c r="B3739" s="188"/>
      <c r="C3739" s="189"/>
      <c r="D3739" s="165"/>
      <c r="E3739" s="165"/>
      <c r="F3739" s="165"/>
      <c r="G3739" s="165"/>
      <c r="H3739" s="165"/>
      <c r="I3739" s="190"/>
      <c r="J3739" s="191"/>
      <c r="K3739" s="192"/>
      <c r="L3739" s="55"/>
      <c r="M3739" s="55"/>
      <c r="N3739" s="55"/>
    </row>
    <row r="3740" spans="1:14" x14ac:dyDescent="0.2">
      <c r="A3740" s="145"/>
      <c r="B3740" s="146"/>
      <c r="C3740" s="147"/>
      <c r="D3740" s="147"/>
      <c r="E3740" s="147"/>
      <c r="F3740" s="147"/>
      <c r="G3740" s="147"/>
      <c r="H3740" s="147"/>
      <c r="I3740" s="147"/>
      <c r="J3740" s="148"/>
      <c r="K3740" s="132"/>
      <c r="L3740" s="133"/>
    </row>
    <row r="3741" spans="1:14" x14ac:dyDescent="0.2">
      <c r="A3741" s="199"/>
      <c r="B3741" s="188"/>
      <c r="C3741" s="189"/>
      <c r="D3741" s="165"/>
      <c r="E3741" s="165"/>
      <c r="F3741" s="165"/>
      <c r="G3741" s="165"/>
      <c r="H3741" s="165"/>
      <c r="I3741" s="190"/>
      <c r="J3741" s="191"/>
      <c r="K3741" s="192"/>
      <c r="L3741" s="55"/>
      <c r="M3741" s="55"/>
      <c r="N3741" s="55"/>
    </row>
    <row r="3742" spans="1:14" x14ac:dyDescent="0.2">
      <c r="A3742" s="158"/>
      <c r="B3742" s="188"/>
      <c r="C3742" s="189"/>
      <c r="D3742" s="165"/>
      <c r="E3742" s="165"/>
      <c r="F3742" s="165"/>
      <c r="G3742" s="165"/>
      <c r="H3742" s="165"/>
      <c r="I3742" s="190"/>
      <c r="J3742" s="191"/>
      <c r="K3742" s="192"/>
      <c r="L3742" s="55"/>
      <c r="M3742" s="55"/>
      <c r="N3742" s="55"/>
    </row>
    <row r="3743" spans="1:14" x14ac:dyDescent="0.2">
      <c r="A3743" s="145"/>
      <c r="B3743" s="146"/>
      <c r="C3743" s="147"/>
      <c r="D3743" s="147"/>
      <c r="E3743" s="147"/>
      <c r="F3743" s="147"/>
      <c r="G3743" s="147"/>
      <c r="H3743" s="147"/>
      <c r="I3743" s="147"/>
      <c r="J3743" s="148"/>
      <c r="K3743" s="132"/>
      <c r="L3743" s="133"/>
    </row>
    <row r="3744" spans="1:14" ht="13.5" thickBot="1" x14ac:dyDescent="0.25">
      <c r="A3744" s="149"/>
      <c r="B3744" s="150"/>
      <c r="C3744" s="151"/>
      <c r="D3744" s="151"/>
      <c r="E3744" s="151"/>
      <c r="F3744" s="151"/>
      <c r="G3744" s="151"/>
      <c r="H3744" s="151"/>
      <c r="I3744" s="151"/>
      <c r="J3744" s="152"/>
      <c r="K3744" s="132"/>
      <c r="L3744" s="133"/>
    </row>
    <row r="3745" spans="1:12" ht="13.5" thickBot="1" x14ac:dyDescent="0.25">
      <c r="A3745" s="153"/>
      <c r="B3745" s="153"/>
      <c r="C3745" s="154"/>
      <c r="D3745" s="154"/>
      <c r="E3745" s="154"/>
      <c r="F3745" s="154"/>
      <c r="G3745" s="154"/>
      <c r="H3745" s="154"/>
      <c r="I3745" s="154"/>
      <c r="J3745" s="153"/>
      <c r="K3745" s="132"/>
      <c r="L3745" s="133"/>
    </row>
    <row r="3746" spans="1:12" ht="13.5" thickBot="1" x14ac:dyDescent="0.25">
      <c r="A3746" s="614" t="s">
        <v>62</v>
      </c>
      <c r="B3746" s="648"/>
      <c r="C3746" s="648"/>
      <c r="D3746" s="648"/>
      <c r="E3746" s="648"/>
      <c r="F3746" s="648"/>
      <c r="G3746" s="648"/>
      <c r="H3746" s="648"/>
      <c r="I3746" s="648"/>
      <c r="J3746" s="649"/>
      <c r="K3746" s="132"/>
      <c r="L3746" s="133"/>
    </row>
    <row r="3747" spans="1:12" x14ac:dyDescent="0.2">
      <c r="A3747" s="136"/>
      <c r="B3747" s="155"/>
      <c r="C3747" s="156"/>
      <c r="D3747" s="156"/>
      <c r="E3747" s="156"/>
      <c r="F3747" s="156"/>
      <c r="G3747" s="156"/>
      <c r="H3747" s="156"/>
      <c r="I3747" s="156"/>
      <c r="J3747" s="157"/>
      <c r="K3747" s="132"/>
      <c r="L3747" s="133"/>
    </row>
    <row r="3748" spans="1:12" ht="12.75" customHeight="1" x14ac:dyDescent="0.2">
      <c r="A3748" s="158" t="s">
        <v>63</v>
      </c>
      <c r="B3748" s="55"/>
      <c r="C3748" s="596" t="s">
        <v>668</v>
      </c>
      <c r="D3748" s="596"/>
      <c r="E3748" s="596"/>
      <c r="F3748" s="596"/>
      <c r="G3748" s="596"/>
      <c r="H3748" s="596"/>
      <c r="I3748" s="596"/>
      <c r="J3748" s="597"/>
      <c r="K3748" s="132"/>
      <c r="L3748" s="133"/>
    </row>
    <row r="3749" spans="1:12" x14ac:dyDescent="0.2">
      <c r="A3749" s="158"/>
      <c r="B3749" s="55"/>
      <c r="C3749" s="596"/>
      <c r="D3749" s="596"/>
      <c r="E3749" s="596"/>
      <c r="F3749" s="596"/>
      <c r="G3749" s="596"/>
      <c r="H3749" s="596"/>
      <c r="I3749" s="596"/>
      <c r="J3749" s="597"/>
      <c r="K3749" s="132"/>
      <c r="L3749" s="133"/>
    </row>
    <row r="3750" spans="1:12" x14ac:dyDescent="0.2">
      <c r="A3750" s="158"/>
      <c r="B3750" s="55"/>
      <c r="C3750" s="596"/>
      <c r="D3750" s="596"/>
      <c r="E3750" s="596"/>
      <c r="F3750" s="596"/>
      <c r="G3750" s="596"/>
      <c r="H3750" s="596"/>
      <c r="I3750" s="596"/>
      <c r="J3750" s="597"/>
      <c r="K3750" s="132"/>
      <c r="L3750" s="133"/>
    </row>
    <row r="3751" spans="1:12" x14ac:dyDescent="0.2">
      <c r="A3751" s="158"/>
      <c r="B3751" s="55"/>
      <c r="C3751" s="596"/>
      <c r="D3751" s="596"/>
      <c r="E3751" s="596"/>
      <c r="F3751" s="596"/>
      <c r="G3751" s="596"/>
      <c r="H3751" s="596"/>
      <c r="I3751" s="596"/>
      <c r="J3751" s="597"/>
      <c r="K3751" s="132"/>
      <c r="L3751" s="133"/>
    </row>
    <row r="3752" spans="1:12" x14ac:dyDescent="0.2">
      <c r="A3752" s="158"/>
      <c r="B3752" s="55"/>
      <c r="C3752" s="175"/>
      <c r="D3752" s="596" t="s">
        <v>669</v>
      </c>
      <c r="E3752" s="596"/>
      <c r="F3752" s="596"/>
      <c r="G3752" s="596"/>
      <c r="H3752" s="596"/>
      <c r="I3752" s="596"/>
      <c r="J3752" s="597"/>
      <c r="K3752" s="132"/>
      <c r="L3752" s="133"/>
    </row>
    <row r="3753" spans="1:12" ht="12.75" customHeight="1" x14ac:dyDescent="0.2">
      <c r="A3753" s="158"/>
      <c r="B3753" s="55"/>
      <c r="C3753" s="55"/>
      <c r="D3753" s="596"/>
      <c r="E3753" s="596"/>
      <c r="F3753" s="596"/>
      <c r="G3753" s="596"/>
      <c r="H3753" s="596"/>
      <c r="I3753" s="596"/>
      <c r="J3753" s="597"/>
      <c r="K3753" s="132"/>
      <c r="L3753" s="133"/>
    </row>
    <row r="3754" spans="1:12" x14ac:dyDescent="0.2">
      <c r="A3754" s="158"/>
      <c r="B3754" s="55"/>
      <c r="C3754" s="159"/>
      <c r="D3754" s="596"/>
      <c r="E3754" s="596"/>
      <c r="F3754" s="596"/>
      <c r="G3754" s="596"/>
      <c r="H3754" s="596"/>
      <c r="I3754" s="596"/>
      <c r="J3754" s="597"/>
      <c r="K3754" s="132"/>
      <c r="L3754" s="133"/>
    </row>
    <row r="3755" spans="1:12" x14ac:dyDescent="0.2">
      <c r="A3755" s="158"/>
      <c r="B3755" s="55"/>
      <c r="C3755" s="159"/>
      <c r="D3755" s="596" t="s">
        <v>670</v>
      </c>
      <c r="E3755" s="596"/>
      <c r="F3755" s="596"/>
      <c r="G3755" s="596"/>
      <c r="H3755" s="596"/>
      <c r="I3755" s="596"/>
      <c r="J3755" s="597"/>
      <c r="K3755" s="132"/>
      <c r="L3755" s="133"/>
    </row>
    <row r="3756" spans="1:12" x14ac:dyDescent="0.2">
      <c r="A3756" s="158"/>
      <c r="B3756" s="55"/>
      <c r="C3756" s="159"/>
      <c r="D3756" s="596"/>
      <c r="E3756" s="596"/>
      <c r="F3756" s="596"/>
      <c r="G3756" s="596"/>
      <c r="H3756" s="596"/>
      <c r="I3756" s="596"/>
      <c r="J3756" s="597"/>
      <c r="K3756" s="132"/>
      <c r="L3756" s="133"/>
    </row>
    <row r="3757" spans="1:12" ht="12.75" customHeight="1" x14ac:dyDescent="0.2">
      <c r="A3757" s="158"/>
      <c r="B3757" s="55"/>
      <c r="C3757" s="159"/>
      <c r="D3757" s="596"/>
      <c r="E3757" s="596"/>
      <c r="F3757" s="596"/>
      <c r="G3757" s="596"/>
      <c r="H3757" s="596"/>
      <c r="I3757" s="596"/>
      <c r="J3757" s="597"/>
      <c r="K3757" s="132"/>
      <c r="L3757" s="133"/>
    </row>
    <row r="3758" spans="1:12" x14ac:dyDescent="0.2">
      <c r="A3758" s="158"/>
      <c r="B3758" s="55"/>
      <c r="C3758" s="159"/>
      <c r="D3758" s="159"/>
      <c r="E3758" s="159"/>
      <c r="F3758" s="159"/>
      <c r="G3758" s="159"/>
      <c r="H3758" s="159"/>
      <c r="I3758" s="159"/>
      <c r="J3758" s="160"/>
      <c r="K3758" s="132"/>
      <c r="L3758" s="133"/>
    </row>
    <row r="3759" spans="1:12" x14ac:dyDescent="0.2">
      <c r="A3759" s="158" t="s">
        <v>64</v>
      </c>
      <c r="B3759" s="55"/>
      <c r="C3759" s="662" t="s">
        <v>671</v>
      </c>
      <c r="D3759" s="662"/>
      <c r="E3759" s="662"/>
      <c r="F3759" s="662"/>
      <c r="G3759" s="662"/>
      <c r="H3759" s="662"/>
      <c r="I3759" s="662"/>
      <c r="J3759" s="663"/>
      <c r="K3759" s="132"/>
      <c r="L3759" s="133"/>
    </row>
    <row r="3760" spans="1:12" x14ac:dyDescent="0.2">
      <c r="A3760" s="158"/>
      <c r="B3760" s="55"/>
      <c r="C3760" s="55"/>
      <c r="D3760" s="55"/>
      <c r="E3760" s="55"/>
      <c r="F3760" s="55"/>
      <c r="G3760" s="55"/>
      <c r="H3760" s="55"/>
      <c r="I3760" s="55"/>
      <c r="J3760" s="196"/>
      <c r="K3760" s="132"/>
      <c r="L3760" s="133"/>
    </row>
    <row r="3761" spans="1:12" x14ac:dyDescent="0.2">
      <c r="A3761" s="158" t="s">
        <v>65</v>
      </c>
      <c r="B3761" s="55"/>
      <c r="C3761" s="171" t="s">
        <v>672</v>
      </c>
      <c r="D3761" s="171"/>
      <c r="E3761" s="159"/>
      <c r="F3761" s="159"/>
      <c r="G3761" s="159"/>
      <c r="H3761" s="159"/>
      <c r="I3761" s="159"/>
      <c r="J3761" s="160"/>
      <c r="K3761" s="132"/>
      <c r="L3761" s="133"/>
    </row>
    <row r="3762" spans="1:12" x14ac:dyDescent="0.2">
      <c r="A3762" s="158"/>
      <c r="B3762" s="55"/>
      <c r="C3762" s="175"/>
      <c r="D3762" s="175"/>
      <c r="E3762" s="172"/>
      <c r="F3762" s="172"/>
      <c r="G3762" s="172"/>
      <c r="H3762" s="172"/>
      <c r="I3762" s="172"/>
      <c r="J3762" s="173"/>
      <c r="K3762" s="132"/>
      <c r="L3762" s="133"/>
    </row>
    <row r="3763" spans="1:12" x14ac:dyDescent="0.2">
      <c r="A3763" s="158"/>
      <c r="B3763" s="55"/>
      <c r="C3763" s="159"/>
      <c r="D3763" s="159"/>
      <c r="E3763" s="175"/>
      <c r="F3763" s="175"/>
      <c r="G3763" s="175"/>
      <c r="H3763" s="175"/>
      <c r="I3763" s="175"/>
      <c r="J3763" s="176"/>
      <c r="K3763" s="132"/>
      <c r="L3763" s="133"/>
    </row>
    <row r="3764" spans="1:12" x14ac:dyDescent="0.2">
      <c r="A3764" s="158"/>
      <c r="B3764" s="55"/>
      <c r="C3764" s="55"/>
      <c r="D3764" s="55"/>
      <c r="E3764" s="55"/>
      <c r="F3764" s="55"/>
      <c r="G3764" s="55"/>
      <c r="H3764" s="55"/>
      <c r="I3764" s="55"/>
      <c r="J3764" s="196"/>
      <c r="K3764" s="132"/>
      <c r="L3764" s="133"/>
    </row>
    <row r="3765" spans="1:12" x14ac:dyDescent="0.2">
      <c r="A3765" s="158"/>
      <c r="B3765" s="55"/>
      <c r="C3765" s="159"/>
      <c r="D3765" s="159"/>
      <c r="E3765" s="175"/>
      <c r="F3765" s="175"/>
      <c r="G3765" s="175"/>
      <c r="H3765" s="175"/>
      <c r="I3765" s="175"/>
      <c r="J3765" s="176"/>
      <c r="K3765" s="132"/>
      <c r="L3765" s="133"/>
    </row>
    <row r="3766" spans="1:12" x14ac:dyDescent="0.2">
      <c r="A3766" s="158"/>
      <c r="B3766" s="55"/>
      <c r="C3766" s="159"/>
      <c r="D3766" s="159"/>
      <c r="E3766" s="175"/>
      <c r="F3766" s="175"/>
      <c r="G3766" s="175"/>
      <c r="H3766" s="175"/>
      <c r="I3766" s="175"/>
      <c r="J3766" s="176"/>
      <c r="K3766" s="132"/>
      <c r="L3766" s="133"/>
    </row>
    <row r="3767" spans="1:12" x14ac:dyDescent="0.2">
      <c r="A3767" s="158"/>
      <c r="B3767" s="55"/>
      <c r="C3767" s="175"/>
      <c r="D3767" s="175"/>
      <c r="E3767" s="172"/>
      <c r="F3767" s="172"/>
      <c r="G3767" s="172"/>
      <c r="H3767" s="172"/>
      <c r="I3767" s="172"/>
      <c r="J3767" s="173"/>
      <c r="K3767" s="132"/>
      <c r="L3767" s="133"/>
    </row>
    <row r="3768" spans="1:12" x14ac:dyDescent="0.2">
      <c r="A3768" s="158"/>
      <c r="B3768" s="55"/>
      <c r="C3768" s="175"/>
      <c r="D3768" s="175"/>
      <c r="E3768" s="175"/>
      <c r="F3768" s="175"/>
      <c r="G3768" s="175"/>
      <c r="H3768" s="175"/>
      <c r="I3768" s="175"/>
      <c r="J3768" s="176"/>
      <c r="K3768" s="132"/>
      <c r="L3768" s="133"/>
    </row>
    <row r="3769" spans="1:12" x14ac:dyDescent="0.2">
      <c r="A3769" s="158"/>
      <c r="B3769" s="55"/>
      <c r="C3769" s="175"/>
      <c r="D3769" s="175"/>
      <c r="E3769" s="175"/>
      <c r="F3769" s="175"/>
      <c r="G3769" s="175"/>
      <c r="H3769" s="175"/>
      <c r="I3769" s="175"/>
      <c r="J3769" s="176"/>
      <c r="K3769" s="132"/>
      <c r="L3769" s="133"/>
    </row>
    <row r="3770" spans="1:12" ht="13.5" thickBot="1" x14ac:dyDescent="0.25">
      <c r="A3770" s="149"/>
      <c r="B3770" s="167"/>
      <c r="C3770" s="151"/>
      <c r="D3770" s="151"/>
      <c r="E3770" s="151"/>
      <c r="F3770" s="151"/>
      <c r="G3770" s="151"/>
      <c r="H3770" s="151"/>
      <c r="I3770" s="151"/>
      <c r="J3770" s="168"/>
      <c r="K3770" s="132"/>
      <c r="L3770" s="133"/>
    </row>
    <row r="3771" spans="1:12" ht="15.75" x14ac:dyDescent="0.2">
      <c r="A3771" s="602" t="s">
        <v>4</v>
      </c>
      <c r="B3771" s="603"/>
      <c r="C3771" s="637" t="str">
        <f>'A IV.A'!$B$112</f>
        <v>FORNECIMENTO E INSTALAÇÕES HIDRAULICAS - ITEM 9.0 DO TERMO DE REFERÊNCIA</v>
      </c>
      <c r="D3771" s="637"/>
      <c r="E3771" s="637"/>
      <c r="F3771" s="637"/>
      <c r="G3771" s="637"/>
      <c r="H3771" s="637"/>
      <c r="I3771" s="637"/>
      <c r="J3771" s="719"/>
      <c r="K3771" s="132"/>
      <c r="L3771" s="133"/>
    </row>
    <row r="3772" spans="1:12" ht="12.75" customHeight="1" x14ac:dyDescent="0.2">
      <c r="A3772" s="609" t="str">
        <f>'A IV.A'!$A$112</f>
        <v>4.0</v>
      </c>
      <c r="B3772" s="610"/>
      <c r="C3772" s="720"/>
      <c r="D3772" s="720"/>
      <c r="E3772" s="720"/>
      <c r="F3772" s="720"/>
      <c r="G3772" s="720"/>
      <c r="H3772" s="720"/>
      <c r="I3772" s="720"/>
      <c r="J3772" s="721"/>
      <c r="K3772" s="132"/>
      <c r="L3772" s="133"/>
    </row>
    <row r="3773" spans="1:12" ht="13.5" customHeight="1" thickBot="1" x14ac:dyDescent="0.25">
      <c r="A3773" s="611"/>
      <c r="B3773" s="612"/>
      <c r="C3773" s="722"/>
      <c r="D3773" s="722"/>
      <c r="E3773" s="722"/>
      <c r="F3773" s="722"/>
      <c r="G3773" s="722"/>
      <c r="H3773" s="722"/>
      <c r="I3773" s="722"/>
      <c r="J3773" s="723"/>
      <c r="K3773" s="132"/>
      <c r="L3773" s="133"/>
    </row>
    <row r="3774" spans="1:12" ht="13.5" thickBot="1" x14ac:dyDescent="0.25">
      <c r="A3774" s="169"/>
      <c r="B3774" s="169"/>
      <c r="C3774" s="613"/>
      <c r="D3774" s="613"/>
      <c r="E3774" s="613"/>
      <c r="F3774" s="613"/>
      <c r="G3774" s="613"/>
      <c r="H3774" s="613"/>
      <c r="I3774" s="613"/>
      <c r="J3774" s="169"/>
      <c r="K3774" s="132"/>
      <c r="L3774" s="133"/>
    </row>
    <row r="3775" spans="1:12" ht="13.5" thickBot="1" x14ac:dyDescent="0.25">
      <c r="A3775" s="632" t="s">
        <v>60</v>
      </c>
      <c r="B3775" s="633"/>
      <c r="C3775" s="656" t="s">
        <v>61</v>
      </c>
      <c r="D3775" s="656"/>
      <c r="E3775" s="656"/>
      <c r="F3775" s="656"/>
      <c r="G3775" s="656"/>
      <c r="H3775" s="656"/>
      <c r="I3775" s="656"/>
      <c r="J3775" s="260" t="s">
        <v>0</v>
      </c>
      <c r="K3775" s="132"/>
      <c r="L3775" s="133"/>
    </row>
    <row r="3776" spans="1:12" x14ac:dyDescent="0.2">
      <c r="A3776" s="136"/>
      <c r="B3776" s="137"/>
      <c r="C3776" s="619"/>
      <c r="D3776" s="620"/>
      <c r="E3776" s="621"/>
      <c r="F3776" s="621"/>
      <c r="G3776" s="621"/>
      <c r="H3776" s="621"/>
      <c r="I3776" s="622"/>
      <c r="J3776" s="138"/>
      <c r="K3776" s="132"/>
      <c r="L3776" s="133"/>
    </row>
    <row r="3777" spans="1:14" x14ac:dyDescent="0.2">
      <c r="A3777" s="623" t="str">
        <f>'A IV.A'!$A$120</f>
        <v>4.7</v>
      </c>
      <c r="B3777" s="624"/>
      <c r="C3777" s="626" t="str">
        <f>'A IV.A'!$B$120</f>
        <v>TUBO EM PVC RÍGIDO BRANCO, SÉRIE NORMAL, INCLUSIVE CONEXÕES, DN =  40 MM</v>
      </c>
      <c r="D3777" s="627"/>
      <c r="E3777" s="627"/>
      <c r="F3777" s="627"/>
      <c r="G3777" s="627"/>
      <c r="H3777" s="627"/>
      <c r="I3777" s="628"/>
      <c r="J3777" s="629" t="str">
        <f>'A IV.A'!$C$120</f>
        <v>M</v>
      </c>
      <c r="K3777" s="630" t="str">
        <f>VLOOKUP(A3777,'A IV.A'!$A$14:$M$233,2,FALSE)</f>
        <v>TUBO EM PVC RÍGIDO BRANCO, SÉRIE NORMAL, INCLUSIVE CONEXÕES, DN =  40 MM</v>
      </c>
      <c r="L3777" s="631" t="str">
        <f>IF(C3777=K3777,"sim","nao")</f>
        <v>sim</v>
      </c>
      <c r="M3777" s="631" t="str">
        <f>VLOOKUP(A3777,'A IV.A'!$A$14:$M$233,3,FALSE)</f>
        <v>M</v>
      </c>
      <c r="N3777" s="631" t="str">
        <f>IF(J3777=M3777,"sim","nao")</f>
        <v>sim</v>
      </c>
    </row>
    <row r="3778" spans="1:14" x14ac:dyDescent="0.2">
      <c r="A3778" s="625"/>
      <c r="B3778" s="624"/>
      <c r="C3778" s="626"/>
      <c r="D3778" s="627"/>
      <c r="E3778" s="627"/>
      <c r="F3778" s="627"/>
      <c r="G3778" s="627"/>
      <c r="H3778" s="627"/>
      <c r="I3778" s="628"/>
      <c r="J3778" s="629"/>
      <c r="K3778" s="630"/>
      <c r="L3778" s="631"/>
      <c r="M3778" s="631"/>
      <c r="N3778" s="631"/>
    </row>
    <row r="3779" spans="1:14" x14ac:dyDescent="0.2">
      <c r="A3779" s="139"/>
      <c r="B3779" s="140"/>
      <c r="C3779" s="141"/>
      <c r="D3779" s="142"/>
      <c r="E3779" s="142"/>
      <c r="F3779" s="142"/>
      <c r="G3779" s="142"/>
      <c r="H3779" s="142"/>
      <c r="I3779" s="143"/>
      <c r="J3779" s="144"/>
      <c r="K3779" s="132"/>
      <c r="L3779" s="133"/>
    </row>
    <row r="3780" spans="1:14" x14ac:dyDescent="0.2">
      <c r="A3780" s="623" t="str">
        <f>'A IV.A'!A121</f>
        <v>4.8</v>
      </c>
      <c r="B3780" s="624"/>
      <c r="C3780" s="626" t="str">
        <f>'A IV.A'!B121</f>
        <v>TUBO EM PVC RÍGIDO BRANCO, SÉRIE NORMAL, INCLUSIVE CONEXÕES, DN =  50 MM</v>
      </c>
      <c r="D3780" s="627"/>
      <c r="E3780" s="627"/>
      <c r="F3780" s="627"/>
      <c r="G3780" s="627"/>
      <c r="H3780" s="627"/>
      <c r="I3780" s="628"/>
      <c r="J3780" s="629" t="str">
        <f>'A IV.A'!C121</f>
        <v>M</v>
      </c>
      <c r="K3780" s="630" t="str">
        <f>VLOOKUP(A3780,'A IV.A'!$A$14:$M$233,2,FALSE)</f>
        <v>TUBO EM PVC RÍGIDO BRANCO, SÉRIE NORMAL, INCLUSIVE CONEXÕES, DN =  50 MM</v>
      </c>
      <c r="L3780" s="631" t="str">
        <f>IF(C3780=K3780,"sim","nao")</f>
        <v>sim</v>
      </c>
      <c r="M3780" s="631" t="str">
        <f>VLOOKUP(A3780,'A IV.A'!$A$14:$M$233,3,FALSE)</f>
        <v>M</v>
      </c>
      <c r="N3780" s="631" t="str">
        <f>IF(J3780=M3780,"sim","nao")</f>
        <v>sim</v>
      </c>
    </row>
    <row r="3781" spans="1:14" x14ac:dyDescent="0.2">
      <c r="A3781" s="625"/>
      <c r="B3781" s="624"/>
      <c r="C3781" s="626"/>
      <c r="D3781" s="627"/>
      <c r="E3781" s="627"/>
      <c r="F3781" s="627"/>
      <c r="G3781" s="627"/>
      <c r="H3781" s="627"/>
      <c r="I3781" s="628"/>
      <c r="J3781" s="629"/>
      <c r="K3781" s="630"/>
      <c r="L3781" s="631"/>
      <c r="M3781" s="631"/>
      <c r="N3781" s="631"/>
    </row>
    <row r="3782" spans="1:14" x14ac:dyDescent="0.2">
      <c r="A3782" s="145"/>
      <c r="B3782" s="146"/>
      <c r="C3782" s="147"/>
      <c r="D3782" s="147"/>
      <c r="E3782" s="147"/>
      <c r="F3782" s="147"/>
      <c r="G3782" s="147"/>
      <c r="H3782" s="147"/>
      <c r="I3782" s="147"/>
      <c r="J3782" s="148"/>
      <c r="K3782" s="132"/>
      <c r="L3782" s="133"/>
    </row>
    <row r="3783" spans="1:14" x14ac:dyDescent="0.2">
      <c r="A3783" s="623" t="str">
        <f>'A IV.A'!A122</f>
        <v>4.9</v>
      </c>
      <c r="B3783" s="624"/>
      <c r="C3783" s="626" t="str">
        <f>'A IV.A'!B122</f>
        <v>TUBO EM PVC RÍGIDO BRANCO, SÉRIE NORMAL, INCLUSIVE CONEXÕES, DN =  100 MM</v>
      </c>
      <c r="D3783" s="627"/>
      <c r="E3783" s="627"/>
      <c r="F3783" s="627"/>
      <c r="G3783" s="627"/>
      <c r="H3783" s="627"/>
      <c r="I3783" s="628"/>
      <c r="J3783" s="629" t="str">
        <f>'A IV.A'!C122</f>
        <v>M</v>
      </c>
      <c r="K3783" s="630" t="str">
        <f>VLOOKUP(A3783,'A IV.A'!$A$14:$M$233,2,FALSE)</f>
        <v>TUBO EM PVC RÍGIDO BRANCO, SÉRIE NORMAL, INCLUSIVE CONEXÕES, DN =  100 MM</v>
      </c>
      <c r="L3783" s="631" t="str">
        <f>IF(C3783=K3783,"sim","nao")</f>
        <v>sim</v>
      </c>
      <c r="M3783" s="631" t="str">
        <f>VLOOKUP(A3783,'A IV.A'!$A$14:$M$233,3,FALSE)</f>
        <v>M</v>
      </c>
      <c r="N3783" s="631" t="str">
        <f>IF(J3783=M3783,"sim","nao")</f>
        <v>sim</v>
      </c>
    </row>
    <row r="3784" spans="1:14" x14ac:dyDescent="0.2">
      <c r="A3784" s="625"/>
      <c r="B3784" s="624"/>
      <c r="C3784" s="626"/>
      <c r="D3784" s="627"/>
      <c r="E3784" s="627"/>
      <c r="F3784" s="627"/>
      <c r="G3784" s="627"/>
      <c r="H3784" s="627"/>
      <c r="I3784" s="628"/>
      <c r="J3784" s="629"/>
      <c r="K3784" s="630"/>
      <c r="L3784" s="631"/>
      <c r="M3784" s="631"/>
      <c r="N3784" s="631"/>
    </row>
    <row r="3785" spans="1:14" x14ac:dyDescent="0.2">
      <c r="A3785" s="145"/>
      <c r="B3785" s="146"/>
      <c r="C3785" s="147"/>
      <c r="D3785" s="147"/>
      <c r="E3785" s="147"/>
      <c r="F3785" s="147"/>
      <c r="G3785" s="147"/>
      <c r="H3785" s="147"/>
      <c r="I3785" s="147"/>
      <c r="J3785" s="148"/>
      <c r="K3785" s="132"/>
      <c r="L3785" s="133"/>
    </row>
    <row r="3786" spans="1:14" x14ac:dyDescent="0.2">
      <c r="A3786" s="199"/>
      <c r="B3786" s="188"/>
      <c r="C3786" s="189"/>
      <c r="D3786" s="165"/>
      <c r="E3786" s="165"/>
      <c r="F3786" s="165"/>
      <c r="G3786" s="165"/>
      <c r="H3786" s="165"/>
      <c r="I3786" s="190"/>
      <c r="J3786" s="191"/>
      <c r="K3786" s="192"/>
      <c r="L3786" s="55"/>
      <c r="M3786" s="55"/>
      <c r="N3786" s="55"/>
    </row>
    <row r="3787" spans="1:14" x14ac:dyDescent="0.2">
      <c r="A3787" s="158"/>
      <c r="B3787" s="188"/>
      <c r="C3787" s="189"/>
      <c r="D3787" s="165"/>
      <c r="E3787" s="165"/>
      <c r="F3787" s="165"/>
      <c r="G3787" s="165"/>
      <c r="H3787" s="165"/>
      <c r="I3787" s="190"/>
      <c r="J3787" s="191"/>
      <c r="K3787" s="192"/>
      <c r="L3787" s="55"/>
      <c r="M3787" s="55"/>
      <c r="N3787" s="55"/>
    </row>
    <row r="3788" spans="1:14" x14ac:dyDescent="0.2">
      <c r="A3788" s="145"/>
      <c r="B3788" s="146"/>
      <c r="C3788" s="147"/>
      <c r="D3788" s="147"/>
      <c r="E3788" s="147"/>
      <c r="F3788" s="147"/>
      <c r="G3788" s="147"/>
      <c r="H3788" s="147"/>
      <c r="I3788" s="147"/>
      <c r="J3788" s="148"/>
      <c r="K3788" s="132"/>
      <c r="L3788" s="133"/>
    </row>
    <row r="3789" spans="1:14" x14ac:dyDescent="0.2">
      <c r="A3789" s="199"/>
      <c r="B3789" s="188"/>
      <c r="C3789" s="189"/>
      <c r="D3789" s="165"/>
      <c r="E3789" s="165"/>
      <c r="F3789" s="165"/>
      <c r="G3789" s="165"/>
      <c r="H3789" s="165"/>
      <c r="I3789" s="190"/>
      <c r="J3789" s="191"/>
      <c r="K3789" s="192"/>
      <c r="L3789" s="55"/>
      <c r="M3789" s="55"/>
      <c r="N3789" s="55"/>
    </row>
    <row r="3790" spans="1:14" x14ac:dyDescent="0.2">
      <c r="A3790" s="158"/>
      <c r="B3790" s="188"/>
      <c r="C3790" s="189"/>
      <c r="D3790" s="165"/>
      <c r="E3790" s="165"/>
      <c r="F3790" s="165"/>
      <c r="G3790" s="165"/>
      <c r="H3790" s="165"/>
      <c r="I3790" s="190"/>
      <c r="J3790" s="191"/>
      <c r="K3790" s="192"/>
      <c r="L3790" s="55"/>
      <c r="M3790" s="55"/>
      <c r="N3790" s="55"/>
    </row>
    <row r="3791" spans="1:14" x14ac:dyDescent="0.2">
      <c r="A3791" s="145"/>
      <c r="B3791" s="146"/>
      <c r="C3791" s="147"/>
      <c r="D3791" s="147"/>
      <c r="E3791" s="147"/>
      <c r="F3791" s="147"/>
      <c r="G3791" s="147"/>
      <c r="H3791" s="147"/>
      <c r="I3791" s="147"/>
      <c r="J3791" s="148"/>
      <c r="K3791" s="132"/>
      <c r="L3791" s="133"/>
    </row>
    <row r="3792" spans="1:14" x14ac:dyDescent="0.2">
      <c r="A3792" s="199"/>
      <c r="B3792" s="188"/>
      <c r="C3792" s="189"/>
      <c r="D3792" s="165"/>
      <c r="E3792" s="165"/>
      <c r="F3792" s="165"/>
      <c r="G3792" s="165"/>
      <c r="H3792" s="165"/>
      <c r="I3792" s="190"/>
      <c r="J3792" s="191"/>
      <c r="K3792" s="192"/>
      <c r="L3792" s="55"/>
      <c r="M3792" s="55"/>
      <c r="N3792" s="55"/>
    </row>
    <row r="3793" spans="1:14" x14ac:dyDescent="0.2">
      <c r="A3793" s="158"/>
      <c r="B3793" s="188"/>
      <c r="C3793" s="189"/>
      <c r="D3793" s="165"/>
      <c r="E3793" s="165"/>
      <c r="F3793" s="165"/>
      <c r="G3793" s="165"/>
      <c r="H3793" s="165"/>
      <c r="I3793" s="190"/>
      <c r="J3793" s="191"/>
      <c r="K3793" s="192"/>
      <c r="L3793" s="55"/>
      <c r="M3793" s="55"/>
      <c r="N3793" s="55"/>
    </row>
    <row r="3794" spans="1:14" x14ac:dyDescent="0.2">
      <c r="A3794" s="145"/>
      <c r="B3794" s="146"/>
      <c r="C3794" s="147"/>
      <c r="D3794" s="147"/>
      <c r="E3794" s="147"/>
      <c r="F3794" s="147"/>
      <c r="G3794" s="147"/>
      <c r="H3794" s="147"/>
      <c r="I3794" s="147"/>
      <c r="J3794" s="148"/>
      <c r="K3794" s="132"/>
      <c r="L3794" s="133"/>
    </row>
    <row r="3795" spans="1:14" x14ac:dyDescent="0.2">
      <c r="A3795" s="199"/>
      <c r="B3795" s="188"/>
      <c r="C3795" s="189"/>
      <c r="D3795" s="165"/>
      <c r="E3795" s="165"/>
      <c r="F3795" s="165"/>
      <c r="G3795" s="165"/>
      <c r="H3795" s="165"/>
      <c r="I3795" s="190"/>
      <c r="J3795" s="191"/>
      <c r="K3795" s="192"/>
      <c r="L3795" s="55"/>
      <c r="M3795" s="55"/>
      <c r="N3795" s="55"/>
    </row>
    <row r="3796" spans="1:14" x14ac:dyDescent="0.2">
      <c r="A3796" s="158"/>
      <c r="B3796" s="188"/>
      <c r="C3796" s="189"/>
      <c r="D3796" s="165"/>
      <c r="E3796" s="165"/>
      <c r="F3796" s="165"/>
      <c r="G3796" s="165"/>
      <c r="H3796" s="165"/>
      <c r="I3796" s="190"/>
      <c r="J3796" s="191"/>
      <c r="K3796" s="192"/>
      <c r="L3796" s="55"/>
      <c r="M3796" s="55"/>
      <c r="N3796" s="55"/>
    </row>
    <row r="3797" spans="1:14" x14ac:dyDescent="0.2">
      <c r="A3797" s="145"/>
      <c r="B3797" s="146"/>
      <c r="C3797" s="147"/>
      <c r="D3797" s="147"/>
      <c r="E3797" s="147"/>
      <c r="F3797" s="147"/>
      <c r="G3797" s="147"/>
      <c r="H3797" s="147"/>
      <c r="I3797" s="147"/>
      <c r="J3797" s="148"/>
      <c r="K3797" s="132"/>
      <c r="L3797" s="133"/>
    </row>
    <row r="3798" spans="1:14" ht="13.5" thickBot="1" x14ac:dyDescent="0.25">
      <c r="A3798" s="149"/>
      <c r="B3798" s="150"/>
      <c r="C3798" s="151"/>
      <c r="D3798" s="151"/>
      <c r="E3798" s="151"/>
      <c r="F3798" s="151"/>
      <c r="G3798" s="151"/>
      <c r="H3798" s="151"/>
      <c r="I3798" s="151"/>
      <c r="J3798" s="152"/>
      <c r="K3798" s="132"/>
      <c r="L3798" s="133"/>
    </row>
    <row r="3799" spans="1:14" ht="13.5" thickBot="1" x14ac:dyDescent="0.25">
      <c r="A3799" s="153"/>
      <c r="B3799" s="153"/>
      <c r="C3799" s="154"/>
      <c r="D3799" s="154"/>
      <c r="E3799" s="154"/>
      <c r="F3799" s="154"/>
      <c r="G3799" s="154"/>
      <c r="H3799" s="154"/>
      <c r="I3799" s="154"/>
      <c r="J3799" s="153"/>
      <c r="K3799" s="132"/>
      <c r="L3799" s="133"/>
    </row>
    <row r="3800" spans="1:14" ht="13.5" thickBot="1" x14ac:dyDescent="0.25">
      <c r="A3800" s="614" t="s">
        <v>62</v>
      </c>
      <c r="B3800" s="648"/>
      <c r="C3800" s="648"/>
      <c r="D3800" s="648"/>
      <c r="E3800" s="648"/>
      <c r="F3800" s="648"/>
      <c r="G3800" s="648"/>
      <c r="H3800" s="648"/>
      <c r="I3800" s="648"/>
      <c r="J3800" s="649"/>
      <c r="K3800" s="132"/>
      <c r="L3800" s="133"/>
    </row>
    <row r="3801" spans="1:14" x14ac:dyDescent="0.2">
      <c r="A3801" s="136"/>
      <c r="B3801" s="155"/>
      <c r="C3801" s="156"/>
      <c r="D3801" s="156"/>
      <c r="E3801" s="156"/>
      <c r="F3801" s="156"/>
      <c r="G3801" s="156"/>
      <c r="H3801" s="156"/>
      <c r="I3801" s="156"/>
      <c r="J3801" s="157"/>
      <c r="K3801" s="132"/>
      <c r="L3801" s="133"/>
    </row>
    <row r="3802" spans="1:14" ht="12.75" customHeight="1" x14ac:dyDescent="0.2">
      <c r="A3802" s="158" t="s">
        <v>63</v>
      </c>
      <c r="B3802" s="55"/>
      <c r="C3802" s="652" t="s">
        <v>680</v>
      </c>
      <c r="D3802" s="652"/>
      <c r="E3802" s="652"/>
      <c r="F3802" s="652"/>
      <c r="G3802" s="652"/>
      <c r="H3802" s="652"/>
      <c r="I3802" s="652"/>
      <c r="J3802" s="653"/>
      <c r="K3802" s="132"/>
      <c r="L3802" s="133"/>
    </row>
    <row r="3803" spans="1:14" x14ac:dyDescent="0.2">
      <c r="A3803" s="158"/>
      <c r="B3803" s="55"/>
      <c r="C3803" s="652"/>
      <c r="D3803" s="652"/>
      <c r="E3803" s="652"/>
      <c r="F3803" s="652"/>
      <c r="G3803" s="652"/>
      <c r="H3803" s="652"/>
      <c r="I3803" s="652"/>
      <c r="J3803" s="653"/>
      <c r="K3803" s="132"/>
      <c r="L3803" s="133"/>
    </row>
    <row r="3804" spans="1:14" x14ac:dyDescent="0.2">
      <c r="A3804" s="158"/>
      <c r="B3804" s="55"/>
      <c r="C3804" s="652"/>
      <c r="D3804" s="652"/>
      <c r="E3804" s="652"/>
      <c r="F3804" s="652"/>
      <c r="G3804" s="652"/>
      <c r="H3804" s="652"/>
      <c r="I3804" s="652"/>
      <c r="J3804" s="653"/>
      <c r="K3804" s="132"/>
      <c r="L3804" s="133"/>
    </row>
    <row r="3805" spans="1:14" ht="12.75" customHeight="1" x14ac:dyDescent="0.2">
      <c r="A3805" s="158"/>
      <c r="B3805" s="55"/>
      <c r="C3805" s="159"/>
      <c r="D3805" s="652" t="s">
        <v>678</v>
      </c>
      <c r="E3805" s="652"/>
      <c r="F3805" s="652"/>
      <c r="G3805" s="652"/>
      <c r="H3805" s="652"/>
      <c r="I3805" s="652"/>
      <c r="J3805" s="653"/>
      <c r="K3805" s="132"/>
      <c r="L3805" s="133"/>
    </row>
    <row r="3806" spans="1:14" x14ac:dyDescent="0.2">
      <c r="A3806" s="158"/>
      <c r="B3806" s="55"/>
      <c r="C3806" s="159"/>
      <c r="D3806" s="652"/>
      <c r="E3806" s="652"/>
      <c r="F3806" s="652"/>
      <c r="G3806" s="652"/>
      <c r="H3806" s="652"/>
      <c r="I3806" s="652"/>
      <c r="J3806" s="653"/>
      <c r="K3806" s="132"/>
      <c r="L3806" s="133"/>
    </row>
    <row r="3807" spans="1:14" ht="12.75" customHeight="1" x14ac:dyDescent="0.2">
      <c r="A3807" s="158"/>
      <c r="B3807" s="55"/>
      <c r="C3807" s="55"/>
      <c r="D3807" s="596" t="s">
        <v>670</v>
      </c>
      <c r="E3807" s="596"/>
      <c r="F3807" s="596"/>
      <c r="G3807" s="596"/>
      <c r="H3807" s="596"/>
      <c r="I3807" s="596"/>
      <c r="J3807" s="597"/>
      <c r="K3807" s="132"/>
      <c r="L3807" s="133"/>
    </row>
    <row r="3808" spans="1:14" x14ac:dyDescent="0.2">
      <c r="A3808" s="158"/>
      <c r="B3808" s="55"/>
      <c r="C3808" s="159"/>
      <c r="D3808" s="596"/>
      <c r="E3808" s="596"/>
      <c r="F3808" s="596"/>
      <c r="G3808" s="596"/>
      <c r="H3808" s="596"/>
      <c r="I3808" s="596"/>
      <c r="J3808" s="597"/>
      <c r="K3808" s="132"/>
      <c r="L3808" s="133"/>
    </row>
    <row r="3809" spans="1:12" x14ac:dyDescent="0.2">
      <c r="A3809" s="158"/>
      <c r="B3809" s="55"/>
      <c r="C3809" s="159"/>
      <c r="D3809" s="596"/>
      <c r="E3809" s="596"/>
      <c r="F3809" s="596"/>
      <c r="G3809" s="596"/>
      <c r="H3809" s="596"/>
      <c r="I3809" s="596"/>
      <c r="J3809" s="597"/>
      <c r="K3809" s="132"/>
      <c r="L3809" s="133"/>
    </row>
    <row r="3810" spans="1:12" x14ac:dyDescent="0.2">
      <c r="A3810" s="158"/>
      <c r="B3810" s="55"/>
      <c r="C3810" s="159"/>
      <c r="D3810" s="159"/>
      <c r="E3810" s="159"/>
      <c r="F3810" s="159"/>
      <c r="G3810" s="159"/>
      <c r="H3810" s="159"/>
      <c r="I3810" s="159"/>
      <c r="J3810" s="160"/>
      <c r="K3810" s="132"/>
      <c r="L3810" s="133"/>
    </row>
    <row r="3811" spans="1:12" x14ac:dyDescent="0.2">
      <c r="A3811" s="158" t="s">
        <v>64</v>
      </c>
      <c r="B3811" s="55"/>
      <c r="C3811" s="662" t="s">
        <v>671</v>
      </c>
      <c r="D3811" s="662"/>
      <c r="E3811" s="662"/>
      <c r="F3811" s="662"/>
      <c r="G3811" s="662"/>
      <c r="H3811" s="662"/>
      <c r="I3811" s="662"/>
      <c r="J3811" s="663"/>
      <c r="K3811" s="132"/>
      <c r="L3811" s="133"/>
    </row>
    <row r="3812" spans="1:12" x14ac:dyDescent="0.2">
      <c r="A3812" s="158"/>
      <c r="B3812" s="55"/>
      <c r="C3812" s="55"/>
      <c r="D3812" s="55"/>
      <c r="E3812" s="55"/>
      <c r="F3812" s="55"/>
      <c r="G3812" s="55"/>
      <c r="H3812" s="55"/>
      <c r="I3812" s="55"/>
      <c r="J3812" s="196"/>
      <c r="K3812" s="132"/>
      <c r="L3812" s="133"/>
    </row>
    <row r="3813" spans="1:12" x14ac:dyDescent="0.2">
      <c r="A3813" s="158" t="s">
        <v>65</v>
      </c>
      <c r="B3813" s="55"/>
      <c r="C3813" s="171" t="s">
        <v>679</v>
      </c>
      <c r="D3813" s="171"/>
      <c r="E3813" s="159"/>
      <c r="F3813" s="159"/>
      <c r="G3813" s="159"/>
      <c r="H3813" s="159"/>
      <c r="I3813" s="159"/>
      <c r="J3813" s="160"/>
      <c r="K3813" s="132"/>
      <c r="L3813" s="133"/>
    </row>
    <row r="3814" spans="1:12" x14ac:dyDescent="0.2">
      <c r="A3814" s="158"/>
      <c r="B3814" s="55"/>
      <c r="C3814" s="71"/>
      <c r="D3814" s="71"/>
      <c r="E3814" s="71"/>
      <c r="F3814" s="71"/>
      <c r="G3814" s="71"/>
      <c r="H3814" s="71"/>
      <c r="I3814" s="71"/>
      <c r="J3814" s="174"/>
      <c r="K3814" s="132"/>
      <c r="L3814" s="133"/>
    </row>
    <row r="3815" spans="1:12" x14ac:dyDescent="0.2">
      <c r="A3815" s="158"/>
      <c r="B3815" s="55"/>
      <c r="C3815" s="175"/>
      <c r="D3815" s="175"/>
      <c r="E3815" s="172"/>
      <c r="F3815" s="172"/>
      <c r="G3815" s="172"/>
      <c r="H3815" s="172"/>
      <c r="I3815" s="172"/>
      <c r="J3815" s="173"/>
      <c r="K3815" s="132"/>
      <c r="L3815" s="133"/>
    </row>
    <row r="3816" spans="1:12" ht="12.75" customHeight="1" x14ac:dyDescent="0.2">
      <c r="A3816" s="158"/>
      <c r="B3816" s="55"/>
      <c r="C3816" s="159"/>
      <c r="D3816" s="159"/>
      <c r="E3816" s="159"/>
      <c r="F3816" s="159"/>
      <c r="G3816" s="159"/>
      <c r="H3816" s="159"/>
      <c r="I3816" s="159"/>
      <c r="J3816" s="160"/>
      <c r="K3816" s="132"/>
      <c r="L3816" s="133"/>
    </row>
    <row r="3817" spans="1:12" x14ac:dyDescent="0.2">
      <c r="A3817" s="158"/>
      <c r="B3817" s="55"/>
      <c r="C3817" s="55"/>
      <c r="D3817" s="55"/>
      <c r="E3817" s="55"/>
      <c r="F3817" s="55"/>
      <c r="G3817" s="55"/>
      <c r="H3817" s="55"/>
      <c r="I3817" s="55"/>
      <c r="J3817" s="196"/>
      <c r="K3817" s="132"/>
      <c r="L3817" s="133"/>
    </row>
    <row r="3818" spans="1:12" x14ac:dyDescent="0.2">
      <c r="A3818" s="158"/>
      <c r="B3818" s="55"/>
      <c r="C3818" s="159"/>
      <c r="D3818" s="159"/>
      <c r="E3818" s="175"/>
      <c r="F3818" s="175"/>
      <c r="G3818" s="175"/>
      <c r="H3818" s="175"/>
      <c r="I3818" s="175"/>
      <c r="J3818" s="176"/>
      <c r="K3818" s="132"/>
      <c r="L3818" s="133"/>
    </row>
    <row r="3819" spans="1:12" x14ac:dyDescent="0.2">
      <c r="A3819" s="158"/>
      <c r="B3819" s="55"/>
      <c r="C3819" s="159"/>
      <c r="D3819" s="159"/>
      <c r="E3819" s="159"/>
      <c r="F3819" s="159"/>
      <c r="G3819" s="159"/>
      <c r="H3819" s="159"/>
      <c r="I3819" s="159"/>
      <c r="J3819" s="160"/>
      <c r="K3819" s="132"/>
      <c r="L3819" s="133"/>
    </row>
    <row r="3820" spans="1:12" x14ac:dyDescent="0.2">
      <c r="A3820" s="158"/>
      <c r="B3820" s="55"/>
      <c r="C3820" s="175"/>
      <c r="D3820" s="175"/>
      <c r="E3820" s="172"/>
      <c r="F3820" s="172"/>
      <c r="G3820" s="172"/>
      <c r="H3820" s="172"/>
      <c r="I3820" s="172"/>
      <c r="J3820" s="173"/>
      <c r="K3820" s="132"/>
      <c r="L3820" s="133"/>
    </row>
    <row r="3821" spans="1:12" x14ac:dyDescent="0.2">
      <c r="A3821" s="158"/>
      <c r="B3821" s="55"/>
      <c r="C3821" s="175"/>
      <c r="D3821" s="175"/>
      <c r="E3821" s="172"/>
      <c r="F3821" s="172"/>
      <c r="G3821" s="172"/>
      <c r="H3821" s="172"/>
      <c r="I3821" s="172"/>
      <c r="J3821" s="173"/>
      <c r="K3821" s="132"/>
      <c r="L3821" s="133"/>
    </row>
    <row r="3822" spans="1:12" x14ac:dyDescent="0.2">
      <c r="A3822" s="158"/>
      <c r="B3822" s="55"/>
      <c r="C3822" s="175"/>
      <c r="D3822" s="175"/>
      <c r="E3822" s="175"/>
      <c r="F3822" s="175"/>
      <c r="G3822" s="175"/>
      <c r="H3822" s="175"/>
      <c r="I3822" s="175"/>
      <c r="J3822" s="176"/>
      <c r="K3822" s="132"/>
      <c r="L3822" s="133"/>
    </row>
    <row r="3823" spans="1:12" x14ac:dyDescent="0.2">
      <c r="A3823" s="158"/>
      <c r="B3823" s="55"/>
      <c r="C3823" s="175"/>
      <c r="D3823" s="175"/>
      <c r="E3823" s="175"/>
      <c r="F3823" s="175"/>
      <c r="G3823" s="175"/>
      <c r="H3823" s="175"/>
      <c r="I3823" s="175"/>
      <c r="J3823" s="176"/>
      <c r="K3823" s="132"/>
      <c r="L3823" s="133"/>
    </row>
    <row r="3824" spans="1:12" ht="13.5" thickBot="1" x14ac:dyDescent="0.25">
      <c r="A3824" s="149"/>
      <c r="B3824" s="167"/>
      <c r="C3824" s="151"/>
      <c r="D3824" s="151"/>
      <c r="E3824" s="151"/>
      <c r="F3824" s="151"/>
      <c r="G3824" s="151"/>
      <c r="H3824" s="151"/>
      <c r="I3824" s="151"/>
      <c r="J3824" s="168"/>
      <c r="K3824" s="132"/>
      <c r="L3824" s="133"/>
    </row>
    <row r="3825" spans="1:14" ht="15.75" x14ac:dyDescent="0.2">
      <c r="A3825" s="602" t="s">
        <v>4</v>
      </c>
      <c r="B3825" s="603"/>
      <c r="C3825" s="637" t="str">
        <f>'A IV.A'!$B$112</f>
        <v>FORNECIMENTO E INSTALAÇÕES HIDRAULICAS - ITEM 9.0 DO TERMO DE REFERÊNCIA</v>
      </c>
      <c r="D3825" s="637"/>
      <c r="E3825" s="637"/>
      <c r="F3825" s="637"/>
      <c r="G3825" s="637"/>
      <c r="H3825" s="637"/>
      <c r="I3825" s="637"/>
      <c r="J3825" s="719"/>
      <c r="K3825" s="132"/>
      <c r="L3825" s="133"/>
    </row>
    <row r="3826" spans="1:14" ht="12.75" customHeight="1" x14ac:dyDescent="0.2">
      <c r="A3826" s="609" t="str">
        <f>'A IV.A'!$A$112</f>
        <v>4.0</v>
      </c>
      <c r="B3826" s="610"/>
      <c r="C3826" s="720"/>
      <c r="D3826" s="720"/>
      <c r="E3826" s="720"/>
      <c r="F3826" s="720"/>
      <c r="G3826" s="720"/>
      <c r="H3826" s="720"/>
      <c r="I3826" s="720"/>
      <c r="J3826" s="721"/>
      <c r="K3826" s="132"/>
      <c r="L3826" s="133"/>
    </row>
    <row r="3827" spans="1:14" ht="13.5" customHeight="1" thickBot="1" x14ac:dyDescent="0.25">
      <c r="A3827" s="611"/>
      <c r="B3827" s="612"/>
      <c r="C3827" s="722"/>
      <c r="D3827" s="722"/>
      <c r="E3827" s="722"/>
      <c r="F3827" s="722"/>
      <c r="G3827" s="722"/>
      <c r="H3827" s="722"/>
      <c r="I3827" s="722"/>
      <c r="J3827" s="723"/>
      <c r="K3827" s="132"/>
      <c r="L3827" s="133"/>
    </row>
    <row r="3828" spans="1:14" ht="13.5" thickBot="1" x14ac:dyDescent="0.25">
      <c r="A3828" s="169"/>
      <c r="B3828" s="169"/>
      <c r="C3828" s="613"/>
      <c r="D3828" s="613"/>
      <c r="E3828" s="613"/>
      <c r="F3828" s="613"/>
      <c r="G3828" s="613"/>
      <c r="H3828" s="613"/>
      <c r="I3828" s="613"/>
      <c r="J3828" s="169"/>
      <c r="K3828" s="132"/>
      <c r="L3828" s="133"/>
    </row>
    <row r="3829" spans="1:14" ht="13.5" thickBot="1" x14ac:dyDescent="0.25">
      <c r="A3829" s="632" t="s">
        <v>60</v>
      </c>
      <c r="B3829" s="633"/>
      <c r="C3829" s="656" t="s">
        <v>61</v>
      </c>
      <c r="D3829" s="656"/>
      <c r="E3829" s="656"/>
      <c r="F3829" s="656"/>
      <c r="G3829" s="656"/>
      <c r="H3829" s="656"/>
      <c r="I3829" s="656"/>
      <c r="J3829" s="260" t="s">
        <v>0</v>
      </c>
      <c r="K3829" s="132"/>
      <c r="L3829" s="133"/>
    </row>
    <row r="3830" spans="1:14" x14ac:dyDescent="0.2">
      <c r="A3830" s="136"/>
      <c r="B3830" s="137"/>
      <c r="C3830" s="619"/>
      <c r="D3830" s="620"/>
      <c r="E3830" s="621"/>
      <c r="F3830" s="621"/>
      <c r="G3830" s="621"/>
      <c r="H3830" s="621"/>
      <c r="I3830" s="622"/>
      <c r="J3830" s="138"/>
      <c r="K3830" s="132"/>
      <c r="L3830" s="133"/>
    </row>
    <row r="3831" spans="1:14" x14ac:dyDescent="0.2">
      <c r="A3831" s="623" t="str">
        <f>'A IV.A'!A123</f>
        <v>4.10</v>
      </c>
      <c r="B3831" s="624"/>
      <c r="C3831" s="626" t="str">
        <f>'A IV.A'!B123</f>
        <v>REGISTRO DE ESFERA PVC, SOLDÁVEL, COM VOLANTE, Ø 40 MM</v>
      </c>
      <c r="D3831" s="627"/>
      <c r="E3831" s="627"/>
      <c r="F3831" s="627"/>
      <c r="G3831" s="627"/>
      <c r="H3831" s="627"/>
      <c r="I3831" s="628"/>
      <c r="J3831" s="629" t="str">
        <f>'A IV.A'!C123</f>
        <v>UN</v>
      </c>
      <c r="K3831" s="630" t="str">
        <f>VLOOKUP(A3831,'A IV.A'!$A$14:$M$233,2,FALSE)</f>
        <v>REGISTRO DE ESFERA PVC, SOLDÁVEL, COM VOLANTE, Ø 40 MM</v>
      </c>
      <c r="L3831" s="631" t="str">
        <f>IF(C3831=K3831,"sim","nao")</f>
        <v>sim</v>
      </c>
      <c r="M3831" s="631" t="str">
        <f>VLOOKUP(A3831,'A IV.A'!$A$14:$M$233,3,FALSE)</f>
        <v>UN</v>
      </c>
      <c r="N3831" s="631" t="str">
        <f>IF(J3831=M3831,"sim","nao")</f>
        <v>sim</v>
      </c>
    </row>
    <row r="3832" spans="1:14" x14ac:dyDescent="0.2">
      <c r="A3832" s="625"/>
      <c r="B3832" s="624"/>
      <c r="C3832" s="626"/>
      <c r="D3832" s="627"/>
      <c r="E3832" s="627"/>
      <c r="F3832" s="627"/>
      <c r="G3832" s="627"/>
      <c r="H3832" s="627"/>
      <c r="I3832" s="628"/>
      <c r="J3832" s="629"/>
      <c r="K3832" s="630"/>
      <c r="L3832" s="631"/>
      <c r="M3832" s="631"/>
      <c r="N3832" s="631"/>
    </row>
    <row r="3833" spans="1:14" x14ac:dyDescent="0.2">
      <c r="A3833" s="139"/>
      <c r="B3833" s="140"/>
      <c r="C3833" s="141"/>
      <c r="D3833" s="142"/>
      <c r="E3833" s="142"/>
      <c r="F3833" s="142"/>
      <c r="G3833" s="142"/>
      <c r="H3833" s="142"/>
      <c r="I3833" s="143"/>
      <c r="J3833" s="144"/>
      <c r="K3833" s="132"/>
      <c r="L3833" s="133"/>
    </row>
    <row r="3834" spans="1:14" x14ac:dyDescent="0.2">
      <c r="A3834" s="199"/>
      <c r="B3834" s="188"/>
      <c r="C3834" s="189"/>
      <c r="D3834" s="165"/>
      <c r="E3834" s="165"/>
      <c r="F3834" s="165"/>
      <c r="G3834" s="165"/>
      <c r="H3834" s="165"/>
      <c r="I3834" s="190"/>
      <c r="J3834" s="191"/>
      <c r="K3834" s="192"/>
      <c r="L3834" s="55"/>
      <c r="M3834" s="55"/>
      <c r="N3834" s="55"/>
    </row>
    <row r="3835" spans="1:14" x14ac:dyDescent="0.2">
      <c r="A3835" s="158"/>
      <c r="B3835" s="188"/>
      <c r="C3835" s="189"/>
      <c r="D3835" s="165"/>
      <c r="E3835" s="165"/>
      <c r="F3835" s="165"/>
      <c r="G3835" s="165"/>
      <c r="H3835" s="165"/>
      <c r="I3835" s="190"/>
      <c r="J3835" s="191"/>
      <c r="K3835" s="192"/>
      <c r="L3835" s="55"/>
      <c r="M3835" s="55"/>
      <c r="N3835" s="55"/>
    </row>
    <row r="3836" spans="1:14" x14ac:dyDescent="0.2">
      <c r="A3836" s="145"/>
      <c r="B3836" s="146"/>
      <c r="C3836" s="147"/>
      <c r="D3836" s="147"/>
      <c r="E3836" s="147"/>
      <c r="F3836" s="147"/>
      <c r="G3836" s="147"/>
      <c r="H3836" s="147"/>
      <c r="I3836" s="147"/>
      <c r="J3836" s="148"/>
      <c r="K3836" s="132"/>
      <c r="L3836" s="133"/>
    </row>
    <row r="3837" spans="1:14" x14ac:dyDescent="0.2">
      <c r="A3837" s="199"/>
      <c r="B3837" s="188"/>
      <c r="C3837" s="189"/>
      <c r="D3837" s="165"/>
      <c r="E3837" s="165"/>
      <c r="F3837" s="165"/>
      <c r="G3837" s="165"/>
      <c r="H3837" s="165"/>
      <c r="I3837" s="190"/>
      <c r="J3837" s="191"/>
      <c r="K3837" s="192"/>
      <c r="L3837" s="55"/>
      <c r="M3837" s="55"/>
      <c r="N3837" s="55"/>
    </row>
    <row r="3838" spans="1:14" x14ac:dyDescent="0.2">
      <c r="A3838" s="158"/>
      <c r="B3838" s="188"/>
      <c r="C3838" s="189"/>
      <c r="D3838" s="165"/>
      <c r="E3838" s="165"/>
      <c r="F3838" s="165"/>
      <c r="G3838" s="165"/>
      <c r="H3838" s="165"/>
      <c r="I3838" s="190"/>
      <c r="J3838" s="191"/>
      <c r="K3838" s="192"/>
      <c r="L3838" s="55"/>
      <c r="M3838" s="55"/>
      <c r="N3838" s="55"/>
    </row>
    <row r="3839" spans="1:14" x14ac:dyDescent="0.2">
      <c r="A3839" s="145"/>
      <c r="B3839" s="146"/>
      <c r="C3839" s="147"/>
      <c r="D3839" s="147"/>
      <c r="E3839" s="147"/>
      <c r="F3839" s="147"/>
      <c r="G3839" s="147"/>
      <c r="H3839" s="147"/>
      <c r="I3839" s="147"/>
      <c r="J3839" s="148"/>
      <c r="K3839" s="132"/>
      <c r="L3839" s="133"/>
    </row>
    <row r="3840" spans="1:14" x14ac:dyDescent="0.2">
      <c r="A3840" s="199"/>
      <c r="B3840" s="188"/>
      <c r="C3840" s="189"/>
      <c r="D3840" s="165"/>
      <c r="E3840" s="165"/>
      <c r="F3840" s="165"/>
      <c r="G3840" s="165"/>
      <c r="H3840" s="165"/>
      <c r="I3840" s="190"/>
      <c r="J3840" s="191"/>
      <c r="K3840" s="192"/>
      <c r="L3840" s="55"/>
      <c r="M3840" s="55"/>
      <c r="N3840" s="55"/>
    </row>
    <row r="3841" spans="1:14" x14ac:dyDescent="0.2">
      <c r="A3841" s="158"/>
      <c r="B3841" s="188"/>
      <c r="C3841" s="189"/>
      <c r="D3841" s="165"/>
      <c r="E3841" s="165"/>
      <c r="F3841" s="165"/>
      <c r="G3841" s="165"/>
      <c r="H3841" s="165"/>
      <c r="I3841" s="190"/>
      <c r="J3841" s="191"/>
      <c r="K3841" s="192"/>
      <c r="L3841" s="55"/>
      <c r="M3841" s="55"/>
      <c r="N3841" s="55"/>
    </row>
    <row r="3842" spans="1:14" x14ac:dyDescent="0.2">
      <c r="A3842" s="145"/>
      <c r="B3842" s="146"/>
      <c r="C3842" s="147"/>
      <c r="D3842" s="147"/>
      <c r="E3842" s="147"/>
      <c r="F3842" s="147"/>
      <c r="G3842" s="147"/>
      <c r="H3842" s="147"/>
      <c r="I3842" s="147"/>
      <c r="J3842" s="148"/>
      <c r="K3842" s="132"/>
      <c r="L3842" s="133"/>
    </row>
    <row r="3843" spans="1:14" x14ac:dyDescent="0.2">
      <c r="A3843" s="199"/>
      <c r="B3843" s="188"/>
      <c r="C3843" s="189"/>
      <c r="D3843" s="165"/>
      <c r="E3843" s="165"/>
      <c r="F3843" s="165"/>
      <c r="G3843" s="165"/>
      <c r="H3843" s="165"/>
      <c r="I3843" s="190"/>
      <c r="J3843" s="191"/>
      <c r="K3843" s="192"/>
      <c r="L3843" s="55"/>
      <c r="M3843" s="55"/>
      <c r="N3843" s="55"/>
    </row>
    <row r="3844" spans="1:14" x14ac:dyDescent="0.2">
      <c r="A3844" s="158"/>
      <c r="B3844" s="188"/>
      <c r="C3844" s="189"/>
      <c r="D3844" s="165"/>
      <c r="E3844" s="165"/>
      <c r="F3844" s="165"/>
      <c r="G3844" s="165"/>
      <c r="H3844" s="165"/>
      <c r="I3844" s="190"/>
      <c r="J3844" s="191"/>
      <c r="K3844" s="192"/>
      <c r="L3844" s="55"/>
      <c r="M3844" s="55"/>
      <c r="N3844" s="55"/>
    </row>
    <row r="3845" spans="1:14" x14ac:dyDescent="0.2">
      <c r="A3845" s="145"/>
      <c r="B3845" s="146"/>
      <c r="C3845" s="147"/>
      <c r="D3845" s="147"/>
      <c r="E3845" s="147"/>
      <c r="F3845" s="147"/>
      <c r="G3845" s="147"/>
      <c r="H3845" s="147"/>
      <c r="I3845" s="147"/>
      <c r="J3845" s="148"/>
      <c r="K3845" s="132"/>
      <c r="L3845" s="133"/>
    </row>
    <row r="3846" spans="1:14" x14ac:dyDescent="0.2">
      <c r="A3846" s="199"/>
      <c r="B3846" s="188"/>
      <c r="C3846" s="189"/>
      <c r="D3846" s="165"/>
      <c r="E3846" s="165"/>
      <c r="F3846" s="165"/>
      <c r="G3846" s="165"/>
      <c r="H3846" s="165"/>
      <c r="I3846" s="190"/>
      <c r="J3846" s="191"/>
      <c r="K3846" s="192"/>
      <c r="L3846" s="55"/>
      <c r="M3846" s="55"/>
      <c r="N3846" s="55"/>
    </row>
    <row r="3847" spans="1:14" x14ac:dyDescent="0.2">
      <c r="A3847" s="158"/>
      <c r="B3847" s="188"/>
      <c r="C3847" s="189"/>
      <c r="D3847" s="165"/>
      <c r="E3847" s="165"/>
      <c r="F3847" s="165"/>
      <c r="G3847" s="165"/>
      <c r="H3847" s="165"/>
      <c r="I3847" s="190"/>
      <c r="J3847" s="191"/>
      <c r="K3847" s="192"/>
      <c r="L3847" s="55"/>
      <c r="M3847" s="55"/>
      <c r="N3847" s="55"/>
    </row>
    <row r="3848" spans="1:14" x14ac:dyDescent="0.2">
      <c r="A3848" s="145"/>
      <c r="B3848" s="146"/>
      <c r="C3848" s="147"/>
      <c r="D3848" s="147"/>
      <c r="E3848" s="147"/>
      <c r="F3848" s="147"/>
      <c r="G3848" s="147"/>
      <c r="H3848" s="147"/>
      <c r="I3848" s="147"/>
      <c r="J3848" s="148"/>
      <c r="K3848" s="132"/>
      <c r="L3848" s="133"/>
    </row>
    <row r="3849" spans="1:14" x14ac:dyDescent="0.2">
      <c r="A3849" s="199"/>
      <c r="B3849" s="188"/>
      <c r="C3849" s="189"/>
      <c r="D3849" s="165"/>
      <c r="E3849" s="165"/>
      <c r="F3849" s="165"/>
      <c r="G3849" s="165"/>
      <c r="H3849" s="165"/>
      <c r="I3849" s="190"/>
      <c r="J3849" s="191"/>
      <c r="K3849" s="192"/>
      <c r="L3849" s="55"/>
      <c r="M3849" s="55"/>
      <c r="N3849" s="55"/>
    </row>
    <row r="3850" spans="1:14" x14ac:dyDescent="0.2">
      <c r="A3850" s="158"/>
      <c r="B3850" s="188"/>
      <c r="C3850" s="189"/>
      <c r="D3850" s="165"/>
      <c r="E3850" s="165"/>
      <c r="F3850" s="165"/>
      <c r="G3850" s="165"/>
      <c r="H3850" s="165"/>
      <c r="I3850" s="190"/>
      <c r="J3850" s="191"/>
      <c r="K3850" s="192"/>
      <c r="L3850" s="55"/>
      <c r="M3850" s="55"/>
      <c r="N3850" s="55"/>
    </row>
    <row r="3851" spans="1:14" x14ac:dyDescent="0.2">
      <c r="A3851" s="145"/>
      <c r="B3851" s="146"/>
      <c r="C3851" s="147"/>
      <c r="D3851" s="147"/>
      <c r="E3851" s="147"/>
      <c r="F3851" s="147"/>
      <c r="G3851" s="147"/>
      <c r="H3851" s="147"/>
      <c r="I3851" s="147"/>
      <c r="J3851" s="148"/>
      <c r="K3851" s="132"/>
      <c r="L3851" s="133"/>
    </row>
    <row r="3852" spans="1:14" ht="13.5" thickBot="1" x14ac:dyDescent="0.25">
      <c r="A3852" s="149"/>
      <c r="B3852" s="150"/>
      <c r="C3852" s="151"/>
      <c r="D3852" s="151"/>
      <c r="E3852" s="151"/>
      <c r="F3852" s="151"/>
      <c r="G3852" s="151"/>
      <c r="H3852" s="151"/>
      <c r="I3852" s="151"/>
      <c r="J3852" s="152"/>
      <c r="K3852" s="132"/>
      <c r="L3852" s="133"/>
    </row>
    <row r="3853" spans="1:14" ht="13.5" thickBot="1" x14ac:dyDescent="0.25">
      <c r="A3853" s="153"/>
      <c r="B3853" s="153"/>
      <c r="C3853" s="154"/>
      <c r="D3853" s="154"/>
      <c r="E3853" s="154"/>
      <c r="F3853" s="154"/>
      <c r="G3853" s="154"/>
      <c r="H3853" s="154"/>
      <c r="I3853" s="154"/>
      <c r="J3853" s="153"/>
      <c r="K3853" s="132"/>
      <c r="L3853" s="133"/>
    </row>
    <row r="3854" spans="1:14" ht="13.5" thickBot="1" x14ac:dyDescent="0.25">
      <c r="A3854" s="614" t="s">
        <v>62</v>
      </c>
      <c r="B3854" s="648"/>
      <c r="C3854" s="648"/>
      <c r="D3854" s="648"/>
      <c r="E3854" s="648"/>
      <c r="F3854" s="648"/>
      <c r="G3854" s="648"/>
      <c r="H3854" s="648"/>
      <c r="I3854" s="648"/>
      <c r="J3854" s="649"/>
      <c r="K3854" s="132"/>
      <c r="L3854" s="133"/>
    </row>
    <row r="3855" spans="1:14" x14ac:dyDescent="0.2">
      <c r="A3855" s="136"/>
      <c r="B3855" s="155"/>
      <c r="C3855" s="156"/>
      <c r="D3855" s="156"/>
      <c r="E3855" s="156"/>
      <c r="F3855" s="156"/>
      <c r="G3855" s="156"/>
      <c r="H3855" s="156"/>
      <c r="I3855" s="156"/>
      <c r="J3855" s="157"/>
      <c r="K3855" s="132"/>
      <c r="L3855" s="133"/>
    </row>
    <row r="3856" spans="1:14" ht="12.75" customHeight="1" x14ac:dyDescent="0.2">
      <c r="A3856" s="158" t="s">
        <v>63</v>
      </c>
      <c r="B3856" s="55"/>
      <c r="C3856" s="596" t="s">
        <v>681</v>
      </c>
      <c r="D3856" s="596"/>
      <c r="E3856" s="596"/>
      <c r="F3856" s="596"/>
      <c r="G3856" s="596"/>
      <c r="H3856" s="596"/>
      <c r="I3856" s="596"/>
      <c r="J3856" s="597"/>
      <c r="K3856" s="132"/>
      <c r="L3856" s="133"/>
    </row>
    <row r="3857" spans="1:12" x14ac:dyDescent="0.2">
      <c r="A3857" s="158"/>
      <c r="B3857" s="55"/>
      <c r="C3857" s="596"/>
      <c r="D3857" s="596"/>
      <c r="E3857" s="596"/>
      <c r="F3857" s="596"/>
      <c r="G3857" s="596"/>
      <c r="H3857" s="596"/>
      <c r="I3857" s="596"/>
      <c r="J3857" s="597"/>
      <c r="K3857" s="132"/>
      <c r="L3857" s="133"/>
    </row>
    <row r="3858" spans="1:12" x14ac:dyDescent="0.2">
      <c r="A3858" s="158"/>
      <c r="B3858" s="55"/>
      <c r="C3858" s="175"/>
      <c r="D3858" s="175"/>
      <c r="E3858" s="175"/>
      <c r="F3858" s="175"/>
      <c r="G3858" s="175"/>
      <c r="H3858" s="175"/>
      <c r="I3858" s="175"/>
      <c r="J3858" s="176"/>
      <c r="K3858" s="132"/>
      <c r="L3858" s="133"/>
    </row>
    <row r="3859" spans="1:12" ht="12.75" customHeight="1" x14ac:dyDescent="0.2">
      <c r="A3859" s="598" t="s">
        <v>64</v>
      </c>
      <c r="B3859" s="638"/>
      <c r="C3859" s="634" t="s">
        <v>500</v>
      </c>
      <c r="D3859" s="634"/>
      <c r="E3859" s="634"/>
      <c r="F3859" s="634"/>
      <c r="G3859" s="634"/>
      <c r="H3859" s="634"/>
      <c r="I3859" s="634"/>
      <c r="J3859" s="635"/>
      <c r="K3859" s="132"/>
      <c r="L3859" s="133"/>
    </row>
    <row r="3860" spans="1:12" x14ac:dyDescent="0.2">
      <c r="A3860" s="158"/>
      <c r="B3860" s="55"/>
      <c r="C3860" s="175"/>
      <c r="D3860" s="175"/>
      <c r="E3860" s="175"/>
      <c r="F3860" s="175"/>
      <c r="G3860" s="175"/>
      <c r="H3860" s="175"/>
      <c r="I3860" s="175"/>
      <c r="J3860" s="176"/>
      <c r="K3860" s="132"/>
      <c r="L3860" s="133"/>
    </row>
    <row r="3861" spans="1:12" x14ac:dyDescent="0.2">
      <c r="A3861" s="158"/>
      <c r="B3861" s="55"/>
      <c r="C3861" s="175"/>
      <c r="D3861" s="175"/>
      <c r="E3861" s="175"/>
      <c r="F3861" s="175"/>
      <c r="G3861" s="175"/>
      <c r="H3861" s="175"/>
      <c r="I3861" s="175"/>
      <c r="J3861" s="176"/>
      <c r="K3861" s="132"/>
      <c r="L3861" s="133"/>
    </row>
    <row r="3862" spans="1:12" x14ac:dyDescent="0.2">
      <c r="A3862" s="158"/>
      <c r="B3862" s="55"/>
      <c r="C3862" s="175"/>
      <c r="D3862" s="175"/>
      <c r="E3862" s="175"/>
      <c r="F3862" s="175"/>
      <c r="G3862" s="175"/>
      <c r="H3862" s="175"/>
      <c r="I3862" s="175"/>
      <c r="J3862" s="176"/>
      <c r="K3862" s="132"/>
      <c r="L3862" s="133"/>
    </row>
    <row r="3863" spans="1:12" x14ac:dyDescent="0.2">
      <c r="A3863" s="158"/>
      <c r="B3863" s="55"/>
      <c r="C3863" s="71"/>
      <c r="D3863" s="71"/>
      <c r="E3863" s="71"/>
      <c r="F3863" s="71"/>
      <c r="G3863" s="71"/>
      <c r="H3863" s="71"/>
      <c r="I3863" s="71"/>
      <c r="J3863" s="174"/>
      <c r="K3863" s="132"/>
      <c r="L3863" s="133"/>
    </row>
    <row r="3864" spans="1:12" x14ac:dyDescent="0.2">
      <c r="A3864" s="158"/>
      <c r="B3864" s="55"/>
      <c r="C3864" s="71"/>
      <c r="D3864" s="71"/>
      <c r="E3864" s="71"/>
      <c r="F3864" s="71"/>
      <c r="G3864" s="71"/>
      <c r="H3864" s="71"/>
      <c r="I3864" s="71"/>
      <c r="J3864" s="174"/>
      <c r="K3864" s="132"/>
      <c r="L3864" s="133"/>
    </row>
    <row r="3865" spans="1:12" x14ac:dyDescent="0.2">
      <c r="A3865" s="158"/>
      <c r="B3865" s="55"/>
      <c r="C3865" s="71"/>
      <c r="D3865" s="71"/>
      <c r="E3865" s="71"/>
      <c r="F3865" s="71"/>
      <c r="G3865" s="71"/>
      <c r="H3865" s="71"/>
      <c r="I3865" s="71"/>
      <c r="J3865" s="174"/>
      <c r="K3865" s="132"/>
      <c r="L3865" s="133"/>
    </row>
    <row r="3866" spans="1:12" x14ac:dyDescent="0.2">
      <c r="A3866" s="158"/>
      <c r="B3866" s="55"/>
      <c r="C3866" s="71"/>
      <c r="D3866" s="71"/>
      <c r="E3866" s="71"/>
      <c r="F3866" s="71"/>
      <c r="G3866" s="71"/>
      <c r="H3866" s="71"/>
      <c r="I3866" s="71"/>
      <c r="J3866" s="174"/>
      <c r="K3866" s="132"/>
      <c r="L3866" s="133"/>
    </row>
    <row r="3867" spans="1:12" x14ac:dyDescent="0.2">
      <c r="A3867" s="158"/>
      <c r="B3867" s="55"/>
      <c r="C3867" s="71"/>
      <c r="D3867" s="71"/>
      <c r="E3867" s="71"/>
      <c r="F3867" s="71"/>
      <c r="G3867" s="71"/>
      <c r="H3867" s="71"/>
      <c r="I3867" s="71"/>
      <c r="J3867" s="174"/>
      <c r="K3867" s="132"/>
      <c r="L3867" s="133"/>
    </row>
    <row r="3868" spans="1:12" x14ac:dyDescent="0.2">
      <c r="A3868" s="158"/>
      <c r="B3868" s="55"/>
      <c r="C3868" s="71"/>
      <c r="D3868" s="71"/>
      <c r="E3868" s="71"/>
      <c r="F3868" s="71"/>
      <c r="G3868" s="71"/>
      <c r="H3868" s="71"/>
      <c r="I3868" s="71"/>
      <c r="J3868" s="174"/>
      <c r="K3868" s="132"/>
      <c r="L3868" s="133"/>
    </row>
    <row r="3869" spans="1:12" x14ac:dyDescent="0.2">
      <c r="A3869" s="158"/>
      <c r="B3869" s="55"/>
      <c r="C3869" s="71"/>
      <c r="D3869" s="71"/>
      <c r="E3869" s="71"/>
      <c r="F3869" s="71"/>
      <c r="G3869" s="71"/>
      <c r="H3869" s="71"/>
      <c r="I3869" s="71"/>
      <c r="J3869" s="174"/>
      <c r="K3869" s="132"/>
      <c r="L3869" s="133"/>
    </row>
    <row r="3870" spans="1:12" x14ac:dyDescent="0.2">
      <c r="A3870" s="158"/>
      <c r="B3870" s="55"/>
      <c r="C3870" s="71"/>
      <c r="D3870" s="71"/>
      <c r="E3870" s="71"/>
      <c r="F3870" s="71"/>
      <c r="G3870" s="71"/>
      <c r="H3870" s="71"/>
      <c r="I3870" s="71"/>
      <c r="J3870" s="174"/>
      <c r="K3870" s="132"/>
      <c r="L3870" s="133"/>
    </row>
    <row r="3871" spans="1:12" x14ac:dyDescent="0.2">
      <c r="A3871" s="158"/>
      <c r="B3871" s="55"/>
      <c r="C3871" s="71"/>
      <c r="D3871" s="71"/>
      <c r="E3871" s="71"/>
      <c r="F3871" s="71"/>
      <c r="G3871" s="71"/>
      <c r="H3871" s="71"/>
      <c r="I3871" s="71"/>
      <c r="J3871" s="174"/>
      <c r="K3871" s="132"/>
      <c r="L3871" s="133"/>
    </row>
    <row r="3872" spans="1:12" x14ac:dyDescent="0.2">
      <c r="A3872" s="158"/>
      <c r="B3872" s="55"/>
      <c r="C3872" s="71"/>
      <c r="D3872" s="71"/>
      <c r="E3872" s="71"/>
      <c r="F3872" s="71"/>
      <c r="G3872" s="71"/>
      <c r="H3872" s="71"/>
      <c r="I3872" s="71"/>
      <c r="J3872" s="174"/>
      <c r="K3872" s="132"/>
      <c r="L3872" s="133"/>
    </row>
    <row r="3873" spans="1:14" x14ac:dyDescent="0.2">
      <c r="A3873" s="158"/>
      <c r="B3873" s="55"/>
      <c r="C3873" s="175"/>
      <c r="D3873" s="175"/>
      <c r="E3873" s="172"/>
      <c r="F3873" s="172"/>
      <c r="G3873" s="172"/>
      <c r="H3873" s="172"/>
      <c r="I3873" s="172"/>
      <c r="J3873" s="173"/>
      <c r="K3873" s="132"/>
      <c r="L3873" s="133"/>
    </row>
    <row r="3874" spans="1:14" x14ac:dyDescent="0.2">
      <c r="A3874" s="158"/>
      <c r="B3874" s="55"/>
      <c r="C3874" s="175"/>
      <c r="D3874" s="175"/>
      <c r="E3874" s="172"/>
      <c r="F3874" s="172"/>
      <c r="G3874" s="172"/>
      <c r="H3874" s="172"/>
      <c r="I3874" s="172"/>
      <c r="J3874" s="173"/>
      <c r="K3874" s="132"/>
      <c r="L3874" s="133"/>
    </row>
    <row r="3875" spans="1:14" x14ac:dyDescent="0.2">
      <c r="A3875" s="158"/>
      <c r="B3875" s="55"/>
      <c r="C3875" s="175"/>
      <c r="D3875" s="175"/>
      <c r="E3875" s="172"/>
      <c r="F3875" s="172"/>
      <c r="G3875" s="172"/>
      <c r="H3875" s="172"/>
      <c r="I3875" s="172"/>
      <c r="J3875" s="173"/>
      <c r="K3875" s="132"/>
      <c r="L3875" s="133"/>
    </row>
    <row r="3876" spans="1:14" x14ac:dyDescent="0.2">
      <c r="A3876" s="158"/>
      <c r="B3876" s="55"/>
      <c r="C3876" s="175"/>
      <c r="D3876" s="175"/>
      <c r="E3876" s="175"/>
      <c r="F3876" s="175"/>
      <c r="G3876" s="175"/>
      <c r="H3876" s="175"/>
      <c r="I3876" s="175"/>
      <c r="J3876" s="176"/>
      <c r="K3876" s="132"/>
      <c r="L3876" s="133"/>
    </row>
    <row r="3877" spans="1:14" x14ac:dyDescent="0.2">
      <c r="A3877" s="158"/>
      <c r="B3877" s="55"/>
      <c r="C3877" s="175"/>
      <c r="D3877" s="175"/>
      <c r="E3877" s="175"/>
      <c r="F3877" s="175"/>
      <c r="G3877" s="175"/>
      <c r="H3877" s="175"/>
      <c r="I3877" s="175"/>
      <c r="J3877" s="176"/>
      <c r="K3877" s="132"/>
      <c r="L3877" s="133"/>
    </row>
    <row r="3878" spans="1:14" ht="13.5" thickBot="1" x14ac:dyDescent="0.25">
      <c r="A3878" s="149"/>
      <c r="B3878" s="167"/>
      <c r="C3878" s="151"/>
      <c r="D3878" s="151"/>
      <c r="E3878" s="151"/>
      <c r="F3878" s="151"/>
      <c r="G3878" s="151"/>
      <c r="H3878" s="151"/>
      <c r="I3878" s="151"/>
      <c r="J3878" s="168"/>
      <c r="K3878" s="132"/>
      <c r="L3878" s="133"/>
    </row>
    <row r="3879" spans="1:14" ht="15.75" x14ac:dyDescent="0.2">
      <c r="A3879" s="602" t="s">
        <v>4</v>
      </c>
      <c r="B3879" s="603"/>
      <c r="C3879" s="637" t="str">
        <f>'A IV.A'!$B$112</f>
        <v>FORNECIMENTO E INSTALAÇÕES HIDRAULICAS - ITEM 9.0 DO TERMO DE REFERÊNCIA</v>
      </c>
      <c r="D3879" s="637"/>
      <c r="E3879" s="637"/>
      <c r="F3879" s="637"/>
      <c r="G3879" s="637"/>
      <c r="H3879" s="637"/>
      <c r="I3879" s="637"/>
      <c r="J3879" s="719"/>
      <c r="K3879" s="132"/>
      <c r="L3879" s="133"/>
    </row>
    <row r="3880" spans="1:14" ht="12.75" customHeight="1" x14ac:dyDescent="0.2">
      <c r="A3880" s="609" t="str">
        <f>'A IV.A'!$A$112</f>
        <v>4.0</v>
      </c>
      <c r="B3880" s="610"/>
      <c r="C3880" s="720"/>
      <c r="D3880" s="720"/>
      <c r="E3880" s="720"/>
      <c r="F3880" s="720"/>
      <c r="G3880" s="720"/>
      <c r="H3880" s="720"/>
      <c r="I3880" s="720"/>
      <c r="J3880" s="721"/>
      <c r="K3880" s="132"/>
      <c r="L3880" s="133"/>
    </row>
    <row r="3881" spans="1:14" ht="13.5" customHeight="1" thickBot="1" x14ac:dyDescent="0.25">
      <c r="A3881" s="611"/>
      <c r="B3881" s="612"/>
      <c r="C3881" s="722"/>
      <c r="D3881" s="722"/>
      <c r="E3881" s="722"/>
      <c r="F3881" s="722"/>
      <c r="G3881" s="722"/>
      <c r="H3881" s="722"/>
      <c r="I3881" s="722"/>
      <c r="J3881" s="723"/>
      <c r="K3881" s="132"/>
      <c r="L3881" s="133"/>
    </row>
    <row r="3882" spans="1:14" ht="13.5" thickBot="1" x14ac:dyDescent="0.25">
      <c r="A3882" s="169"/>
      <c r="B3882" s="169"/>
      <c r="C3882" s="613"/>
      <c r="D3882" s="613"/>
      <c r="E3882" s="613"/>
      <c r="F3882" s="613"/>
      <c r="G3882" s="613"/>
      <c r="H3882" s="613"/>
      <c r="I3882" s="613"/>
      <c r="J3882" s="169"/>
      <c r="K3882" s="132"/>
      <c r="L3882" s="133"/>
    </row>
    <row r="3883" spans="1:14" ht="13.5" thickBot="1" x14ac:dyDescent="0.25">
      <c r="A3883" s="632" t="s">
        <v>60</v>
      </c>
      <c r="B3883" s="633"/>
      <c r="C3883" s="656" t="s">
        <v>61</v>
      </c>
      <c r="D3883" s="656"/>
      <c r="E3883" s="656"/>
      <c r="F3883" s="656"/>
      <c r="G3883" s="656"/>
      <c r="H3883" s="656"/>
      <c r="I3883" s="656"/>
      <c r="J3883" s="260" t="s">
        <v>0</v>
      </c>
      <c r="K3883" s="132"/>
      <c r="L3883" s="133"/>
    </row>
    <row r="3884" spans="1:14" x14ac:dyDescent="0.2">
      <c r="A3884" s="136"/>
      <c r="B3884" s="137"/>
      <c r="C3884" s="619"/>
      <c r="D3884" s="620"/>
      <c r="E3884" s="621"/>
      <c r="F3884" s="621"/>
      <c r="G3884" s="621"/>
      <c r="H3884" s="621"/>
      <c r="I3884" s="622"/>
      <c r="J3884" s="138"/>
      <c r="K3884" s="132"/>
      <c r="L3884" s="133"/>
    </row>
    <row r="3885" spans="1:14" ht="12.75" customHeight="1" x14ac:dyDescent="0.2">
      <c r="A3885" s="623" t="str">
        <f>'A IV.A'!$A$124</f>
        <v>4.11</v>
      </c>
      <c r="B3885" s="636"/>
      <c r="C3885" s="626" t="str">
        <f>'A IV.A'!$B$124</f>
        <v>CONDUTOR VERTICAL DE ÁGUAS PLUVIAIS EM TUBO PVC, SÉRIE R, ÁGUA PLUVIAL, DN 100 MM, INCLUSIVE CONEXÕES</v>
      </c>
      <c r="D3885" s="627"/>
      <c r="E3885" s="627"/>
      <c r="F3885" s="627"/>
      <c r="G3885" s="627"/>
      <c r="H3885" s="627"/>
      <c r="I3885" s="628"/>
      <c r="J3885" s="629" t="str">
        <f>'A IV.A'!$C$124</f>
        <v>M</v>
      </c>
      <c r="K3885" s="630" t="str">
        <f>VLOOKUP(A3885,'A IV.A'!$A$14:$M$233,2,FALSE)</f>
        <v>CONDUTOR VERTICAL DE ÁGUAS PLUVIAIS EM TUBO PVC, SÉRIE R, ÁGUA PLUVIAL, DN 100 MM, INCLUSIVE CONEXÕES</v>
      </c>
      <c r="L3885" s="631" t="str">
        <f>IF(C3885=K3885,"sim","nao")</f>
        <v>sim</v>
      </c>
      <c r="M3885" s="631" t="str">
        <f>VLOOKUP(A3885,'A IV.A'!$A$14:$M$233,3,FALSE)</f>
        <v>M</v>
      </c>
      <c r="N3885" s="631" t="str">
        <f>IF(J3885=M3885,"sim","nao")</f>
        <v>sim</v>
      </c>
    </row>
    <row r="3886" spans="1:14" x14ac:dyDescent="0.2">
      <c r="A3886" s="623"/>
      <c r="B3886" s="636"/>
      <c r="C3886" s="626"/>
      <c r="D3886" s="627"/>
      <c r="E3886" s="627"/>
      <c r="F3886" s="627"/>
      <c r="G3886" s="627"/>
      <c r="H3886" s="627"/>
      <c r="I3886" s="628"/>
      <c r="J3886" s="629"/>
      <c r="K3886" s="630"/>
      <c r="L3886" s="631"/>
      <c r="M3886" s="631"/>
      <c r="N3886" s="631"/>
    </row>
    <row r="3887" spans="1:14" x14ac:dyDescent="0.2">
      <c r="A3887" s="623"/>
      <c r="B3887" s="636"/>
      <c r="C3887" s="626"/>
      <c r="D3887" s="627"/>
      <c r="E3887" s="627"/>
      <c r="F3887" s="627"/>
      <c r="G3887" s="627"/>
      <c r="H3887" s="627"/>
      <c r="I3887" s="628"/>
      <c r="J3887" s="629"/>
      <c r="K3887" s="132"/>
      <c r="L3887" s="133"/>
    </row>
    <row r="3888" spans="1:14" x14ac:dyDescent="0.2">
      <c r="A3888" s="199"/>
      <c r="B3888" s="188"/>
      <c r="C3888" s="189"/>
      <c r="D3888" s="165"/>
      <c r="E3888" s="165"/>
      <c r="F3888" s="165"/>
      <c r="G3888" s="165"/>
      <c r="H3888" s="165"/>
      <c r="I3888" s="190"/>
      <c r="J3888" s="191"/>
      <c r="K3888" s="192"/>
      <c r="L3888" s="55"/>
      <c r="M3888" s="55"/>
      <c r="N3888" s="55"/>
    </row>
    <row r="3889" spans="1:14" x14ac:dyDescent="0.2">
      <c r="A3889" s="158"/>
      <c r="B3889" s="188"/>
      <c r="C3889" s="189"/>
      <c r="D3889" s="165"/>
      <c r="E3889" s="165"/>
      <c r="F3889" s="165"/>
      <c r="G3889" s="165"/>
      <c r="H3889" s="165"/>
      <c r="I3889" s="190"/>
      <c r="J3889" s="191"/>
      <c r="K3889" s="192"/>
      <c r="L3889" s="55"/>
      <c r="M3889" s="55"/>
      <c r="N3889" s="55"/>
    </row>
    <row r="3890" spans="1:14" x14ac:dyDescent="0.2">
      <c r="A3890" s="145"/>
      <c r="B3890" s="146"/>
      <c r="C3890" s="147"/>
      <c r="D3890" s="147"/>
      <c r="E3890" s="147"/>
      <c r="F3890" s="147"/>
      <c r="G3890" s="147"/>
      <c r="H3890" s="147"/>
      <c r="I3890" s="147"/>
      <c r="J3890" s="148"/>
      <c r="K3890" s="132"/>
      <c r="L3890" s="133"/>
    </row>
    <row r="3891" spans="1:14" x14ac:dyDescent="0.2">
      <c r="A3891" s="199"/>
      <c r="B3891" s="188"/>
      <c r="C3891" s="189"/>
      <c r="D3891" s="165"/>
      <c r="E3891" s="165"/>
      <c r="F3891" s="165"/>
      <c r="G3891" s="165"/>
      <c r="H3891" s="165"/>
      <c r="I3891" s="190"/>
      <c r="J3891" s="191"/>
      <c r="K3891" s="192"/>
      <c r="L3891" s="55"/>
      <c r="M3891" s="55"/>
      <c r="N3891" s="55"/>
    </row>
    <row r="3892" spans="1:14" x14ac:dyDescent="0.2">
      <c r="A3892" s="158"/>
      <c r="B3892" s="188"/>
      <c r="C3892" s="189"/>
      <c r="D3892" s="165"/>
      <c r="E3892" s="165"/>
      <c r="F3892" s="165"/>
      <c r="G3892" s="165"/>
      <c r="H3892" s="165"/>
      <c r="I3892" s="190"/>
      <c r="J3892" s="191"/>
      <c r="K3892" s="192"/>
      <c r="L3892" s="55"/>
      <c r="M3892" s="55"/>
      <c r="N3892" s="55"/>
    </row>
    <row r="3893" spans="1:14" x14ac:dyDescent="0.2">
      <c r="A3893" s="145"/>
      <c r="B3893" s="146"/>
      <c r="C3893" s="147"/>
      <c r="D3893" s="147"/>
      <c r="E3893" s="147"/>
      <c r="F3893" s="147"/>
      <c r="G3893" s="147"/>
      <c r="H3893" s="147"/>
      <c r="I3893" s="147"/>
      <c r="J3893" s="148"/>
      <c r="K3893" s="132"/>
      <c r="L3893" s="133"/>
    </row>
    <row r="3894" spans="1:14" x14ac:dyDescent="0.2">
      <c r="A3894" s="199"/>
      <c r="B3894" s="188"/>
      <c r="C3894" s="189"/>
      <c r="D3894" s="165"/>
      <c r="E3894" s="165"/>
      <c r="F3894" s="165"/>
      <c r="G3894" s="165"/>
      <c r="H3894" s="165"/>
      <c r="I3894" s="190"/>
      <c r="J3894" s="191"/>
      <c r="K3894" s="192"/>
      <c r="L3894" s="55"/>
      <c r="M3894" s="55"/>
      <c r="N3894" s="55"/>
    </row>
    <row r="3895" spans="1:14" x14ac:dyDescent="0.2">
      <c r="A3895" s="158"/>
      <c r="B3895" s="188"/>
      <c r="C3895" s="189"/>
      <c r="D3895" s="165"/>
      <c r="E3895" s="165"/>
      <c r="F3895" s="165"/>
      <c r="G3895" s="165"/>
      <c r="H3895" s="165"/>
      <c r="I3895" s="190"/>
      <c r="J3895" s="191"/>
      <c r="K3895" s="192"/>
      <c r="L3895" s="55"/>
      <c r="M3895" s="55"/>
      <c r="N3895" s="55"/>
    </row>
    <row r="3896" spans="1:14" x14ac:dyDescent="0.2">
      <c r="A3896" s="145"/>
      <c r="B3896" s="146"/>
      <c r="C3896" s="147"/>
      <c r="D3896" s="147"/>
      <c r="E3896" s="147"/>
      <c r="F3896" s="147"/>
      <c r="G3896" s="147"/>
      <c r="H3896" s="147"/>
      <c r="I3896" s="147"/>
      <c r="J3896" s="148"/>
      <c r="K3896" s="132"/>
      <c r="L3896" s="133"/>
    </row>
    <row r="3897" spans="1:14" x14ac:dyDescent="0.2">
      <c r="A3897" s="199"/>
      <c r="B3897" s="188"/>
      <c r="C3897" s="189"/>
      <c r="D3897" s="165"/>
      <c r="E3897" s="165"/>
      <c r="F3897" s="165"/>
      <c r="G3897" s="165"/>
      <c r="H3897" s="165"/>
      <c r="I3897" s="190"/>
      <c r="J3897" s="191"/>
      <c r="K3897" s="192"/>
      <c r="L3897" s="55"/>
      <c r="M3897" s="55"/>
      <c r="N3897" s="55"/>
    </row>
    <row r="3898" spans="1:14" x14ac:dyDescent="0.2">
      <c r="A3898" s="158"/>
      <c r="B3898" s="188"/>
      <c r="C3898" s="189"/>
      <c r="D3898" s="165"/>
      <c r="E3898" s="165"/>
      <c r="F3898" s="165"/>
      <c r="G3898" s="165"/>
      <c r="H3898" s="165"/>
      <c r="I3898" s="190"/>
      <c r="J3898" s="191"/>
      <c r="K3898" s="192"/>
      <c r="L3898" s="55"/>
      <c r="M3898" s="55"/>
      <c r="N3898" s="55"/>
    </row>
    <row r="3899" spans="1:14" x14ac:dyDescent="0.2">
      <c r="A3899" s="145"/>
      <c r="B3899" s="146"/>
      <c r="C3899" s="147"/>
      <c r="D3899" s="147"/>
      <c r="E3899" s="147"/>
      <c r="F3899" s="147"/>
      <c r="G3899" s="147"/>
      <c r="H3899" s="147"/>
      <c r="I3899" s="147"/>
      <c r="J3899" s="148"/>
      <c r="K3899" s="132"/>
      <c r="L3899" s="133"/>
    </row>
    <row r="3900" spans="1:14" x14ac:dyDescent="0.2">
      <c r="A3900" s="199"/>
      <c r="B3900" s="188"/>
      <c r="C3900" s="189"/>
      <c r="D3900" s="165"/>
      <c r="E3900" s="165"/>
      <c r="F3900" s="165"/>
      <c r="G3900" s="165"/>
      <c r="H3900" s="165"/>
      <c r="I3900" s="190"/>
      <c r="J3900" s="191"/>
      <c r="K3900" s="192"/>
      <c r="L3900" s="55"/>
      <c r="M3900" s="55"/>
      <c r="N3900" s="55"/>
    </row>
    <row r="3901" spans="1:14" x14ac:dyDescent="0.2">
      <c r="A3901" s="158"/>
      <c r="B3901" s="188"/>
      <c r="C3901" s="189"/>
      <c r="D3901" s="165"/>
      <c r="E3901" s="165"/>
      <c r="F3901" s="165"/>
      <c r="G3901" s="165"/>
      <c r="H3901" s="165"/>
      <c r="I3901" s="190"/>
      <c r="J3901" s="191"/>
      <c r="K3901" s="192"/>
      <c r="L3901" s="55"/>
      <c r="M3901" s="55"/>
      <c r="N3901" s="55"/>
    </row>
    <row r="3902" spans="1:14" x14ac:dyDescent="0.2">
      <c r="A3902" s="145"/>
      <c r="B3902" s="146"/>
      <c r="C3902" s="147"/>
      <c r="D3902" s="147"/>
      <c r="E3902" s="147"/>
      <c r="F3902" s="147"/>
      <c r="G3902" s="147"/>
      <c r="H3902" s="147"/>
      <c r="I3902" s="147"/>
      <c r="J3902" s="148"/>
      <c r="K3902" s="132"/>
      <c r="L3902" s="133"/>
    </row>
    <row r="3903" spans="1:14" x14ac:dyDescent="0.2">
      <c r="A3903" s="199"/>
      <c r="B3903" s="188"/>
      <c r="C3903" s="189"/>
      <c r="D3903" s="165"/>
      <c r="E3903" s="165"/>
      <c r="F3903" s="165"/>
      <c r="G3903" s="165"/>
      <c r="H3903" s="165"/>
      <c r="I3903" s="190"/>
      <c r="J3903" s="191"/>
      <c r="K3903" s="192"/>
      <c r="L3903" s="55"/>
      <c r="M3903" s="55"/>
      <c r="N3903" s="55"/>
    </row>
    <row r="3904" spans="1:14" x14ac:dyDescent="0.2">
      <c r="A3904" s="158"/>
      <c r="B3904" s="188"/>
      <c r="C3904" s="189"/>
      <c r="D3904" s="165"/>
      <c r="E3904" s="165"/>
      <c r="F3904" s="165"/>
      <c r="G3904" s="165"/>
      <c r="H3904" s="165"/>
      <c r="I3904" s="190"/>
      <c r="J3904" s="191"/>
      <c r="K3904" s="192"/>
      <c r="L3904" s="55"/>
      <c r="M3904" s="55"/>
      <c r="N3904" s="55"/>
    </row>
    <row r="3905" spans="1:12" x14ac:dyDescent="0.2">
      <c r="A3905" s="145"/>
      <c r="B3905" s="146"/>
      <c r="C3905" s="147"/>
      <c r="D3905" s="147"/>
      <c r="E3905" s="147"/>
      <c r="F3905" s="147"/>
      <c r="G3905" s="147"/>
      <c r="H3905" s="147"/>
      <c r="I3905" s="147"/>
      <c r="J3905" s="148"/>
      <c r="K3905" s="132"/>
      <c r="L3905" s="133"/>
    </row>
    <row r="3906" spans="1:12" ht="13.5" thickBot="1" x14ac:dyDescent="0.25">
      <c r="A3906" s="149"/>
      <c r="B3906" s="150"/>
      <c r="C3906" s="151"/>
      <c r="D3906" s="151"/>
      <c r="E3906" s="151"/>
      <c r="F3906" s="151"/>
      <c r="G3906" s="151"/>
      <c r="H3906" s="151"/>
      <c r="I3906" s="151"/>
      <c r="J3906" s="152"/>
      <c r="K3906" s="132"/>
      <c r="L3906" s="133"/>
    </row>
    <row r="3907" spans="1:12" ht="13.5" thickBot="1" x14ac:dyDescent="0.25">
      <c r="A3907" s="153"/>
      <c r="B3907" s="153"/>
      <c r="C3907" s="154"/>
      <c r="D3907" s="154"/>
      <c r="E3907" s="154"/>
      <c r="F3907" s="154"/>
      <c r="G3907" s="154"/>
      <c r="H3907" s="154"/>
      <c r="I3907" s="154"/>
      <c r="J3907" s="153"/>
      <c r="K3907" s="132"/>
      <c r="L3907" s="133"/>
    </row>
    <row r="3908" spans="1:12" ht="13.5" thickBot="1" x14ac:dyDescent="0.25">
      <c r="A3908" s="614" t="s">
        <v>62</v>
      </c>
      <c r="B3908" s="648"/>
      <c r="C3908" s="648"/>
      <c r="D3908" s="648"/>
      <c r="E3908" s="648"/>
      <c r="F3908" s="648"/>
      <c r="G3908" s="648"/>
      <c r="H3908" s="648"/>
      <c r="I3908" s="648"/>
      <c r="J3908" s="649"/>
      <c r="K3908" s="132"/>
      <c r="L3908" s="133"/>
    </row>
    <row r="3909" spans="1:12" x14ac:dyDescent="0.2">
      <c r="A3909" s="136"/>
      <c r="B3909" s="155"/>
      <c r="C3909" s="156"/>
      <c r="D3909" s="156"/>
      <c r="E3909" s="156"/>
      <c r="F3909" s="156"/>
      <c r="G3909" s="156"/>
      <c r="H3909" s="156"/>
      <c r="I3909" s="156"/>
      <c r="J3909" s="157"/>
      <c r="K3909" s="132"/>
      <c r="L3909" s="133"/>
    </row>
    <row r="3910" spans="1:12" ht="12.75" customHeight="1" x14ac:dyDescent="0.2">
      <c r="A3910" s="158" t="s">
        <v>63</v>
      </c>
      <c r="B3910" s="55"/>
      <c r="C3910" s="652" t="s">
        <v>682</v>
      </c>
      <c r="D3910" s="652"/>
      <c r="E3910" s="652"/>
      <c r="F3910" s="652"/>
      <c r="G3910" s="652"/>
      <c r="H3910" s="652"/>
      <c r="I3910" s="652"/>
      <c r="J3910" s="653"/>
      <c r="K3910" s="132"/>
      <c r="L3910" s="133"/>
    </row>
    <row r="3911" spans="1:12" x14ac:dyDescent="0.2">
      <c r="A3911" s="158"/>
      <c r="B3911" s="55"/>
      <c r="C3911" s="652"/>
      <c r="D3911" s="652"/>
      <c r="E3911" s="652"/>
      <c r="F3911" s="652"/>
      <c r="G3911" s="652"/>
      <c r="H3911" s="652"/>
      <c r="I3911" s="652"/>
      <c r="J3911" s="653"/>
      <c r="K3911" s="132"/>
      <c r="L3911" s="133"/>
    </row>
    <row r="3912" spans="1:12" x14ac:dyDescent="0.2">
      <c r="A3912" s="158"/>
      <c r="B3912" s="55"/>
      <c r="C3912" s="652"/>
      <c r="D3912" s="652"/>
      <c r="E3912" s="652"/>
      <c r="F3912" s="652"/>
      <c r="G3912" s="652"/>
      <c r="H3912" s="652"/>
      <c r="I3912" s="652"/>
      <c r="J3912" s="653"/>
      <c r="K3912" s="132"/>
      <c r="L3912" s="133"/>
    </row>
    <row r="3913" spans="1:12" x14ac:dyDescent="0.2">
      <c r="A3913" s="158"/>
      <c r="B3913" s="55"/>
      <c r="C3913" s="652"/>
      <c r="D3913" s="652"/>
      <c r="E3913" s="652"/>
      <c r="F3913" s="652"/>
      <c r="G3913" s="652"/>
      <c r="H3913" s="652"/>
      <c r="I3913" s="652"/>
      <c r="J3913" s="653"/>
      <c r="K3913" s="132"/>
      <c r="L3913" s="133"/>
    </row>
    <row r="3914" spans="1:12" x14ac:dyDescent="0.2">
      <c r="A3914" s="598"/>
      <c r="B3914" s="638"/>
      <c r="C3914" s="652"/>
      <c r="D3914" s="652"/>
      <c r="E3914" s="652"/>
      <c r="F3914" s="652"/>
      <c r="G3914" s="652"/>
      <c r="H3914" s="652"/>
      <c r="I3914" s="652"/>
      <c r="J3914" s="653"/>
      <c r="K3914" s="132"/>
      <c r="L3914" s="133"/>
    </row>
    <row r="3915" spans="1:12" x14ac:dyDescent="0.2">
      <c r="C3915" s="652"/>
      <c r="D3915" s="652"/>
      <c r="E3915" s="652"/>
      <c r="F3915" s="652"/>
      <c r="G3915" s="652"/>
      <c r="H3915" s="652"/>
      <c r="I3915" s="652"/>
      <c r="J3915" s="653"/>
      <c r="K3915" s="132"/>
      <c r="L3915" s="133"/>
    </row>
    <row r="3916" spans="1:12" x14ac:dyDescent="0.2">
      <c r="A3916" s="158"/>
      <c r="B3916" s="55"/>
      <c r="C3916" s="652"/>
      <c r="D3916" s="652"/>
      <c r="E3916" s="652"/>
      <c r="F3916" s="652"/>
      <c r="G3916" s="652"/>
      <c r="H3916" s="652"/>
      <c r="I3916" s="652"/>
      <c r="J3916" s="653"/>
      <c r="K3916" s="132"/>
      <c r="L3916" s="133"/>
    </row>
    <row r="3917" spans="1:12" x14ac:dyDescent="0.2">
      <c r="A3917" s="158"/>
      <c r="B3917" s="55"/>
      <c r="C3917" s="652"/>
      <c r="D3917" s="652"/>
      <c r="E3917" s="652"/>
      <c r="F3917" s="652"/>
      <c r="G3917" s="652"/>
      <c r="H3917" s="652"/>
      <c r="I3917" s="652"/>
      <c r="J3917" s="653"/>
      <c r="K3917" s="132"/>
      <c r="L3917" s="133"/>
    </row>
    <row r="3918" spans="1:12" x14ac:dyDescent="0.2">
      <c r="A3918" s="158"/>
      <c r="B3918" s="55"/>
      <c r="C3918" s="71"/>
      <c r="D3918" s="71"/>
      <c r="E3918" s="71"/>
      <c r="F3918" s="71"/>
      <c r="G3918" s="71"/>
      <c r="H3918" s="71"/>
      <c r="I3918" s="71"/>
      <c r="J3918" s="174"/>
      <c r="K3918" s="132"/>
      <c r="L3918" s="133"/>
    </row>
    <row r="3919" spans="1:12" x14ac:dyDescent="0.2">
      <c r="A3919" s="598" t="s">
        <v>64</v>
      </c>
      <c r="B3919" s="638"/>
      <c r="C3919" s="596" t="s">
        <v>501</v>
      </c>
      <c r="D3919" s="596"/>
      <c r="E3919" s="596"/>
      <c r="F3919" s="596"/>
      <c r="G3919" s="596"/>
      <c r="H3919" s="596"/>
      <c r="I3919" s="596"/>
      <c r="J3919" s="597"/>
      <c r="K3919" s="132"/>
      <c r="L3919" s="133"/>
    </row>
    <row r="3920" spans="1:12" x14ac:dyDescent="0.2">
      <c r="A3920" s="158"/>
      <c r="B3920" s="55"/>
      <c r="C3920" s="71"/>
      <c r="D3920" s="71"/>
      <c r="E3920" s="71"/>
      <c r="F3920" s="71"/>
      <c r="G3920" s="71"/>
      <c r="H3920" s="71"/>
      <c r="I3920" s="71"/>
      <c r="J3920" s="174"/>
      <c r="K3920" s="132"/>
      <c r="L3920" s="133"/>
    </row>
    <row r="3921" spans="1:12" x14ac:dyDescent="0.2">
      <c r="A3921" s="158" t="s">
        <v>65</v>
      </c>
      <c r="B3921" s="55"/>
      <c r="C3921" s="662" t="s">
        <v>502</v>
      </c>
      <c r="D3921" s="662"/>
      <c r="E3921" s="662"/>
      <c r="F3921" s="662"/>
      <c r="G3921" s="662"/>
      <c r="H3921" s="662"/>
      <c r="I3921" s="662"/>
      <c r="J3921" s="663"/>
      <c r="K3921" s="132"/>
      <c r="L3921" s="133"/>
    </row>
    <row r="3922" spans="1:12" x14ac:dyDescent="0.2">
      <c r="A3922" s="158"/>
      <c r="B3922" s="55"/>
      <c r="C3922" s="71"/>
      <c r="D3922" s="71"/>
      <c r="E3922" s="71"/>
      <c r="F3922" s="71"/>
      <c r="G3922" s="71"/>
      <c r="H3922" s="71"/>
      <c r="I3922" s="71"/>
      <c r="J3922" s="174"/>
      <c r="K3922" s="132"/>
      <c r="L3922" s="133"/>
    </row>
    <row r="3923" spans="1:12" x14ac:dyDescent="0.2">
      <c r="A3923" s="158"/>
      <c r="B3923" s="55"/>
      <c r="C3923" s="71"/>
      <c r="D3923" s="71"/>
      <c r="E3923" s="71"/>
      <c r="F3923" s="71"/>
      <c r="G3923" s="71"/>
      <c r="H3923" s="71"/>
      <c r="I3923" s="71"/>
      <c r="J3923" s="174"/>
      <c r="K3923" s="132"/>
      <c r="L3923" s="133"/>
    </row>
    <row r="3924" spans="1:12" x14ac:dyDescent="0.2">
      <c r="A3924" s="158"/>
      <c r="B3924" s="55"/>
      <c r="C3924" s="71"/>
      <c r="D3924" s="71"/>
      <c r="E3924" s="71"/>
      <c r="F3924" s="71"/>
      <c r="G3924" s="71"/>
      <c r="H3924" s="71"/>
      <c r="I3924" s="71"/>
      <c r="J3924" s="174"/>
      <c r="K3924" s="132"/>
      <c r="L3924" s="133"/>
    </row>
    <row r="3925" spans="1:12" x14ac:dyDescent="0.2">
      <c r="A3925" s="158"/>
      <c r="B3925" s="55"/>
      <c r="C3925" s="71"/>
      <c r="D3925" s="71"/>
      <c r="E3925" s="71"/>
      <c r="F3925" s="71"/>
      <c r="G3925" s="71"/>
      <c r="H3925" s="71"/>
      <c r="I3925" s="71"/>
      <c r="J3925" s="174"/>
      <c r="K3925" s="132"/>
      <c r="L3925" s="133"/>
    </row>
    <row r="3926" spans="1:12" x14ac:dyDescent="0.2">
      <c r="A3926" s="158"/>
      <c r="B3926" s="55"/>
      <c r="C3926" s="175"/>
      <c r="D3926" s="175"/>
      <c r="E3926" s="172"/>
      <c r="F3926" s="172"/>
      <c r="G3926" s="172"/>
      <c r="H3926" s="172"/>
      <c r="I3926" s="172"/>
      <c r="J3926" s="173"/>
      <c r="K3926" s="132"/>
      <c r="L3926" s="133"/>
    </row>
    <row r="3927" spans="1:12" x14ac:dyDescent="0.2">
      <c r="A3927" s="158"/>
      <c r="B3927" s="55"/>
      <c r="C3927" s="175"/>
      <c r="D3927" s="175"/>
      <c r="E3927" s="172"/>
      <c r="F3927" s="172"/>
      <c r="G3927" s="172"/>
      <c r="H3927" s="172"/>
      <c r="I3927" s="172"/>
      <c r="J3927" s="173"/>
      <c r="K3927" s="132"/>
      <c r="L3927" s="133"/>
    </row>
    <row r="3928" spans="1:12" x14ac:dyDescent="0.2">
      <c r="A3928" s="158"/>
      <c r="B3928" s="55"/>
      <c r="C3928" s="175"/>
      <c r="D3928" s="175"/>
      <c r="E3928" s="172"/>
      <c r="F3928" s="172"/>
      <c r="G3928" s="172"/>
      <c r="H3928" s="172"/>
      <c r="I3928" s="172"/>
      <c r="J3928" s="173"/>
      <c r="K3928" s="132"/>
      <c r="L3928" s="133"/>
    </row>
    <row r="3929" spans="1:12" x14ac:dyDescent="0.2">
      <c r="A3929" s="158"/>
      <c r="B3929" s="55"/>
      <c r="C3929" s="175"/>
      <c r="D3929" s="175"/>
      <c r="E3929" s="175"/>
      <c r="F3929" s="175"/>
      <c r="G3929" s="175"/>
      <c r="H3929" s="175"/>
      <c r="I3929" s="175"/>
      <c r="J3929" s="176"/>
      <c r="K3929" s="132"/>
      <c r="L3929" s="133"/>
    </row>
    <row r="3930" spans="1:12" x14ac:dyDescent="0.2">
      <c r="A3930" s="158"/>
      <c r="B3930" s="55"/>
      <c r="C3930" s="175"/>
      <c r="D3930" s="175"/>
      <c r="E3930" s="175"/>
      <c r="F3930" s="175"/>
      <c r="G3930" s="175"/>
      <c r="H3930" s="175"/>
      <c r="I3930" s="175"/>
      <c r="J3930" s="176"/>
      <c r="K3930" s="132"/>
      <c r="L3930" s="133"/>
    </row>
    <row r="3931" spans="1:12" ht="13.5" thickBot="1" x14ac:dyDescent="0.25">
      <c r="A3931" s="149"/>
      <c r="B3931" s="167"/>
      <c r="C3931" s="151"/>
      <c r="D3931" s="151"/>
      <c r="E3931" s="151"/>
      <c r="F3931" s="151"/>
      <c r="G3931" s="151"/>
      <c r="H3931" s="151"/>
      <c r="I3931" s="151"/>
      <c r="J3931" s="168"/>
      <c r="K3931" s="132"/>
      <c r="L3931" s="133"/>
    </row>
    <row r="3932" spans="1:12" ht="15.75" x14ac:dyDescent="0.2">
      <c r="A3932" s="602" t="s">
        <v>4</v>
      </c>
      <c r="B3932" s="603"/>
      <c r="C3932" s="639" t="str">
        <f>'A IV.A'!$B$126</f>
        <v>RECUPERAÇÃO E TRATAMENTO DE SUPERFÍCIES EM CONCRETO ARMADO - ITEM 10.0 DO TERMO DE REFERÊNCIA</v>
      </c>
      <c r="D3932" s="640"/>
      <c r="E3932" s="640"/>
      <c r="F3932" s="640"/>
      <c r="G3932" s="640"/>
      <c r="H3932" s="640"/>
      <c r="I3932" s="640"/>
      <c r="J3932" s="641"/>
      <c r="K3932" s="132"/>
      <c r="L3932" s="133"/>
    </row>
    <row r="3933" spans="1:12" x14ac:dyDescent="0.2">
      <c r="A3933" s="609" t="str">
        <f>'A IV.A'!$A$126</f>
        <v>5.0</v>
      </c>
      <c r="B3933" s="610"/>
      <c r="C3933" s="642"/>
      <c r="D3933" s="643"/>
      <c r="E3933" s="643"/>
      <c r="F3933" s="643"/>
      <c r="G3933" s="643"/>
      <c r="H3933" s="643"/>
      <c r="I3933" s="643"/>
      <c r="J3933" s="644"/>
      <c r="K3933" s="132"/>
      <c r="L3933" s="133"/>
    </row>
    <row r="3934" spans="1:12" ht="13.5" thickBot="1" x14ac:dyDescent="0.25">
      <c r="A3934" s="611"/>
      <c r="B3934" s="612"/>
      <c r="C3934" s="645"/>
      <c r="D3934" s="646"/>
      <c r="E3934" s="646"/>
      <c r="F3934" s="646"/>
      <c r="G3934" s="646"/>
      <c r="H3934" s="646"/>
      <c r="I3934" s="646"/>
      <c r="J3934" s="647"/>
      <c r="K3934" s="132"/>
      <c r="L3934" s="133"/>
    </row>
    <row r="3935" spans="1:12" ht="13.5" thickBot="1" x14ac:dyDescent="0.25">
      <c r="A3935" s="169"/>
      <c r="B3935" s="169"/>
      <c r="C3935" s="613"/>
      <c r="D3935" s="613"/>
      <c r="E3935" s="613"/>
      <c r="F3935" s="613"/>
      <c r="G3935" s="613"/>
      <c r="H3935" s="613"/>
      <c r="I3935" s="613"/>
      <c r="J3935" s="169"/>
      <c r="K3935" s="132"/>
      <c r="L3935" s="133"/>
    </row>
    <row r="3936" spans="1:12" ht="13.5" thickBot="1" x14ac:dyDescent="0.25">
      <c r="A3936" s="632" t="s">
        <v>60</v>
      </c>
      <c r="B3936" s="633"/>
      <c r="C3936" s="656" t="s">
        <v>61</v>
      </c>
      <c r="D3936" s="656"/>
      <c r="E3936" s="656"/>
      <c r="F3936" s="656"/>
      <c r="G3936" s="656"/>
      <c r="H3936" s="656"/>
      <c r="I3936" s="656"/>
      <c r="J3936" s="260" t="s">
        <v>0</v>
      </c>
      <c r="K3936" s="132"/>
      <c r="L3936" s="133"/>
    </row>
    <row r="3937" spans="1:14" x14ac:dyDescent="0.2">
      <c r="A3937" s="136"/>
      <c r="B3937" s="137"/>
      <c r="C3937" s="619"/>
      <c r="D3937" s="620"/>
      <c r="E3937" s="621"/>
      <c r="F3937" s="621"/>
      <c r="G3937" s="621"/>
      <c r="H3937" s="621"/>
      <c r="I3937" s="622"/>
      <c r="J3937" s="138"/>
      <c r="K3937" s="132"/>
      <c r="L3937" s="133"/>
    </row>
    <row r="3938" spans="1:14" x14ac:dyDescent="0.2">
      <c r="A3938" s="623" t="str">
        <f>'A IV.A'!$A$128</f>
        <v>5.1</v>
      </c>
      <c r="B3938" s="624"/>
      <c r="C3938" s="626" t="str">
        <f>'A IV.A'!$B$128</f>
        <v xml:space="preserve">IDENTIFICAÇÃO DE TRINCAS, MAPEAMENTO, PREPARAÇÃO  E TRATAMENTO COM MASTIQUE </v>
      </c>
      <c r="D3938" s="627"/>
      <c r="E3938" s="627"/>
      <c r="F3938" s="627"/>
      <c r="G3938" s="627"/>
      <c r="H3938" s="627"/>
      <c r="I3938" s="628"/>
      <c r="J3938" s="629" t="str">
        <f>'A IV.A'!$C$128</f>
        <v>M</v>
      </c>
      <c r="K3938" s="630" t="str">
        <f>VLOOKUP(A3938,'A IV.A'!$A$14:$M$233,2,FALSE)</f>
        <v xml:space="preserve">IDENTIFICAÇÃO DE TRINCAS, MAPEAMENTO, PREPARAÇÃO  E TRATAMENTO COM MASTIQUE </v>
      </c>
      <c r="L3938" s="631" t="str">
        <f>IF(C3938=K3938,"sim","nao")</f>
        <v>sim</v>
      </c>
      <c r="M3938" s="631" t="str">
        <f>VLOOKUP(A3938,'A IV.A'!$A$14:$M$233,3,FALSE)</f>
        <v>M</v>
      </c>
      <c r="N3938" s="631" t="str">
        <f>IF(J3938=M3938,"sim","nao")</f>
        <v>sim</v>
      </c>
    </row>
    <row r="3939" spans="1:14" x14ac:dyDescent="0.2">
      <c r="A3939" s="625"/>
      <c r="B3939" s="624"/>
      <c r="C3939" s="626"/>
      <c r="D3939" s="627"/>
      <c r="E3939" s="627"/>
      <c r="F3939" s="627"/>
      <c r="G3939" s="627"/>
      <c r="H3939" s="627"/>
      <c r="I3939" s="628"/>
      <c r="J3939" s="629"/>
      <c r="K3939" s="630"/>
      <c r="L3939" s="631"/>
      <c r="M3939" s="631"/>
      <c r="N3939" s="631"/>
    </row>
    <row r="3940" spans="1:14" x14ac:dyDescent="0.2">
      <c r="A3940" s="139"/>
      <c r="B3940" s="140"/>
      <c r="C3940" s="141"/>
      <c r="D3940" s="142"/>
      <c r="E3940" s="142"/>
      <c r="F3940" s="142"/>
      <c r="G3940" s="142"/>
      <c r="H3940" s="142"/>
      <c r="I3940" s="143"/>
      <c r="J3940" s="144"/>
      <c r="K3940" s="132"/>
      <c r="L3940" s="133"/>
    </row>
    <row r="3941" spans="1:14" x14ac:dyDescent="0.2">
      <c r="A3941" s="199"/>
      <c r="B3941" s="188"/>
      <c r="C3941" s="189"/>
      <c r="D3941" s="165"/>
      <c r="E3941" s="165"/>
      <c r="F3941" s="165"/>
      <c r="G3941" s="165"/>
      <c r="H3941" s="165"/>
      <c r="I3941" s="190"/>
      <c r="J3941" s="191"/>
      <c r="K3941" s="192"/>
      <c r="L3941" s="55"/>
      <c r="M3941" s="55"/>
      <c r="N3941" s="55"/>
    </row>
    <row r="3942" spans="1:14" x14ac:dyDescent="0.2">
      <c r="A3942" s="158"/>
      <c r="B3942" s="188"/>
      <c r="C3942" s="189"/>
      <c r="D3942" s="165"/>
      <c r="E3942" s="165"/>
      <c r="F3942" s="165"/>
      <c r="G3942" s="165"/>
      <c r="H3942" s="165"/>
      <c r="I3942" s="190"/>
      <c r="J3942" s="191"/>
      <c r="K3942" s="192"/>
      <c r="L3942" s="55"/>
      <c r="M3942" s="55"/>
      <c r="N3942" s="55"/>
    </row>
    <row r="3943" spans="1:14" x14ac:dyDescent="0.2">
      <c r="A3943" s="145"/>
      <c r="B3943" s="146"/>
      <c r="C3943" s="147"/>
      <c r="D3943" s="147"/>
      <c r="E3943" s="147"/>
      <c r="F3943" s="147"/>
      <c r="G3943" s="147"/>
      <c r="H3943" s="147"/>
      <c r="I3943" s="147"/>
      <c r="J3943" s="148"/>
      <c r="K3943" s="132"/>
      <c r="L3943" s="133"/>
    </row>
    <row r="3944" spans="1:14" x14ac:dyDescent="0.2">
      <c r="A3944" s="199"/>
      <c r="B3944" s="188"/>
      <c r="C3944" s="189"/>
      <c r="D3944" s="165"/>
      <c r="E3944" s="165"/>
      <c r="F3944" s="165"/>
      <c r="G3944" s="165"/>
      <c r="H3944" s="165"/>
      <c r="I3944" s="190"/>
      <c r="J3944" s="191"/>
      <c r="K3944" s="192"/>
      <c r="L3944" s="55"/>
      <c r="M3944" s="55"/>
      <c r="N3944" s="55"/>
    </row>
    <row r="3945" spans="1:14" x14ac:dyDescent="0.2">
      <c r="A3945" s="158"/>
      <c r="B3945" s="188"/>
      <c r="C3945" s="189"/>
      <c r="D3945" s="165"/>
      <c r="E3945" s="165"/>
      <c r="F3945" s="165"/>
      <c r="G3945" s="165"/>
      <c r="H3945" s="165"/>
      <c r="I3945" s="190"/>
      <c r="J3945" s="191"/>
      <c r="K3945" s="192"/>
      <c r="L3945" s="55"/>
      <c r="M3945" s="55"/>
      <c r="N3945" s="55"/>
    </row>
    <row r="3946" spans="1:14" x14ac:dyDescent="0.2">
      <c r="A3946" s="145"/>
      <c r="B3946" s="146"/>
      <c r="C3946" s="147"/>
      <c r="D3946" s="147"/>
      <c r="E3946" s="147"/>
      <c r="F3946" s="147"/>
      <c r="G3946" s="147"/>
      <c r="H3946" s="147"/>
      <c r="I3946" s="147"/>
      <c r="J3946" s="148"/>
      <c r="K3946" s="132"/>
      <c r="L3946" s="133"/>
    </row>
    <row r="3947" spans="1:14" x14ac:dyDescent="0.2">
      <c r="A3947" s="199"/>
      <c r="B3947" s="188"/>
      <c r="C3947" s="189"/>
      <c r="D3947" s="165"/>
      <c r="E3947" s="165"/>
      <c r="F3947" s="165"/>
      <c r="G3947" s="165"/>
      <c r="H3947" s="165"/>
      <c r="I3947" s="190"/>
      <c r="J3947" s="191"/>
      <c r="K3947" s="192"/>
      <c r="L3947" s="55"/>
      <c r="M3947" s="55"/>
      <c r="N3947" s="55"/>
    </row>
    <row r="3948" spans="1:14" x14ac:dyDescent="0.2">
      <c r="A3948" s="158"/>
      <c r="B3948" s="188"/>
      <c r="C3948" s="189"/>
      <c r="D3948" s="165"/>
      <c r="E3948" s="165"/>
      <c r="F3948" s="165"/>
      <c r="G3948" s="165"/>
      <c r="H3948" s="165"/>
      <c r="I3948" s="190"/>
      <c r="J3948" s="191"/>
      <c r="K3948" s="192"/>
      <c r="L3948" s="55"/>
      <c r="M3948" s="55"/>
      <c r="N3948" s="55"/>
    </row>
    <row r="3949" spans="1:14" x14ac:dyDescent="0.2">
      <c r="A3949" s="145"/>
      <c r="B3949" s="146"/>
      <c r="C3949" s="147"/>
      <c r="D3949" s="147"/>
      <c r="E3949" s="147"/>
      <c r="F3949" s="147"/>
      <c r="G3949" s="147"/>
      <c r="H3949" s="147"/>
      <c r="I3949" s="147"/>
      <c r="J3949" s="148"/>
      <c r="K3949" s="132"/>
      <c r="L3949" s="133"/>
    </row>
    <row r="3950" spans="1:14" x14ac:dyDescent="0.2">
      <c r="A3950" s="199"/>
      <c r="B3950" s="188"/>
      <c r="C3950" s="189"/>
      <c r="D3950" s="165"/>
      <c r="E3950" s="165"/>
      <c r="F3950" s="165"/>
      <c r="G3950" s="165"/>
      <c r="H3950" s="165"/>
      <c r="I3950" s="190"/>
      <c r="J3950" s="191"/>
      <c r="K3950" s="192"/>
      <c r="L3950" s="55"/>
      <c r="M3950" s="55"/>
      <c r="N3950" s="55"/>
    </row>
    <row r="3951" spans="1:14" x14ac:dyDescent="0.2">
      <c r="A3951" s="158"/>
      <c r="B3951" s="188"/>
      <c r="C3951" s="189"/>
      <c r="D3951" s="165"/>
      <c r="E3951" s="165"/>
      <c r="F3951" s="165"/>
      <c r="G3951" s="165"/>
      <c r="H3951" s="165"/>
      <c r="I3951" s="190"/>
      <c r="J3951" s="191"/>
      <c r="K3951" s="192"/>
      <c r="L3951" s="55"/>
      <c r="M3951" s="55"/>
      <c r="N3951" s="55"/>
    </row>
    <row r="3952" spans="1:14" x14ac:dyDescent="0.2">
      <c r="A3952" s="145"/>
      <c r="B3952" s="146"/>
      <c r="C3952" s="147"/>
      <c r="D3952" s="147"/>
      <c r="E3952" s="147"/>
      <c r="F3952" s="147"/>
      <c r="G3952" s="147"/>
      <c r="H3952" s="147"/>
      <c r="I3952" s="147"/>
      <c r="J3952" s="148"/>
      <c r="K3952" s="132"/>
      <c r="L3952" s="133"/>
    </row>
    <row r="3953" spans="1:14" x14ac:dyDescent="0.2">
      <c r="A3953" s="199"/>
      <c r="B3953" s="188"/>
      <c r="C3953" s="189"/>
      <c r="D3953" s="165"/>
      <c r="E3953" s="165"/>
      <c r="F3953" s="165"/>
      <c r="G3953" s="165"/>
      <c r="H3953" s="165"/>
      <c r="I3953" s="190"/>
      <c r="J3953" s="191"/>
      <c r="K3953" s="192"/>
      <c r="L3953" s="55"/>
      <c r="M3953" s="55"/>
      <c r="N3953" s="55"/>
    </row>
    <row r="3954" spans="1:14" x14ac:dyDescent="0.2">
      <c r="A3954" s="158"/>
      <c r="B3954" s="188"/>
      <c r="C3954" s="189"/>
      <c r="D3954" s="165"/>
      <c r="E3954" s="165"/>
      <c r="F3954" s="165"/>
      <c r="G3954" s="165"/>
      <c r="H3954" s="165"/>
      <c r="I3954" s="190"/>
      <c r="J3954" s="191"/>
      <c r="K3954" s="192"/>
      <c r="L3954" s="55"/>
      <c r="M3954" s="55"/>
      <c r="N3954" s="55"/>
    </row>
    <row r="3955" spans="1:14" x14ac:dyDescent="0.2">
      <c r="A3955" s="145"/>
      <c r="B3955" s="146"/>
      <c r="C3955" s="147"/>
      <c r="D3955" s="147"/>
      <c r="E3955" s="147"/>
      <c r="F3955" s="147"/>
      <c r="G3955" s="147"/>
      <c r="H3955" s="147"/>
      <c r="I3955" s="147"/>
      <c r="J3955" s="148"/>
      <c r="K3955" s="132"/>
      <c r="L3955" s="133"/>
    </row>
    <row r="3956" spans="1:14" x14ac:dyDescent="0.2">
      <c r="A3956" s="199"/>
      <c r="B3956" s="188"/>
      <c r="C3956" s="189"/>
      <c r="D3956" s="165"/>
      <c r="E3956" s="165"/>
      <c r="F3956" s="165"/>
      <c r="G3956" s="165"/>
      <c r="H3956" s="165"/>
      <c r="I3956" s="190"/>
      <c r="J3956" s="191"/>
      <c r="K3956" s="192"/>
      <c r="L3956" s="55"/>
      <c r="M3956" s="55"/>
      <c r="N3956" s="55"/>
    </row>
    <row r="3957" spans="1:14" x14ac:dyDescent="0.2">
      <c r="A3957" s="158"/>
      <c r="B3957" s="188"/>
      <c r="C3957" s="189"/>
      <c r="D3957" s="165"/>
      <c r="E3957" s="165"/>
      <c r="F3957" s="165"/>
      <c r="G3957" s="165"/>
      <c r="H3957" s="165"/>
      <c r="I3957" s="190"/>
      <c r="J3957" s="191"/>
      <c r="K3957" s="192"/>
      <c r="L3957" s="55"/>
      <c r="M3957" s="55"/>
      <c r="N3957" s="55"/>
    </row>
    <row r="3958" spans="1:14" x14ac:dyDescent="0.2">
      <c r="A3958" s="145"/>
      <c r="B3958" s="146"/>
      <c r="C3958" s="147"/>
      <c r="D3958" s="147"/>
      <c r="E3958" s="147"/>
      <c r="F3958" s="147"/>
      <c r="G3958" s="147"/>
      <c r="H3958" s="147"/>
      <c r="I3958" s="147"/>
      <c r="J3958" s="148"/>
      <c r="K3958" s="132"/>
      <c r="L3958" s="133"/>
    </row>
    <row r="3959" spans="1:14" ht="13.5" thickBot="1" x14ac:dyDescent="0.25">
      <c r="A3959" s="149"/>
      <c r="B3959" s="150"/>
      <c r="C3959" s="151"/>
      <c r="D3959" s="151"/>
      <c r="E3959" s="151"/>
      <c r="F3959" s="151"/>
      <c r="G3959" s="151"/>
      <c r="H3959" s="151"/>
      <c r="I3959" s="151"/>
      <c r="J3959" s="152"/>
      <c r="K3959" s="132"/>
      <c r="L3959" s="133"/>
    </row>
    <row r="3960" spans="1:14" ht="13.5" thickBot="1" x14ac:dyDescent="0.25">
      <c r="A3960" s="153"/>
      <c r="B3960" s="153"/>
      <c r="C3960" s="154"/>
      <c r="D3960" s="154"/>
      <c r="E3960" s="154"/>
      <c r="F3960" s="154"/>
      <c r="G3960" s="154"/>
      <c r="H3960" s="154"/>
      <c r="I3960" s="154"/>
      <c r="J3960" s="153"/>
      <c r="K3960" s="132"/>
      <c r="L3960" s="133"/>
    </row>
    <row r="3961" spans="1:14" ht="13.5" thickBot="1" x14ac:dyDescent="0.25">
      <c r="A3961" s="614" t="s">
        <v>62</v>
      </c>
      <c r="B3961" s="648"/>
      <c r="C3961" s="648"/>
      <c r="D3961" s="648"/>
      <c r="E3961" s="648"/>
      <c r="F3961" s="648"/>
      <c r="G3961" s="648"/>
      <c r="H3961" s="648"/>
      <c r="I3961" s="648"/>
      <c r="J3961" s="649"/>
      <c r="K3961" s="132"/>
      <c r="L3961" s="133"/>
    </row>
    <row r="3962" spans="1:14" x14ac:dyDescent="0.2">
      <c r="A3962" s="136"/>
      <c r="B3962" s="155"/>
      <c r="C3962" s="156"/>
      <c r="D3962" s="156"/>
      <c r="E3962" s="156"/>
      <c r="F3962" s="156"/>
      <c r="G3962" s="156"/>
      <c r="H3962" s="156"/>
      <c r="I3962" s="156"/>
      <c r="J3962" s="157"/>
      <c r="K3962" s="132"/>
      <c r="L3962" s="133"/>
    </row>
    <row r="3963" spans="1:14" ht="12.75" customHeight="1" x14ac:dyDescent="0.2">
      <c r="A3963" s="158" t="s">
        <v>63</v>
      </c>
      <c r="B3963" s="55"/>
      <c r="C3963" s="652" t="s">
        <v>507</v>
      </c>
      <c r="D3963" s="652"/>
      <c r="E3963" s="652"/>
      <c r="F3963" s="652"/>
      <c r="G3963" s="652"/>
      <c r="H3963" s="652"/>
      <c r="I3963" s="652"/>
      <c r="J3963" s="653"/>
      <c r="K3963" s="132"/>
      <c r="L3963" s="133"/>
    </row>
    <row r="3964" spans="1:14" x14ac:dyDescent="0.2">
      <c r="A3964" s="158"/>
      <c r="B3964" s="55"/>
      <c r="C3964" s="652"/>
      <c r="D3964" s="652"/>
      <c r="E3964" s="652"/>
      <c r="F3964" s="652"/>
      <c r="G3964" s="652"/>
      <c r="H3964" s="652"/>
      <c r="I3964" s="652"/>
      <c r="J3964" s="653"/>
      <c r="K3964" s="132"/>
      <c r="L3964" s="133"/>
    </row>
    <row r="3965" spans="1:14" x14ac:dyDescent="0.2">
      <c r="A3965" s="158"/>
      <c r="B3965" s="55"/>
      <c r="C3965" s="652"/>
      <c r="D3965" s="652"/>
      <c r="E3965" s="652"/>
      <c r="F3965" s="652"/>
      <c r="G3965" s="652"/>
      <c r="H3965" s="652"/>
      <c r="I3965" s="652"/>
      <c r="J3965" s="653"/>
      <c r="K3965" s="132"/>
      <c r="L3965" s="133"/>
    </row>
    <row r="3966" spans="1:14" x14ac:dyDescent="0.2">
      <c r="A3966" s="158"/>
      <c r="B3966" s="55"/>
      <c r="C3966" s="652"/>
      <c r="D3966" s="652"/>
      <c r="E3966" s="652"/>
      <c r="F3966" s="652"/>
      <c r="G3966" s="652"/>
      <c r="H3966" s="652"/>
      <c r="I3966" s="652"/>
      <c r="J3966" s="653"/>
      <c r="K3966" s="132"/>
      <c r="L3966" s="133"/>
    </row>
    <row r="3967" spans="1:14" x14ac:dyDescent="0.2">
      <c r="A3967" s="158"/>
      <c r="B3967" s="55"/>
      <c r="C3967" s="652"/>
      <c r="D3967" s="652"/>
      <c r="E3967" s="652"/>
      <c r="F3967" s="652"/>
      <c r="G3967" s="652"/>
      <c r="H3967" s="652"/>
      <c r="I3967" s="652"/>
      <c r="J3967" s="653"/>
      <c r="K3967" s="132"/>
      <c r="L3967" s="133"/>
    </row>
    <row r="3968" spans="1:14" x14ac:dyDescent="0.2">
      <c r="A3968" s="158"/>
      <c r="B3968" s="55"/>
      <c r="C3968" s="159"/>
      <c r="D3968" s="159"/>
      <c r="E3968" s="159"/>
      <c r="F3968" s="159"/>
      <c r="G3968" s="159"/>
      <c r="H3968" s="159"/>
      <c r="I3968" s="159"/>
      <c r="J3968" s="160"/>
      <c r="K3968" s="132"/>
      <c r="L3968" s="133"/>
    </row>
    <row r="3969" spans="1:12" x14ac:dyDescent="0.2">
      <c r="A3969" s="598" t="s">
        <v>64</v>
      </c>
      <c r="B3969" s="638"/>
      <c r="C3969" s="596" t="s">
        <v>508</v>
      </c>
      <c r="D3969" s="596"/>
      <c r="E3969" s="596"/>
      <c r="F3969" s="596"/>
      <c r="G3969" s="596"/>
      <c r="H3969" s="596"/>
      <c r="I3969" s="596"/>
      <c r="J3969" s="597"/>
      <c r="K3969" s="132"/>
      <c r="L3969" s="133"/>
    </row>
    <row r="3970" spans="1:12" x14ac:dyDescent="0.2">
      <c r="A3970" s="158"/>
      <c r="B3970" s="55"/>
      <c r="C3970" s="71"/>
      <c r="D3970" s="71"/>
      <c r="E3970" s="71"/>
      <c r="F3970" s="71"/>
      <c r="G3970" s="71"/>
      <c r="H3970" s="71"/>
      <c r="I3970" s="71"/>
      <c r="J3970" s="174"/>
      <c r="K3970" s="132"/>
      <c r="L3970" s="133"/>
    </row>
    <row r="3971" spans="1:12" x14ac:dyDescent="0.2">
      <c r="A3971" s="158"/>
      <c r="B3971" s="55"/>
      <c r="C3971" s="71"/>
      <c r="D3971" s="71"/>
      <c r="E3971" s="71"/>
      <c r="F3971" s="71"/>
      <c r="G3971" s="71"/>
      <c r="H3971" s="71"/>
      <c r="I3971" s="71"/>
      <c r="J3971" s="174"/>
      <c r="K3971" s="132"/>
      <c r="L3971" s="133"/>
    </row>
    <row r="3972" spans="1:12" x14ac:dyDescent="0.2">
      <c r="A3972" s="158"/>
      <c r="B3972" s="55"/>
      <c r="C3972" s="175"/>
      <c r="D3972" s="175"/>
      <c r="E3972" s="175"/>
      <c r="F3972" s="175"/>
      <c r="G3972" s="175"/>
      <c r="H3972" s="175"/>
      <c r="I3972" s="175"/>
      <c r="J3972" s="176"/>
      <c r="K3972" s="132"/>
      <c r="L3972" s="133"/>
    </row>
    <row r="3973" spans="1:12" x14ac:dyDescent="0.2">
      <c r="A3973" s="158"/>
      <c r="B3973" s="55"/>
      <c r="C3973" s="71"/>
      <c r="D3973" s="71"/>
      <c r="E3973" s="71"/>
      <c r="F3973" s="71"/>
      <c r="G3973" s="71"/>
      <c r="H3973" s="71"/>
      <c r="I3973" s="71"/>
      <c r="J3973" s="174"/>
      <c r="K3973" s="132"/>
      <c r="L3973" s="133"/>
    </row>
    <row r="3974" spans="1:12" x14ac:dyDescent="0.2">
      <c r="A3974" s="158"/>
      <c r="B3974" s="55"/>
      <c r="C3974" s="71"/>
      <c r="D3974" s="71"/>
      <c r="E3974" s="71"/>
      <c r="F3974" s="71"/>
      <c r="G3974" s="71"/>
      <c r="H3974" s="71"/>
      <c r="I3974" s="71"/>
      <c r="J3974" s="174"/>
      <c r="K3974" s="132"/>
      <c r="L3974" s="133"/>
    </row>
    <row r="3975" spans="1:12" x14ac:dyDescent="0.2">
      <c r="A3975" s="158"/>
      <c r="B3975" s="55"/>
      <c r="C3975" s="71"/>
      <c r="D3975" s="71"/>
      <c r="E3975" s="71"/>
      <c r="F3975" s="71"/>
      <c r="G3975" s="71"/>
      <c r="H3975" s="71"/>
      <c r="I3975" s="71"/>
      <c r="J3975" s="174"/>
      <c r="K3975" s="132"/>
      <c r="L3975" s="133"/>
    </row>
    <row r="3976" spans="1:12" x14ac:dyDescent="0.2">
      <c r="A3976" s="158"/>
      <c r="B3976" s="55"/>
      <c r="C3976" s="71"/>
      <c r="D3976" s="71"/>
      <c r="E3976" s="71"/>
      <c r="F3976" s="71"/>
      <c r="G3976" s="71"/>
      <c r="H3976" s="71"/>
      <c r="I3976" s="71"/>
      <c r="J3976" s="174"/>
      <c r="K3976" s="132"/>
      <c r="L3976" s="133"/>
    </row>
    <row r="3977" spans="1:12" x14ac:dyDescent="0.2">
      <c r="A3977" s="158"/>
      <c r="B3977" s="55"/>
      <c r="C3977" s="71"/>
      <c r="D3977" s="71"/>
      <c r="E3977" s="71"/>
      <c r="F3977" s="71"/>
      <c r="G3977" s="71"/>
      <c r="H3977" s="71"/>
      <c r="I3977" s="71"/>
      <c r="J3977" s="174"/>
      <c r="K3977" s="132"/>
      <c r="L3977" s="133"/>
    </row>
    <row r="3978" spans="1:12" x14ac:dyDescent="0.2">
      <c r="A3978" s="158"/>
      <c r="B3978" s="55"/>
      <c r="C3978" s="71"/>
      <c r="D3978" s="71"/>
      <c r="E3978" s="71"/>
      <c r="F3978" s="71"/>
      <c r="G3978" s="71"/>
      <c r="H3978" s="71"/>
      <c r="I3978" s="71"/>
      <c r="J3978" s="174"/>
      <c r="K3978" s="132"/>
      <c r="L3978" s="133"/>
    </row>
    <row r="3979" spans="1:12" ht="12.75" customHeight="1" x14ac:dyDescent="0.2">
      <c r="C3979" s="159"/>
      <c r="D3979" s="159"/>
      <c r="E3979" s="159"/>
      <c r="F3979" s="159"/>
      <c r="G3979" s="159"/>
      <c r="H3979" s="159"/>
      <c r="I3979" s="159"/>
      <c r="J3979" s="160"/>
      <c r="K3979" s="132"/>
      <c r="L3979" s="133"/>
    </row>
    <row r="3980" spans="1:12" x14ac:dyDescent="0.2">
      <c r="A3980" s="158"/>
      <c r="B3980" s="55"/>
      <c r="C3980" s="71"/>
      <c r="D3980" s="71"/>
      <c r="E3980" s="71"/>
      <c r="F3980" s="71"/>
      <c r="G3980" s="71"/>
      <c r="H3980" s="71"/>
      <c r="I3980" s="71"/>
      <c r="J3980" s="174"/>
      <c r="K3980" s="132"/>
      <c r="L3980" s="133"/>
    </row>
    <row r="3981" spans="1:12" x14ac:dyDescent="0.2">
      <c r="A3981" s="158"/>
      <c r="B3981" s="55"/>
      <c r="C3981" s="175"/>
      <c r="D3981" s="175"/>
      <c r="E3981" s="172"/>
      <c r="F3981" s="172"/>
      <c r="G3981" s="172"/>
      <c r="H3981" s="172"/>
      <c r="I3981" s="172"/>
      <c r="J3981" s="173"/>
      <c r="K3981" s="132"/>
      <c r="L3981" s="133"/>
    </row>
    <row r="3982" spans="1:12" x14ac:dyDescent="0.2">
      <c r="A3982" s="158"/>
      <c r="B3982" s="55"/>
      <c r="C3982" s="175"/>
      <c r="D3982" s="175"/>
      <c r="E3982" s="172"/>
      <c r="F3982" s="172"/>
      <c r="G3982" s="172"/>
      <c r="H3982" s="172"/>
      <c r="I3982" s="172"/>
      <c r="J3982" s="173"/>
      <c r="K3982" s="132"/>
      <c r="L3982" s="133"/>
    </row>
    <row r="3983" spans="1:12" x14ac:dyDescent="0.2">
      <c r="A3983" s="158"/>
      <c r="B3983" s="55"/>
      <c r="C3983" s="175"/>
      <c r="D3983" s="175"/>
      <c r="E3983" s="172"/>
      <c r="F3983" s="172"/>
      <c r="G3983" s="172"/>
      <c r="H3983" s="172"/>
      <c r="I3983" s="172"/>
      <c r="J3983" s="173"/>
      <c r="K3983" s="132"/>
      <c r="L3983" s="133"/>
    </row>
    <row r="3984" spans="1:12" x14ac:dyDescent="0.2">
      <c r="A3984" s="158"/>
      <c r="B3984" s="55"/>
      <c r="C3984" s="175"/>
      <c r="D3984" s="175"/>
      <c r="E3984" s="175"/>
      <c r="F3984" s="175"/>
      <c r="G3984" s="175"/>
      <c r="H3984" s="175"/>
      <c r="I3984" s="175"/>
      <c r="J3984" s="176"/>
      <c r="K3984" s="132"/>
      <c r="L3984" s="133"/>
    </row>
    <row r="3985" spans="1:14" ht="13.5" thickBot="1" x14ac:dyDescent="0.25">
      <c r="A3985" s="149"/>
      <c r="B3985" s="167"/>
      <c r="C3985" s="151"/>
      <c r="D3985" s="151"/>
      <c r="E3985" s="151"/>
      <c r="F3985" s="151"/>
      <c r="G3985" s="151"/>
      <c r="H3985" s="151"/>
      <c r="I3985" s="151"/>
      <c r="J3985" s="168"/>
      <c r="K3985" s="132"/>
      <c r="L3985" s="133"/>
    </row>
    <row r="3986" spans="1:14" ht="15.75" x14ac:dyDescent="0.2">
      <c r="A3986" s="602" t="s">
        <v>4</v>
      </c>
      <c r="B3986" s="603"/>
      <c r="C3986" s="639" t="str">
        <f>'A IV.A'!$B$126</f>
        <v>RECUPERAÇÃO E TRATAMENTO DE SUPERFÍCIES EM CONCRETO ARMADO - ITEM 10.0 DO TERMO DE REFERÊNCIA</v>
      </c>
      <c r="D3986" s="640"/>
      <c r="E3986" s="640"/>
      <c r="F3986" s="640"/>
      <c r="G3986" s="640"/>
      <c r="H3986" s="640"/>
      <c r="I3986" s="640"/>
      <c r="J3986" s="641"/>
      <c r="K3986" s="132"/>
      <c r="L3986" s="133"/>
    </row>
    <row r="3987" spans="1:14" x14ac:dyDescent="0.2">
      <c r="A3987" s="609" t="str">
        <f>'A IV.A'!$A$126</f>
        <v>5.0</v>
      </c>
      <c r="B3987" s="610"/>
      <c r="C3987" s="642"/>
      <c r="D3987" s="643"/>
      <c r="E3987" s="643"/>
      <c r="F3987" s="643"/>
      <c r="G3987" s="643"/>
      <c r="H3987" s="643"/>
      <c r="I3987" s="643"/>
      <c r="J3987" s="644"/>
      <c r="K3987" s="132"/>
      <c r="L3987" s="133"/>
    </row>
    <row r="3988" spans="1:14" ht="13.5" thickBot="1" x14ac:dyDescent="0.25">
      <c r="A3988" s="611"/>
      <c r="B3988" s="612"/>
      <c r="C3988" s="645"/>
      <c r="D3988" s="646"/>
      <c r="E3988" s="646"/>
      <c r="F3988" s="646"/>
      <c r="G3988" s="646"/>
      <c r="H3988" s="646"/>
      <c r="I3988" s="646"/>
      <c r="J3988" s="647"/>
      <c r="K3988" s="132"/>
      <c r="L3988" s="133"/>
    </row>
    <row r="3989" spans="1:14" ht="13.5" thickBot="1" x14ac:dyDescent="0.25">
      <c r="A3989" s="169"/>
      <c r="B3989" s="169"/>
      <c r="C3989" s="613"/>
      <c r="D3989" s="613"/>
      <c r="E3989" s="613"/>
      <c r="F3989" s="613"/>
      <c r="G3989" s="613"/>
      <c r="H3989" s="613"/>
      <c r="I3989" s="613"/>
      <c r="J3989" s="169"/>
      <c r="K3989" s="132"/>
      <c r="L3989" s="133"/>
    </row>
    <row r="3990" spans="1:14" ht="13.5" thickBot="1" x14ac:dyDescent="0.25">
      <c r="A3990" s="632" t="s">
        <v>60</v>
      </c>
      <c r="B3990" s="633"/>
      <c r="C3990" s="656" t="s">
        <v>61</v>
      </c>
      <c r="D3990" s="656"/>
      <c r="E3990" s="656"/>
      <c r="F3990" s="656"/>
      <c r="G3990" s="656"/>
      <c r="H3990" s="656"/>
      <c r="I3990" s="656"/>
      <c r="J3990" s="260" t="s">
        <v>0</v>
      </c>
      <c r="K3990" s="132"/>
      <c r="L3990" s="133"/>
    </row>
    <row r="3991" spans="1:14" x14ac:dyDescent="0.2">
      <c r="A3991" s="136"/>
      <c r="B3991" s="137"/>
      <c r="C3991" s="619"/>
      <c r="D3991" s="620"/>
      <c r="E3991" s="621"/>
      <c r="F3991" s="621"/>
      <c r="G3991" s="621"/>
      <c r="H3991" s="621"/>
      <c r="I3991" s="622"/>
      <c r="J3991" s="138"/>
      <c r="K3991" s="132"/>
      <c r="L3991" s="133"/>
    </row>
    <row r="3992" spans="1:14" x14ac:dyDescent="0.2">
      <c r="A3992" s="623" t="str">
        <f>'A IV.A'!A129</f>
        <v>5.2</v>
      </c>
      <c r="B3992" s="624"/>
      <c r="C3992" s="626" t="str">
        <f>'A IV.A'!B129</f>
        <v xml:space="preserve">IMPERMEABILIZACAO DE SUPERFICIE COM CIMENTO IMPERMEABILIZANTE DE PEGA ULTRARRAPIDA </v>
      </c>
      <c r="D3992" s="627"/>
      <c r="E3992" s="627"/>
      <c r="F3992" s="627"/>
      <c r="G3992" s="627"/>
      <c r="H3992" s="627"/>
      <c r="I3992" s="628"/>
      <c r="J3992" s="629" t="str">
        <f>'A IV.A'!C129</f>
        <v>M2</v>
      </c>
      <c r="K3992" s="630" t="str">
        <f>VLOOKUP(A3992,'A IV.A'!$A$14:$M$233,2,FALSE)</f>
        <v xml:space="preserve">IMPERMEABILIZACAO DE SUPERFICIE COM CIMENTO IMPERMEABILIZANTE DE PEGA ULTRARRAPIDA </v>
      </c>
      <c r="L3992" s="631" t="str">
        <f>IF(C3992=K3992,"sim","nao")</f>
        <v>sim</v>
      </c>
      <c r="M3992" s="631" t="str">
        <f>VLOOKUP(A3992,'A IV.A'!$A$14:$M$233,3,FALSE)</f>
        <v>M2</v>
      </c>
      <c r="N3992" s="631" t="str">
        <f>IF(J3992=M3992,"sim","nao")</f>
        <v>sim</v>
      </c>
    </row>
    <row r="3993" spans="1:14" x14ac:dyDescent="0.2">
      <c r="A3993" s="625"/>
      <c r="B3993" s="624"/>
      <c r="C3993" s="626"/>
      <c r="D3993" s="627"/>
      <c r="E3993" s="627"/>
      <c r="F3993" s="627"/>
      <c r="G3993" s="627"/>
      <c r="H3993" s="627"/>
      <c r="I3993" s="628"/>
      <c r="J3993" s="629"/>
      <c r="K3993" s="630"/>
      <c r="L3993" s="631"/>
      <c r="M3993" s="631"/>
      <c r="N3993" s="631"/>
    </row>
    <row r="3994" spans="1:14" x14ac:dyDescent="0.2">
      <c r="A3994" s="139"/>
      <c r="B3994" s="140"/>
      <c r="C3994" s="141"/>
      <c r="D3994" s="142"/>
      <c r="E3994" s="142"/>
      <c r="F3994" s="142"/>
      <c r="G3994" s="142"/>
      <c r="H3994" s="142"/>
      <c r="I3994" s="143"/>
      <c r="J3994" s="144"/>
      <c r="K3994" s="132"/>
      <c r="L3994" s="133"/>
    </row>
    <row r="3995" spans="1:14" x14ac:dyDescent="0.2">
      <c r="A3995" s="199"/>
      <c r="B3995" s="188"/>
      <c r="C3995" s="189"/>
      <c r="D3995" s="165"/>
      <c r="E3995" s="165"/>
      <c r="F3995" s="165"/>
      <c r="G3995" s="165"/>
      <c r="H3995" s="165"/>
      <c r="I3995" s="190"/>
      <c r="J3995" s="191"/>
      <c r="K3995" s="192"/>
      <c r="L3995" s="55"/>
      <c r="M3995" s="55"/>
      <c r="N3995" s="55"/>
    </row>
    <row r="3996" spans="1:14" x14ac:dyDescent="0.2">
      <c r="A3996" s="158"/>
      <c r="B3996" s="188"/>
      <c r="C3996" s="189"/>
      <c r="D3996" s="165"/>
      <c r="E3996" s="165"/>
      <c r="F3996" s="165"/>
      <c r="G3996" s="165"/>
      <c r="H3996" s="165"/>
      <c r="I3996" s="190"/>
      <c r="J3996" s="191"/>
      <c r="K3996" s="192"/>
      <c r="L3996" s="55"/>
      <c r="M3996" s="55"/>
      <c r="N3996" s="55"/>
    </row>
    <row r="3997" spans="1:14" x14ac:dyDescent="0.2">
      <c r="A3997" s="145"/>
      <c r="B3997" s="146"/>
      <c r="C3997" s="147"/>
      <c r="D3997" s="147"/>
      <c r="E3997" s="147"/>
      <c r="F3997" s="147"/>
      <c r="G3997" s="147"/>
      <c r="H3997" s="147"/>
      <c r="I3997" s="147"/>
      <c r="J3997" s="148"/>
      <c r="K3997" s="132"/>
      <c r="L3997" s="133"/>
    </row>
    <row r="3998" spans="1:14" x14ac:dyDescent="0.2">
      <c r="A3998" s="199"/>
      <c r="B3998" s="188"/>
      <c r="C3998" s="189"/>
      <c r="D3998" s="165"/>
      <c r="E3998" s="165"/>
      <c r="F3998" s="165"/>
      <c r="G3998" s="165"/>
      <c r="H3998" s="165"/>
      <c r="I3998" s="190"/>
      <c r="J3998" s="191"/>
      <c r="K3998" s="192"/>
      <c r="L3998" s="55"/>
      <c r="M3998" s="55"/>
      <c r="N3998" s="55"/>
    </row>
    <row r="3999" spans="1:14" x14ac:dyDescent="0.2">
      <c r="A3999" s="158"/>
      <c r="B3999" s="188"/>
      <c r="C3999" s="189"/>
      <c r="D3999" s="165"/>
      <c r="E3999" s="165"/>
      <c r="F3999" s="165"/>
      <c r="G3999" s="165"/>
      <c r="H3999" s="165"/>
      <c r="I3999" s="190"/>
      <c r="J3999" s="191"/>
      <c r="K3999" s="192"/>
      <c r="L3999" s="55"/>
      <c r="M3999" s="55"/>
      <c r="N3999" s="55"/>
    </row>
    <row r="4000" spans="1:14" x14ac:dyDescent="0.2">
      <c r="A4000" s="145"/>
      <c r="B4000" s="146"/>
      <c r="C4000" s="147"/>
      <c r="D4000" s="147"/>
      <c r="E4000" s="147"/>
      <c r="F4000" s="147"/>
      <c r="G4000" s="147"/>
      <c r="H4000" s="147"/>
      <c r="I4000" s="147"/>
      <c r="J4000" s="148"/>
      <c r="K4000" s="132"/>
      <c r="L4000" s="133"/>
    </row>
    <row r="4001" spans="1:14" x14ac:dyDescent="0.2">
      <c r="A4001" s="199"/>
      <c r="B4001" s="188"/>
      <c r="C4001" s="189"/>
      <c r="D4001" s="165"/>
      <c r="E4001" s="165"/>
      <c r="F4001" s="165"/>
      <c r="G4001" s="165"/>
      <c r="H4001" s="165"/>
      <c r="I4001" s="190"/>
      <c r="J4001" s="191"/>
      <c r="K4001" s="192"/>
      <c r="L4001" s="55"/>
      <c r="M4001" s="55"/>
      <c r="N4001" s="55"/>
    </row>
    <row r="4002" spans="1:14" x14ac:dyDescent="0.2">
      <c r="A4002" s="158"/>
      <c r="B4002" s="188"/>
      <c r="C4002" s="189"/>
      <c r="D4002" s="165"/>
      <c r="E4002" s="165"/>
      <c r="F4002" s="165"/>
      <c r="G4002" s="165"/>
      <c r="H4002" s="165"/>
      <c r="I4002" s="190"/>
      <c r="J4002" s="191"/>
      <c r="K4002" s="192"/>
      <c r="L4002" s="55"/>
      <c r="M4002" s="55"/>
      <c r="N4002" s="55"/>
    </row>
    <row r="4003" spans="1:14" x14ac:dyDescent="0.2">
      <c r="A4003" s="145"/>
      <c r="B4003" s="146"/>
      <c r="C4003" s="147"/>
      <c r="D4003" s="147"/>
      <c r="E4003" s="147"/>
      <c r="F4003" s="147"/>
      <c r="G4003" s="147"/>
      <c r="H4003" s="147"/>
      <c r="I4003" s="147"/>
      <c r="J4003" s="148"/>
      <c r="K4003" s="132"/>
      <c r="L4003" s="133"/>
    </row>
    <row r="4004" spans="1:14" x14ac:dyDescent="0.2">
      <c r="A4004" s="199"/>
      <c r="B4004" s="188"/>
      <c r="C4004" s="189"/>
      <c r="D4004" s="165"/>
      <c r="E4004" s="165"/>
      <c r="F4004" s="165"/>
      <c r="G4004" s="165"/>
      <c r="H4004" s="165"/>
      <c r="I4004" s="190"/>
      <c r="J4004" s="191"/>
      <c r="K4004" s="192"/>
      <c r="L4004" s="55"/>
      <c r="M4004" s="55"/>
      <c r="N4004" s="55"/>
    </row>
    <row r="4005" spans="1:14" x14ac:dyDescent="0.2">
      <c r="A4005" s="158"/>
      <c r="B4005" s="188"/>
      <c r="C4005" s="189"/>
      <c r="D4005" s="165"/>
      <c r="E4005" s="165"/>
      <c r="F4005" s="165"/>
      <c r="G4005" s="165"/>
      <c r="H4005" s="165"/>
      <c r="I4005" s="190"/>
      <c r="J4005" s="191"/>
      <c r="K4005" s="192"/>
      <c r="L4005" s="55"/>
      <c r="M4005" s="55"/>
      <c r="N4005" s="55"/>
    </row>
    <row r="4006" spans="1:14" x14ac:dyDescent="0.2">
      <c r="A4006" s="145"/>
      <c r="B4006" s="146"/>
      <c r="C4006" s="147"/>
      <c r="D4006" s="147"/>
      <c r="E4006" s="147"/>
      <c r="F4006" s="147"/>
      <c r="G4006" s="147"/>
      <c r="H4006" s="147"/>
      <c r="I4006" s="147"/>
      <c r="J4006" s="148"/>
      <c r="K4006" s="132"/>
      <c r="L4006" s="133"/>
    </row>
    <row r="4007" spans="1:14" x14ac:dyDescent="0.2">
      <c r="A4007" s="199"/>
      <c r="B4007" s="188"/>
      <c r="C4007" s="189"/>
      <c r="D4007" s="165"/>
      <c r="E4007" s="165"/>
      <c r="F4007" s="165"/>
      <c r="G4007" s="165"/>
      <c r="H4007" s="165"/>
      <c r="I4007" s="190"/>
      <c r="J4007" s="191"/>
      <c r="K4007" s="192"/>
      <c r="L4007" s="55"/>
      <c r="M4007" s="55"/>
      <c r="N4007" s="55"/>
    </row>
    <row r="4008" spans="1:14" x14ac:dyDescent="0.2">
      <c r="A4008" s="158"/>
      <c r="B4008" s="188"/>
      <c r="C4008" s="189"/>
      <c r="D4008" s="165"/>
      <c r="E4008" s="165"/>
      <c r="F4008" s="165"/>
      <c r="G4008" s="165"/>
      <c r="H4008" s="165"/>
      <c r="I4008" s="190"/>
      <c r="J4008" s="191"/>
      <c r="K4008" s="192"/>
      <c r="L4008" s="55"/>
      <c r="M4008" s="55"/>
      <c r="N4008" s="55"/>
    </row>
    <row r="4009" spans="1:14" x14ac:dyDescent="0.2">
      <c r="A4009" s="145"/>
      <c r="B4009" s="146"/>
      <c r="C4009" s="147"/>
      <c r="D4009" s="147"/>
      <c r="E4009" s="147"/>
      <c r="F4009" s="147"/>
      <c r="G4009" s="147"/>
      <c r="H4009" s="147"/>
      <c r="I4009" s="147"/>
      <c r="J4009" s="148"/>
      <c r="K4009" s="132"/>
      <c r="L4009" s="133"/>
    </row>
    <row r="4010" spans="1:14" x14ac:dyDescent="0.2">
      <c r="A4010" s="199"/>
      <c r="B4010" s="188"/>
      <c r="C4010" s="189"/>
      <c r="D4010" s="165"/>
      <c r="E4010" s="165"/>
      <c r="F4010" s="165"/>
      <c r="G4010" s="165"/>
      <c r="H4010" s="165"/>
      <c r="I4010" s="190"/>
      <c r="J4010" s="191"/>
      <c r="K4010" s="192"/>
      <c r="L4010" s="55"/>
      <c r="M4010" s="55"/>
      <c r="N4010" s="55"/>
    </row>
    <row r="4011" spans="1:14" x14ac:dyDescent="0.2">
      <c r="A4011" s="158"/>
      <c r="B4011" s="188"/>
      <c r="C4011" s="189"/>
      <c r="D4011" s="165"/>
      <c r="E4011" s="165"/>
      <c r="F4011" s="165"/>
      <c r="G4011" s="165"/>
      <c r="H4011" s="165"/>
      <c r="I4011" s="190"/>
      <c r="J4011" s="191"/>
      <c r="K4011" s="192"/>
      <c r="L4011" s="55"/>
      <c r="M4011" s="55"/>
      <c r="N4011" s="55"/>
    </row>
    <row r="4012" spans="1:14" x14ac:dyDescent="0.2">
      <c r="A4012" s="145"/>
      <c r="B4012" s="146"/>
      <c r="C4012" s="147"/>
      <c r="D4012" s="147"/>
      <c r="E4012" s="147"/>
      <c r="F4012" s="147"/>
      <c r="G4012" s="147"/>
      <c r="H4012" s="147"/>
      <c r="I4012" s="147"/>
      <c r="J4012" s="148"/>
      <c r="K4012" s="132"/>
      <c r="L4012" s="133"/>
    </row>
    <row r="4013" spans="1:14" ht="13.5" thickBot="1" x14ac:dyDescent="0.25">
      <c r="A4013" s="149"/>
      <c r="B4013" s="150"/>
      <c r="C4013" s="151"/>
      <c r="D4013" s="151"/>
      <c r="E4013" s="151"/>
      <c r="F4013" s="151"/>
      <c r="G4013" s="151"/>
      <c r="H4013" s="151"/>
      <c r="I4013" s="151"/>
      <c r="J4013" s="152"/>
      <c r="K4013" s="132"/>
      <c r="L4013" s="133"/>
    </row>
    <row r="4014" spans="1:14" ht="13.5" thickBot="1" x14ac:dyDescent="0.25">
      <c r="A4014" s="153"/>
      <c r="B4014" s="153"/>
      <c r="C4014" s="154"/>
      <c r="D4014" s="154"/>
      <c r="E4014" s="154"/>
      <c r="F4014" s="154"/>
      <c r="G4014" s="154"/>
      <c r="H4014" s="154"/>
      <c r="I4014" s="154"/>
      <c r="J4014" s="153"/>
      <c r="K4014" s="132"/>
      <c r="L4014" s="133"/>
    </row>
    <row r="4015" spans="1:14" ht="13.5" thickBot="1" x14ac:dyDescent="0.25">
      <c r="A4015" s="614" t="s">
        <v>62</v>
      </c>
      <c r="B4015" s="648"/>
      <c r="C4015" s="648"/>
      <c r="D4015" s="648"/>
      <c r="E4015" s="648"/>
      <c r="F4015" s="648"/>
      <c r="G4015" s="648"/>
      <c r="H4015" s="648"/>
      <c r="I4015" s="648"/>
      <c r="J4015" s="649"/>
      <c r="K4015" s="132"/>
      <c r="L4015" s="133"/>
    </row>
    <row r="4016" spans="1:14" x14ac:dyDescent="0.2">
      <c r="A4016" s="136"/>
      <c r="B4016" s="155"/>
      <c r="C4016" s="156"/>
      <c r="D4016" s="156"/>
      <c r="E4016" s="156"/>
      <c r="F4016" s="156"/>
      <c r="G4016" s="156"/>
      <c r="H4016" s="156"/>
      <c r="I4016" s="156"/>
      <c r="J4016" s="157"/>
      <c r="K4016" s="132"/>
      <c r="L4016" s="133"/>
    </row>
    <row r="4017" spans="1:12" ht="12.75" customHeight="1" x14ac:dyDescent="0.2">
      <c r="A4017" s="158" t="s">
        <v>63</v>
      </c>
      <c r="B4017" s="55"/>
      <c r="C4017" s="596" t="s">
        <v>514</v>
      </c>
      <c r="D4017" s="596"/>
      <c r="E4017" s="596"/>
      <c r="F4017" s="596"/>
      <c r="G4017" s="596"/>
      <c r="H4017" s="596"/>
      <c r="I4017" s="596"/>
      <c r="J4017" s="597"/>
      <c r="K4017" s="132"/>
      <c r="L4017" s="133"/>
    </row>
    <row r="4018" spans="1:12" x14ac:dyDescent="0.2">
      <c r="A4018" s="158"/>
      <c r="B4018" s="55"/>
      <c r="C4018" s="596"/>
      <c r="D4018" s="596"/>
      <c r="E4018" s="596"/>
      <c r="F4018" s="596"/>
      <c r="G4018" s="596"/>
      <c r="H4018" s="596"/>
      <c r="I4018" s="596"/>
      <c r="J4018" s="597"/>
      <c r="K4018" s="132"/>
      <c r="L4018" s="133"/>
    </row>
    <row r="4019" spans="1:12" x14ac:dyDescent="0.2">
      <c r="A4019" s="158"/>
      <c r="B4019" s="55"/>
      <c r="C4019" s="159"/>
      <c r="D4019" s="159"/>
      <c r="E4019" s="159"/>
      <c r="F4019" s="159"/>
      <c r="G4019" s="159"/>
      <c r="H4019" s="159"/>
      <c r="I4019" s="159"/>
      <c r="J4019" s="160"/>
      <c r="K4019" s="132"/>
      <c r="L4019" s="133"/>
    </row>
    <row r="4020" spans="1:12" ht="12.75" customHeight="1" x14ac:dyDescent="0.2">
      <c r="A4020" s="158" t="s">
        <v>64</v>
      </c>
      <c r="B4020" s="55"/>
      <c r="C4020" s="634" t="s">
        <v>512</v>
      </c>
      <c r="D4020" s="634"/>
      <c r="E4020" s="634"/>
      <c r="F4020" s="634"/>
      <c r="G4020" s="634"/>
      <c r="H4020" s="634"/>
      <c r="I4020" s="634"/>
      <c r="J4020" s="635"/>
      <c r="K4020" s="132"/>
      <c r="L4020" s="133"/>
    </row>
    <row r="4021" spans="1:12" x14ac:dyDescent="0.2">
      <c r="A4021" s="158"/>
      <c r="B4021" s="55"/>
      <c r="C4021" s="175"/>
      <c r="D4021" s="175"/>
      <c r="E4021" s="175"/>
      <c r="F4021" s="175"/>
      <c r="G4021" s="175"/>
      <c r="H4021" s="175"/>
      <c r="I4021" s="175"/>
      <c r="J4021" s="176"/>
      <c r="K4021" s="132"/>
      <c r="L4021" s="133"/>
    </row>
    <row r="4022" spans="1:12" x14ac:dyDescent="0.2">
      <c r="A4022" s="158"/>
      <c r="B4022" s="55"/>
      <c r="C4022" s="159"/>
      <c r="D4022" s="159"/>
      <c r="E4022" s="159"/>
      <c r="F4022" s="159"/>
      <c r="G4022" s="159"/>
      <c r="H4022" s="159"/>
      <c r="I4022" s="159"/>
      <c r="J4022" s="160"/>
      <c r="K4022" s="132"/>
      <c r="L4022" s="133"/>
    </row>
    <row r="4023" spans="1:12" x14ac:dyDescent="0.2">
      <c r="A4023" s="158"/>
      <c r="B4023" s="55"/>
      <c r="C4023" s="55"/>
      <c r="D4023" s="55"/>
      <c r="E4023" s="55"/>
      <c r="F4023" s="55"/>
      <c r="G4023" s="55"/>
      <c r="H4023" s="55"/>
      <c r="I4023" s="55"/>
      <c r="J4023" s="196"/>
      <c r="K4023" s="132"/>
      <c r="L4023" s="133"/>
    </row>
    <row r="4024" spans="1:12" x14ac:dyDescent="0.2">
      <c r="A4024" s="158"/>
      <c r="B4024" s="55"/>
      <c r="C4024" s="159"/>
      <c r="D4024" s="159"/>
      <c r="E4024" s="159"/>
      <c r="F4024" s="159"/>
      <c r="G4024" s="159"/>
      <c r="H4024" s="159"/>
      <c r="I4024" s="159"/>
      <c r="J4024" s="160"/>
      <c r="K4024" s="132"/>
      <c r="L4024" s="133"/>
    </row>
    <row r="4025" spans="1:12" x14ac:dyDescent="0.2">
      <c r="A4025" s="598"/>
      <c r="B4025" s="638"/>
      <c r="C4025" s="596"/>
      <c r="D4025" s="596"/>
      <c r="E4025" s="596"/>
      <c r="F4025" s="596"/>
      <c r="G4025" s="596"/>
      <c r="H4025" s="596"/>
      <c r="I4025" s="596"/>
      <c r="J4025" s="597"/>
      <c r="K4025" s="132"/>
      <c r="L4025" s="133"/>
    </row>
    <row r="4026" spans="1:12" x14ac:dyDescent="0.2">
      <c r="A4026" s="158"/>
      <c r="B4026" s="55"/>
      <c r="C4026" s="71"/>
      <c r="D4026" s="71"/>
      <c r="E4026" s="71"/>
      <c r="F4026" s="71"/>
      <c r="G4026" s="71"/>
      <c r="H4026" s="71"/>
      <c r="I4026" s="71"/>
      <c r="J4026" s="174"/>
      <c r="K4026" s="132"/>
      <c r="L4026" s="133"/>
    </row>
    <row r="4027" spans="1:12" x14ac:dyDescent="0.2">
      <c r="A4027" s="158"/>
      <c r="B4027" s="55"/>
      <c r="C4027" s="71"/>
      <c r="D4027" s="71"/>
      <c r="E4027" s="71"/>
      <c r="F4027" s="71"/>
      <c r="G4027" s="71"/>
      <c r="H4027" s="71"/>
      <c r="I4027" s="71"/>
      <c r="J4027" s="174"/>
      <c r="K4027" s="132"/>
      <c r="L4027" s="133"/>
    </row>
    <row r="4028" spans="1:12" x14ac:dyDescent="0.2">
      <c r="A4028" s="158"/>
      <c r="B4028" s="55"/>
      <c r="C4028" s="71"/>
      <c r="D4028" s="71"/>
      <c r="E4028" s="71"/>
      <c r="F4028" s="71"/>
      <c r="G4028" s="71"/>
      <c r="H4028" s="71"/>
      <c r="I4028" s="71"/>
      <c r="J4028" s="174"/>
      <c r="K4028" s="132"/>
      <c r="L4028" s="133"/>
    </row>
    <row r="4029" spans="1:12" x14ac:dyDescent="0.2">
      <c r="A4029" s="158"/>
      <c r="B4029" s="55"/>
      <c r="C4029" s="71"/>
      <c r="D4029" s="71"/>
      <c r="E4029" s="71"/>
      <c r="F4029" s="71"/>
      <c r="G4029" s="71"/>
      <c r="H4029" s="71"/>
      <c r="I4029" s="71"/>
      <c r="J4029" s="174"/>
      <c r="K4029" s="132"/>
      <c r="L4029" s="133"/>
    </row>
    <row r="4030" spans="1:12" x14ac:dyDescent="0.2">
      <c r="A4030" s="158"/>
      <c r="B4030" s="55"/>
      <c r="C4030" s="71"/>
      <c r="D4030" s="71"/>
      <c r="E4030" s="71"/>
      <c r="F4030" s="71"/>
      <c r="G4030" s="71"/>
      <c r="H4030" s="71"/>
      <c r="I4030" s="71"/>
      <c r="J4030" s="174"/>
      <c r="K4030" s="132"/>
      <c r="L4030" s="133"/>
    </row>
    <row r="4031" spans="1:12" x14ac:dyDescent="0.2">
      <c r="A4031" s="158"/>
      <c r="B4031" s="55"/>
      <c r="C4031" s="71"/>
      <c r="D4031" s="71"/>
      <c r="E4031" s="71"/>
      <c r="F4031" s="71"/>
      <c r="G4031" s="71"/>
      <c r="H4031" s="71"/>
      <c r="I4031" s="71"/>
      <c r="J4031" s="174"/>
      <c r="K4031" s="132"/>
      <c r="L4031" s="133"/>
    </row>
    <row r="4032" spans="1:12" x14ac:dyDescent="0.2">
      <c r="A4032" s="158"/>
      <c r="B4032" s="55"/>
      <c r="C4032" s="71"/>
      <c r="D4032" s="71"/>
      <c r="E4032" s="71"/>
      <c r="F4032" s="71"/>
      <c r="G4032" s="71"/>
      <c r="H4032" s="71"/>
      <c r="I4032" s="71"/>
      <c r="J4032" s="174"/>
      <c r="K4032" s="132"/>
      <c r="L4032" s="133"/>
    </row>
    <row r="4033" spans="1:14" x14ac:dyDescent="0.2">
      <c r="A4033" s="158"/>
      <c r="B4033" s="55"/>
      <c r="C4033" s="71"/>
      <c r="D4033" s="71"/>
      <c r="E4033" s="71"/>
      <c r="F4033" s="71"/>
      <c r="G4033" s="71"/>
      <c r="H4033" s="71"/>
      <c r="I4033" s="71"/>
      <c r="J4033" s="174"/>
      <c r="K4033" s="132"/>
      <c r="L4033" s="133"/>
    </row>
    <row r="4034" spans="1:14" x14ac:dyDescent="0.2">
      <c r="A4034" s="158"/>
      <c r="B4034" s="55"/>
      <c r="C4034" s="71"/>
      <c r="D4034" s="71"/>
      <c r="E4034" s="71"/>
      <c r="F4034" s="71"/>
      <c r="G4034" s="71"/>
      <c r="H4034" s="71"/>
      <c r="I4034" s="71"/>
      <c r="J4034" s="174"/>
      <c r="K4034" s="132"/>
      <c r="L4034" s="133"/>
    </row>
    <row r="4035" spans="1:14" x14ac:dyDescent="0.2">
      <c r="A4035" s="158"/>
      <c r="B4035" s="55"/>
      <c r="C4035" s="175"/>
      <c r="D4035" s="175"/>
      <c r="E4035" s="172"/>
      <c r="F4035" s="172"/>
      <c r="G4035" s="172"/>
      <c r="H4035" s="172"/>
      <c r="I4035" s="172"/>
      <c r="J4035" s="173"/>
      <c r="K4035" s="132"/>
      <c r="L4035" s="133"/>
    </row>
    <row r="4036" spans="1:14" x14ac:dyDescent="0.2">
      <c r="A4036" s="158"/>
      <c r="B4036" s="55"/>
      <c r="C4036" s="175"/>
      <c r="D4036" s="175"/>
      <c r="E4036" s="172"/>
      <c r="F4036" s="172"/>
      <c r="G4036" s="172"/>
      <c r="H4036" s="172"/>
      <c r="I4036" s="172"/>
      <c r="J4036" s="173"/>
      <c r="K4036" s="132"/>
      <c r="L4036" s="133"/>
    </row>
    <row r="4037" spans="1:14" x14ac:dyDescent="0.2">
      <c r="A4037" s="158"/>
      <c r="B4037" s="55"/>
      <c r="C4037" s="175"/>
      <c r="D4037" s="175"/>
      <c r="E4037" s="172"/>
      <c r="F4037" s="172"/>
      <c r="G4037" s="172"/>
      <c r="H4037" s="172"/>
      <c r="I4037" s="172"/>
      <c r="J4037" s="173"/>
      <c r="K4037" s="132"/>
      <c r="L4037" s="133"/>
    </row>
    <row r="4038" spans="1:14" x14ac:dyDescent="0.2">
      <c r="A4038" s="158"/>
      <c r="B4038" s="55"/>
      <c r="C4038" s="175"/>
      <c r="D4038" s="175"/>
      <c r="E4038" s="175"/>
      <c r="F4038" s="175"/>
      <c r="G4038" s="175"/>
      <c r="H4038" s="175"/>
      <c r="I4038" s="175"/>
      <c r="J4038" s="176"/>
      <c r="K4038" s="132"/>
      <c r="L4038" s="133"/>
    </row>
    <row r="4039" spans="1:14" ht="13.5" thickBot="1" x14ac:dyDescent="0.25">
      <c r="A4039" s="149"/>
      <c r="B4039" s="167"/>
      <c r="C4039" s="151"/>
      <c r="D4039" s="151"/>
      <c r="E4039" s="151"/>
      <c r="F4039" s="151"/>
      <c r="G4039" s="151"/>
      <c r="H4039" s="151"/>
      <c r="I4039" s="151"/>
      <c r="J4039" s="168"/>
      <c r="K4039" s="132"/>
      <c r="L4039" s="133"/>
    </row>
    <row r="4040" spans="1:14" ht="15.75" x14ac:dyDescent="0.2">
      <c r="A4040" s="602" t="s">
        <v>4</v>
      </c>
      <c r="B4040" s="603"/>
      <c r="C4040" s="639" t="str">
        <f>'A IV.A'!$B$126</f>
        <v>RECUPERAÇÃO E TRATAMENTO DE SUPERFÍCIES EM CONCRETO ARMADO - ITEM 10.0 DO TERMO DE REFERÊNCIA</v>
      </c>
      <c r="D4040" s="640"/>
      <c r="E4040" s="640"/>
      <c r="F4040" s="640"/>
      <c r="G4040" s="640"/>
      <c r="H4040" s="640"/>
      <c r="I4040" s="640"/>
      <c r="J4040" s="641"/>
      <c r="K4040" s="132"/>
      <c r="L4040" s="133"/>
    </row>
    <row r="4041" spans="1:14" x14ac:dyDescent="0.2">
      <c r="A4041" s="609" t="str">
        <f>'A IV.A'!$A$126</f>
        <v>5.0</v>
      </c>
      <c r="B4041" s="610"/>
      <c r="C4041" s="642"/>
      <c r="D4041" s="643"/>
      <c r="E4041" s="643"/>
      <c r="F4041" s="643"/>
      <c r="G4041" s="643"/>
      <c r="H4041" s="643"/>
      <c r="I4041" s="643"/>
      <c r="J4041" s="644"/>
      <c r="K4041" s="132"/>
      <c r="L4041" s="133"/>
    </row>
    <row r="4042" spans="1:14" ht="13.5" thickBot="1" x14ac:dyDescent="0.25">
      <c r="A4042" s="611"/>
      <c r="B4042" s="612"/>
      <c r="C4042" s="645"/>
      <c r="D4042" s="646"/>
      <c r="E4042" s="646"/>
      <c r="F4042" s="646"/>
      <c r="G4042" s="646"/>
      <c r="H4042" s="646"/>
      <c r="I4042" s="646"/>
      <c r="J4042" s="647"/>
      <c r="K4042" s="132"/>
      <c r="L4042" s="133"/>
    </row>
    <row r="4043" spans="1:14" ht="13.5" thickBot="1" x14ac:dyDescent="0.25">
      <c r="A4043" s="169"/>
      <c r="B4043" s="169"/>
      <c r="C4043" s="613"/>
      <c r="D4043" s="613"/>
      <c r="E4043" s="613"/>
      <c r="F4043" s="613"/>
      <c r="G4043" s="613"/>
      <c r="H4043" s="613"/>
      <c r="I4043" s="613"/>
      <c r="J4043" s="169"/>
      <c r="K4043" s="132"/>
      <c r="L4043" s="133"/>
    </row>
    <row r="4044" spans="1:14" ht="13.5" thickBot="1" x14ac:dyDescent="0.25">
      <c r="A4044" s="632" t="s">
        <v>60</v>
      </c>
      <c r="B4044" s="633"/>
      <c r="C4044" s="656" t="s">
        <v>61</v>
      </c>
      <c r="D4044" s="656"/>
      <c r="E4044" s="656"/>
      <c r="F4044" s="656"/>
      <c r="G4044" s="656"/>
      <c r="H4044" s="656"/>
      <c r="I4044" s="656"/>
      <c r="J4044" s="260" t="s">
        <v>0</v>
      </c>
      <c r="K4044" s="132"/>
      <c r="L4044" s="133"/>
    </row>
    <row r="4045" spans="1:14" x14ac:dyDescent="0.2">
      <c r="A4045" s="136"/>
      <c r="B4045" s="137"/>
      <c r="C4045" s="619"/>
      <c r="D4045" s="620"/>
      <c r="E4045" s="621"/>
      <c r="F4045" s="621"/>
      <c r="G4045" s="621"/>
      <c r="H4045" s="621"/>
      <c r="I4045" s="622"/>
      <c r="J4045" s="138"/>
      <c r="K4045" s="132"/>
      <c r="L4045" s="133"/>
    </row>
    <row r="4046" spans="1:14" x14ac:dyDescent="0.2">
      <c r="A4046" s="623" t="str">
        <f>'A IV.A'!A130</f>
        <v>5.3</v>
      </c>
      <c r="B4046" s="624"/>
      <c r="C4046" s="626" t="str">
        <f>'A IV.A'!B130</f>
        <v>TRATAMENTO DE CONCRETO COM ARMADURAS OXIDADADAS E RECOMPOSIÇÃO COM ARGAMASSA POLIMÉRICA</v>
      </c>
      <c r="D4046" s="627"/>
      <c r="E4046" s="627"/>
      <c r="F4046" s="627"/>
      <c r="G4046" s="627"/>
      <c r="H4046" s="627"/>
      <c r="I4046" s="628"/>
      <c r="J4046" s="629" t="str">
        <f>'A IV.A'!C130</f>
        <v>M2</v>
      </c>
      <c r="K4046" s="630" t="str">
        <f>VLOOKUP(A4046,'A IV.A'!$A$14:$M$233,2,FALSE)</f>
        <v>TRATAMENTO DE CONCRETO COM ARMADURAS OXIDADADAS E RECOMPOSIÇÃO COM ARGAMASSA POLIMÉRICA</v>
      </c>
      <c r="L4046" s="631" t="str">
        <f>IF(C4046=K4046,"sim","nao")</f>
        <v>sim</v>
      </c>
      <c r="M4046" s="631" t="str">
        <f>VLOOKUP(A4046,'A IV.A'!$A$14:$M$233,3,FALSE)</f>
        <v>M2</v>
      </c>
      <c r="N4046" s="631" t="str">
        <f>IF(J4046=M4046,"sim","nao")</f>
        <v>sim</v>
      </c>
    </row>
    <row r="4047" spans="1:14" x14ac:dyDescent="0.2">
      <c r="A4047" s="625"/>
      <c r="B4047" s="624"/>
      <c r="C4047" s="626"/>
      <c r="D4047" s="627"/>
      <c r="E4047" s="627"/>
      <c r="F4047" s="627"/>
      <c r="G4047" s="627"/>
      <c r="H4047" s="627"/>
      <c r="I4047" s="628"/>
      <c r="J4047" s="629"/>
      <c r="K4047" s="630"/>
      <c r="L4047" s="631"/>
      <c r="M4047" s="631"/>
      <c r="N4047" s="631"/>
    </row>
    <row r="4048" spans="1:14" x14ac:dyDescent="0.2">
      <c r="A4048" s="139"/>
      <c r="B4048" s="140"/>
      <c r="C4048" s="141"/>
      <c r="D4048" s="142"/>
      <c r="E4048" s="142"/>
      <c r="F4048" s="142"/>
      <c r="G4048" s="142"/>
      <c r="H4048" s="142"/>
      <c r="I4048" s="143"/>
      <c r="J4048" s="144"/>
      <c r="K4048" s="132"/>
      <c r="L4048" s="133"/>
    </row>
    <row r="4049" spans="1:14" x14ac:dyDescent="0.2">
      <c r="A4049" s="199"/>
      <c r="B4049" s="188"/>
      <c r="C4049" s="189"/>
      <c r="D4049" s="165"/>
      <c r="E4049" s="165"/>
      <c r="F4049" s="165"/>
      <c r="G4049" s="165"/>
      <c r="H4049" s="165"/>
      <c r="I4049" s="190"/>
      <c r="J4049" s="191"/>
      <c r="K4049" s="192"/>
      <c r="L4049" s="55"/>
      <c r="M4049" s="55"/>
      <c r="N4049" s="55"/>
    </row>
    <row r="4050" spans="1:14" x14ac:dyDescent="0.2">
      <c r="A4050" s="158"/>
      <c r="B4050" s="188"/>
      <c r="C4050" s="189"/>
      <c r="D4050" s="165"/>
      <c r="E4050" s="165"/>
      <c r="F4050" s="165"/>
      <c r="G4050" s="165"/>
      <c r="H4050" s="165"/>
      <c r="I4050" s="190"/>
      <c r="J4050" s="191"/>
      <c r="K4050" s="192"/>
      <c r="L4050" s="55"/>
      <c r="M4050" s="55"/>
      <c r="N4050" s="55"/>
    </row>
    <row r="4051" spans="1:14" x14ac:dyDescent="0.2">
      <c r="A4051" s="145"/>
      <c r="B4051" s="146"/>
      <c r="C4051" s="147"/>
      <c r="D4051" s="147"/>
      <c r="E4051" s="147"/>
      <c r="F4051" s="147"/>
      <c r="G4051" s="147"/>
      <c r="H4051" s="147"/>
      <c r="I4051" s="147"/>
      <c r="J4051" s="148"/>
      <c r="K4051" s="132"/>
      <c r="L4051" s="133"/>
    </row>
    <row r="4052" spans="1:14" x14ac:dyDescent="0.2">
      <c r="A4052" s="199"/>
      <c r="B4052" s="188"/>
      <c r="C4052" s="189"/>
      <c r="D4052" s="165"/>
      <c r="E4052" s="165"/>
      <c r="F4052" s="165"/>
      <c r="G4052" s="165"/>
      <c r="H4052" s="165"/>
      <c r="I4052" s="190"/>
      <c r="J4052" s="191"/>
      <c r="K4052" s="192"/>
      <c r="L4052" s="55"/>
      <c r="M4052" s="55"/>
      <c r="N4052" s="55"/>
    </row>
    <row r="4053" spans="1:14" x14ac:dyDescent="0.2">
      <c r="A4053" s="158"/>
      <c r="B4053" s="188"/>
      <c r="C4053" s="189"/>
      <c r="D4053" s="165"/>
      <c r="E4053" s="165"/>
      <c r="F4053" s="165"/>
      <c r="G4053" s="165"/>
      <c r="H4053" s="165"/>
      <c r="I4053" s="190"/>
      <c r="J4053" s="191"/>
      <c r="K4053" s="192"/>
      <c r="L4053" s="55"/>
      <c r="M4053" s="55"/>
      <c r="N4053" s="55"/>
    </row>
    <row r="4054" spans="1:14" x14ac:dyDescent="0.2">
      <c r="A4054" s="145"/>
      <c r="B4054" s="146"/>
      <c r="C4054" s="147"/>
      <c r="D4054" s="147"/>
      <c r="E4054" s="147"/>
      <c r="F4054" s="147"/>
      <c r="G4054" s="147"/>
      <c r="H4054" s="147"/>
      <c r="I4054" s="147"/>
      <c r="J4054" s="148"/>
      <c r="K4054" s="132"/>
      <c r="L4054" s="133"/>
    </row>
    <row r="4055" spans="1:14" x14ac:dyDescent="0.2">
      <c r="A4055" s="199"/>
      <c r="B4055" s="188"/>
      <c r="C4055" s="189"/>
      <c r="D4055" s="165"/>
      <c r="E4055" s="165"/>
      <c r="F4055" s="165"/>
      <c r="G4055" s="165"/>
      <c r="H4055" s="165"/>
      <c r="I4055" s="190"/>
      <c r="J4055" s="191"/>
      <c r="K4055" s="192"/>
      <c r="L4055" s="55"/>
      <c r="M4055" s="55"/>
      <c r="N4055" s="55"/>
    </row>
    <row r="4056" spans="1:14" x14ac:dyDescent="0.2">
      <c r="A4056" s="158"/>
      <c r="B4056" s="188"/>
      <c r="C4056" s="189"/>
      <c r="D4056" s="165"/>
      <c r="E4056" s="165"/>
      <c r="F4056" s="165"/>
      <c r="G4056" s="165"/>
      <c r="H4056" s="165"/>
      <c r="I4056" s="190"/>
      <c r="J4056" s="191"/>
      <c r="K4056" s="192"/>
      <c r="L4056" s="55"/>
      <c r="M4056" s="55"/>
      <c r="N4056" s="55"/>
    </row>
    <row r="4057" spans="1:14" x14ac:dyDescent="0.2">
      <c r="A4057" s="145"/>
      <c r="B4057" s="146"/>
      <c r="C4057" s="147"/>
      <c r="D4057" s="147"/>
      <c r="E4057" s="147"/>
      <c r="F4057" s="147"/>
      <c r="G4057" s="147"/>
      <c r="H4057" s="147"/>
      <c r="I4057" s="147"/>
      <c r="J4057" s="148"/>
      <c r="K4057" s="132"/>
      <c r="L4057" s="133"/>
    </row>
    <row r="4058" spans="1:14" x14ac:dyDescent="0.2">
      <c r="A4058" s="199"/>
      <c r="B4058" s="188"/>
      <c r="C4058" s="189"/>
      <c r="D4058" s="165"/>
      <c r="E4058" s="165"/>
      <c r="F4058" s="165"/>
      <c r="G4058" s="165"/>
      <c r="H4058" s="165"/>
      <c r="I4058" s="190"/>
      <c r="J4058" s="191"/>
      <c r="K4058" s="192"/>
      <c r="L4058" s="55"/>
      <c r="M4058" s="55"/>
      <c r="N4058" s="55"/>
    </row>
    <row r="4059" spans="1:14" x14ac:dyDescent="0.2">
      <c r="A4059" s="158"/>
      <c r="B4059" s="188"/>
      <c r="C4059" s="189"/>
      <c r="D4059" s="165"/>
      <c r="E4059" s="165"/>
      <c r="F4059" s="165"/>
      <c r="G4059" s="165"/>
      <c r="H4059" s="165"/>
      <c r="I4059" s="190"/>
      <c r="J4059" s="191"/>
      <c r="K4059" s="192"/>
      <c r="L4059" s="55"/>
      <c r="M4059" s="55"/>
      <c r="N4059" s="55"/>
    </row>
    <row r="4060" spans="1:14" x14ac:dyDescent="0.2">
      <c r="A4060" s="145"/>
      <c r="B4060" s="146"/>
      <c r="C4060" s="147"/>
      <c r="D4060" s="147"/>
      <c r="E4060" s="147"/>
      <c r="F4060" s="147"/>
      <c r="G4060" s="147"/>
      <c r="H4060" s="147"/>
      <c r="I4060" s="147"/>
      <c r="J4060" s="148"/>
      <c r="K4060" s="132"/>
      <c r="L4060" s="133"/>
    </row>
    <row r="4061" spans="1:14" x14ac:dyDescent="0.2">
      <c r="A4061" s="199"/>
      <c r="B4061" s="188"/>
      <c r="C4061" s="189"/>
      <c r="D4061" s="165"/>
      <c r="E4061" s="165"/>
      <c r="F4061" s="165"/>
      <c r="G4061" s="165"/>
      <c r="H4061" s="165"/>
      <c r="I4061" s="190"/>
      <c r="J4061" s="191"/>
      <c r="K4061" s="192"/>
      <c r="L4061" s="55"/>
      <c r="M4061" s="55"/>
      <c r="N4061" s="55"/>
    </row>
    <row r="4062" spans="1:14" x14ac:dyDescent="0.2">
      <c r="A4062" s="158"/>
      <c r="B4062" s="188"/>
      <c r="C4062" s="189"/>
      <c r="D4062" s="165"/>
      <c r="E4062" s="165"/>
      <c r="F4062" s="165"/>
      <c r="G4062" s="165"/>
      <c r="H4062" s="165"/>
      <c r="I4062" s="190"/>
      <c r="J4062" s="191"/>
      <c r="K4062" s="192"/>
      <c r="L4062" s="55"/>
      <c r="M4062" s="55"/>
      <c r="N4062" s="55"/>
    </row>
    <row r="4063" spans="1:14" x14ac:dyDescent="0.2">
      <c r="A4063" s="145"/>
      <c r="B4063" s="146"/>
      <c r="C4063" s="147"/>
      <c r="D4063" s="147"/>
      <c r="E4063" s="147"/>
      <c r="F4063" s="147"/>
      <c r="G4063" s="147"/>
      <c r="H4063" s="147"/>
      <c r="I4063" s="147"/>
      <c r="J4063" s="148"/>
      <c r="K4063" s="132"/>
      <c r="L4063" s="133"/>
    </row>
    <row r="4064" spans="1:14" x14ac:dyDescent="0.2">
      <c r="A4064" s="199"/>
      <c r="B4064" s="188"/>
      <c r="C4064" s="189"/>
      <c r="D4064" s="165"/>
      <c r="E4064" s="165"/>
      <c r="F4064" s="165"/>
      <c r="G4064" s="165"/>
      <c r="H4064" s="165"/>
      <c r="I4064" s="190"/>
      <c r="J4064" s="191"/>
      <c r="K4064" s="192"/>
      <c r="L4064" s="55"/>
      <c r="M4064" s="55"/>
      <c r="N4064" s="55"/>
    </row>
    <row r="4065" spans="1:14" x14ac:dyDescent="0.2">
      <c r="A4065" s="158"/>
      <c r="B4065" s="188"/>
      <c r="C4065" s="189"/>
      <c r="D4065" s="165"/>
      <c r="E4065" s="165"/>
      <c r="F4065" s="165"/>
      <c r="G4065" s="165"/>
      <c r="H4065" s="165"/>
      <c r="I4065" s="190"/>
      <c r="J4065" s="191"/>
      <c r="K4065" s="192"/>
      <c r="L4065" s="55"/>
      <c r="M4065" s="55"/>
      <c r="N4065" s="55"/>
    </row>
    <row r="4066" spans="1:14" x14ac:dyDescent="0.2">
      <c r="A4066" s="145"/>
      <c r="B4066" s="146"/>
      <c r="C4066" s="147"/>
      <c r="D4066" s="147"/>
      <c r="E4066" s="147"/>
      <c r="F4066" s="147"/>
      <c r="G4066" s="147"/>
      <c r="H4066" s="147"/>
      <c r="I4066" s="147"/>
      <c r="J4066" s="148"/>
      <c r="K4066" s="132"/>
      <c r="L4066" s="133"/>
    </row>
    <row r="4067" spans="1:14" ht="13.5" thickBot="1" x14ac:dyDescent="0.25">
      <c r="A4067" s="149"/>
      <c r="B4067" s="150"/>
      <c r="C4067" s="151"/>
      <c r="D4067" s="151"/>
      <c r="E4067" s="151"/>
      <c r="F4067" s="151"/>
      <c r="G4067" s="151"/>
      <c r="H4067" s="151"/>
      <c r="I4067" s="151"/>
      <c r="J4067" s="152"/>
      <c r="K4067" s="132"/>
      <c r="L4067" s="133"/>
    </row>
    <row r="4068" spans="1:14" ht="13.5" thickBot="1" x14ac:dyDescent="0.25">
      <c r="A4068" s="153"/>
      <c r="B4068" s="153"/>
      <c r="C4068" s="154"/>
      <c r="D4068" s="154"/>
      <c r="E4068" s="154"/>
      <c r="F4068" s="154"/>
      <c r="G4068" s="154"/>
      <c r="H4068" s="154"/>
      <c r="I4068" s="154"/>
      <c r="J4068" s="153"/>
      <c r="K4068" s="132"/>
      <c r="L4068" s="133"/>
    </row>
    <row r="4069" spans="1:14" ht="13.5" thickBot="1" x14ac:dyDescent="0.25">
      <c r="A4069" s="614" t="s">
        <v>62</v>
      </c>
      <c r="B4069" s="648"/>
      <c r="C4069" s="648"/>
      <c r="D4069" s="648"/>
      <c r="E4069" s="648"/>
      <c r="F4069" s="648"/>
      <c r="G4069" s="648"/>
      <c r="H4069" s="648"/>
      <c r="I4069" s="648"/>
      <c r="J4069" s="649"/>
      <c r="K4069" s="132"/>
      <c r="L4069" s="133"/>
    </row>
    <row r="4070" spans="1:14" x14ac:dyDescent="0.2">
      <c r="A4070" s="136"/>
      <c r="B4070" s="155"/>
      <c r="C4070" s="156"/>
      <c r="D4070" s="156"/>
      <c r="E4070" s="156"/>
      <c r="F4070" s="156"/>
      <c r="G4070" s="156"/>
      <c r="H4070" s="156"/>
      <c r="I4070" s="156"/>
      <c r="J4070" s="157"/>
      <c r="K4070" s="132"/>
      <c r="L4070" s="133"/>
    </row>
    <row r="4071" spans="1:14" ht="12.75" customHeight="1" x14ac:dyDescent="0.2">
      <c r="A4071" s="158" t="s">
        <v>63</v>
      </c>
      <c r="B4071" s="55"/>
      <c r="C4071" s="634" t="s">
        <v>1123</v>
      </c>
      <c r="D4071" s="634"/>
      <c r="E4071" s="634"/>
      <c r="F4071" s="634"/>
      <c r="G4071" s="634"/>
      <c r="H4071" s="634"/>
      <c r="I4071" s="634"/>
      <c r="J4071" s="635"/>
      <c r="K4071" s="132"/>
      <c r="L4071" s="133"/>
    </row>
    <row r="4072" spans="1:14" x14ac:dyDescent="0.2">
      <c r="A4072" s="158"/>
      <c r="B4072" s="55"/>
      <c r="C4072" s="634"/>
      <c r="D4072" s="634"/>
      <c r="E4072" s="634"/>
      <c r="F4072" s="634"/>
      <c r="G4072" s="634"/>
      <c r="H4072" s="634"/>
      <c r="I4072" s="634"/>
      <c r="J4072" s="635"/>
      <c r="K4072" s="132"/>
      <c r="L4072" s="133"/>
    </row>
    <row r="4073" spans="1:14" x14ac:dyDescent="0.2">
      <c r="A4073" s="158"/>
      <c r="B4073" s="55"/>
      <c r="C4073" s="634"/>
      <c r="D4073" s="634"/>
      <c r="E4073" s="634"/>
      <c r="F4073" s="634"/>
      <c r="G4073" s="634"/>
      <c r="H4073" s="634"/>
      <c r="I4073" s="634"/>
      <c r="J4073" s="635"/>
      <c r="K4073" s="132"/>
      <c r="L4073" s="133"/>
    </row>
    <row r="4074" spans="1:14" ht="12.75" customHeight="1" x14ac:dyDescent="0.2">
      <c r="A4074" s="158"/>
      <c r="B4074" s="55"/>
      <c r="C4074" s="634"/>
      <c r="D4074" s="634"/>
      <c r="E4074" s="634"/>
      <c r="F4074" s="634"/>
      <c r="G4074" s="634"/>
      <c r="H4074" s="634"/>
      <c r="I4074" s="634"/>
      <c r="J4074" s="635"/>
      <c r="K4074" s="132"/>
      <c r="L4074" s="133"/>
    </row>
    <row r="4075" spans="1:14" x14ac:dyDescent="0.2">
      <c r="A4075" s="158"/>
      <c r="B4075" s="55"/>
      <c r="C4075" s="634"/>
      <c r="D4075" s="634"/>
      <c r="E4075" s="634"/>
      <c r="F4075" s="634"/>
      <c r="G4075" s="634"/>
      <c r="H4075" s="634"/>
      <c r="I4075" s="634"/>
      <c r="J4075" s="635"/>
      <c r="K4075" s="132"/>
      <c r="L4075" s="133"/>
    </row>
    <row r="4076" spans="1:14" x14ac:dyDescent="0.2">
      <c r="A4076" s="158"/>
      <c r="B4076" s="55"/>
      <c r="C4076" s="175"/>
      <c r="D4076" s="175"/>
      <c r="E4076" s="175"/>
      <c r="F4076" s="175"/>
      <c r="G4076" s="175"/>
      <c r="H4076" s="175"/>
      <c r="I4076" s="175"/>
      <c r="J4076" s="176"/>
      <c r="K4076" s="132"/>
      <c r="L4076" s="133"/>
    </row>
    <row r="4077" spans="1:14" x14ac:dyDescent="0.2">
      <c r="A4077" s="158"/>
      <c r="B4077" s="55"/>
      <c r="C4077" s="175"/>
      <c r="D4077" s="175"/>
      <c r="E4077" s="175"/>
      <c r="F4077" s="175"/>
      <c r="G4077" s="175"/>
      <c r="H4077" s="175"/>
      <c r="I4077" s="175"/>
      <c r="J4077" s="176"/>
      <c r="K4077" s="132"/>
      <c r="L4077" s="133"/>
    </row>
    <row r="4078" spans="1:14" x14ac:dyDescent="0.2">
      <c r="A4078" s="158"/>
      <c r="B4078" s="55"/>
      <c r="C4078" s="159"/>
      <c r="D4078" s="159"/>
      <c r="E4078" s="159"/>
      <c r="F4078" s="159"/>
      <c r="G4078" s="159"/>
      <c r="H4078" s="159"/>
      <c r="I4078" s="159"/>
      <c r="J4078" s="160"/>
      <c r="K4078" s="132"/>
      <c r="L4078" s="133"/>
    </row>
    <row r="4079" spans="1:14" x14ac:dyDescent="0.2">
      <c r="A4079" s="158" t="s">
        <v>64</v>
      </c>
      <c r="B4079" s="55"/>
      <c r="C4079" s="634" t="s">
        <v>1124</v>
      </c>
      <c r="D4079" s="634"/>
      <c r="E4079" s="634"/>
      <c r="F4079" s="634"/>
      <c r="G4079" s="634"/>
      <c r="H4079" s="634"/>
      <c r="I4079" s="634"/>
      <c r="J4079" s="635"/>
      <c r="K4079" s="132"/>
      <c r="L4079" s="133"/>
    </row>
    <row r="4080" spans="1:14" x14ac:dyDescent="0.2">
      <c r="A4080" s="158"/>
      <c r="B4080" s="55"/>
      <c r="C4080" s="71"/>
      <c r="D4080" s="71"/>
      <c r="E4080" s="71"/>
      <c r="F4080" s="71"/>
      <c r="G4080" s="71"/>
      <c r="H4080" s="71"/>
      <c r="I4080" s="71"/>
      <c r="J4080" s="174"/>
      <c r="K4080" s="132"/>
      <c r="L4080" s="133"/>
    </row>
    <row r="4081" spans="1:12" x14ac:dyDescent="0.2">
      <c r="A4081" s="158"/>
      <c r="B4081" s="55"/>
      <c r="C4081" s="71"/>
      <c r="D4081" s="71"/>
      <c r="E4081" s="71"/>
      <c r="F4081" s="71"/>
      <c r="G4081" s="71"/>
      <c r="H4081" s="71"/>
      <c r="I4081" s="71"/>
      <c r="J4081" s="174"/>
      <c r="K4081" s="132"/>
      <c r="L4081" s="133"/>
    </row>
    <row r="4082" spans="1:12" x14ac:dyDescent="0.2">
      <c r="A4082" s="158"/>
      <c r="B4082" s="55"/>
      <c r="C4082" s="71"/>
      <c r="D4082" s="71"/>
      <c r="E4082" s="71"/>
      <c r="F4082" s="71"/>
      <c r="G4082" s="71"/>
      <c r="H4082" s="71"/>
      <c r="I4082" s="71"/>
      <c r="J4082" s="174"/>
      <c r="K4082" s="132"/>
      <c r="L4082" s="133"/>
    </row>
    <row r="4083" spans="1:12" x14ac:dyDescent="0.2">
      <c r="A4083" s="158"/>
      <c r="B4083" s="55"/>
      <c r="C4083" s="71"/>
      <c r="D4083" s="71"/>
      <c r="E4083" s="71"/>
      <c r="F4083" s="71"/>
      <c r="G4083" s="71"/>
      <c r="H4083" s="71"/>
      <c r="I4083" s="71"/>
      <c r="J4083" s="174"/>
      <c r="K4083" s="132"/>
      <c r="L4083" s="133"/>
    </row>
    <row r="4084" spans="1:12" x14ac:dyDescent="0.2">
      <c r="A4084" s="158"/>
      <c r="B4084" s="55"/>
      <c r="C4084" s="71"/>
      <c r="D4084" s="71"/>
      <c r="E4084" s="71"/>
      <c r="F4084" s="71"/>
      <c r="G4084" s="71"/>
      <c r="H4084" s="71"/>
      <c r="I4084" s="71"/>
      <c r="J4084" s="174"/>
      <c r="K4084" s="132"/>
      <c r="L4084" s="133"/>
    </row>
    <row r="4085" spans="1:12" x14ac:dyDescent="0.2">
      <c r="A4085" s="158"/>
      <c r="B4085" s="55"/>
      <c r="C4085" s="71"/>
      <c r="D4085" s="71"/>
      <c r="E4085" s="71"/>
      <c r="F4085" s="71"/>
      <c r="G4085" s="71"/>
      <c r="H4085" s="71"/>
      <c r="I4085" s="71"/>
      <c r="J4085" s="174"/>
      <c r="K4085" s="132"/>
      <c r="L4085" s="133"/>
    </row>
    <row r="4086" spans="1:12" x14ac:dyDescent="0.2">
      <c r="A4086" s="158"/>
      <c r="B4086" s="55"/>
      <c r="C4086" s="71"/>
      <c r="D4086" s="71"/>
      <c r="E4086" s="71"/>
      <c r="F4086" s="71"/>
      <c r="G4086" s="71"/>
      <c r="H4086" s="71"/>
      <c r="I4086" s="71"/>
      <c r="J4086" s="174"/>
      <c r="K4086" s="132"/>
      <c r="L4086" s="133"/>
    </row>
    <row r="4087" spans="1:12" x14ac:dyDescent="0.2">
      <c r="A4087" s="158"/>
      <c r="B4087" s="55"/>
      <c r="C4087" s="71"/>
      <c r="D4087" s="71"/>
      <c r="E4087" s="71"/>
      <c r="F4087" s="71"/>
      <c r="G4087" s="71"/>
      <c r="H4087" s="71"/>
      <c r="I4087" s="71"/>
      <c r="J4087" s="174"/>
      <c r="K4087" s="132"/>
      <c r="L4087" s="133"/>
    </row>
    <row r="4088" spans="1:12" x14ac:dyDescent="0.2">
      <c r="A4088" s="158"/>
      <c r="B4088" s="55"/>
      <c r="C4088" s="71"/>
      <c r="D4088" s="71"/>
      <c r="E4088" s="71"/>
      <c r="F4088" s="71"/>
      <c r="G4088" s="71"/>
      <c r="H4088" s="71"/>
      <c r="I4088" s="71"/>
      <c r="J4088" s="174"/>
      <c r="K4088" s="132"/>
      <c r="L4088" s="133"/>
    </row>
    <row r="4089" spans="1:12" x14ac:dyDescent="0.2">
      <c r="A4089" s="158"/>
      <c r="B4089" s="55"/>
      <c r="C4089" s="175"/>
      <c r="D4089" s="175"/>
      <c r="E4089" s="172"/>
      <c r="F4089" s="172"/>
      <c r="G4089" s="172"/>
      <c r="H4089" s="172"/>
      <c r="I4089" s="172"/>
      <c r="J4089" s="173"/>
      <c r="K4089" s="132"/>
      <c r="L4089" s="133"/>
    </row>
    <row r="4090" spans="1:12" x14ac:dyDescent="0.2">
      <c r="A4090" s="158"/>
      <c r="B4090" s="55"/>
      <c r="C4090" s="175"/>
      <c r="D4090" s="175"/>
      <c r="E4090" s="172"/>
      <c r="F4090" s="172"/>
      <c r="G4090" s="172"/>
      <c r="H4090" s="172"/>
      <c r="I4090" s="172"/>
      <c r="J4090" s="173"/>
      <c r="K4090" s="132"/>
      <c r="L4090" s="133"/>
    </row>
    <row r="4091" spans="1:12" x14ac:dyDescent="0.2">
      <c r="A4091" s="158"/>
      <c r="B4091" s="55"/>
      <c r="C4091" s="175"/>
      <c r="D4091" s="175"/>
      <c r="E4091" s="172"/>
      <c r="F4091" s="172"/>
      <c r="G4091" s="172"/>
      <c r="H4091" s="172"/>
      <c r="I4091" s="172"/>
      <c r="J4091" s="173"/>
      <c r="K4091" s="132"/>
      <c r="L4091" s="133"/>
    </row>
    <row r="4092" spans="1:12" x14ac:dyDescent="0.2">
      <c r="A4092" s="158"/>
      <c r="B4092" s="55"/>
      <c r="C4092" s="175"/>
      <c r="D4092" s="175"/>
      <c r="E4092" s="175"/>
      <c r="F4092" s="175"/>
      <c r="G4092" s="175"/>
      <c r="H4092" s="175"/>
      <c r="I4092" s="175"/>
      <c r="J4092" s="176"/>
      <c r="K4092" s="132"/>
      <c r="L4092" s="133"/>
    </row>
    <row r="4093" spans="1:12" ht="13.5" thickBot="1" x14ac:dyDescent="0.25">
      <c r="A4093" s="149"/>
      <c r="B4093" s="167"/>
      <c r="C4093" s="151"/>
      <c r="D4093" s="151"/>
      <c r="E4093" s="151"/>
      <c r="F4093" s="151"/>
      <c r="G4093" s="151"/>
      <c r="H4093" s="151"/>
      <c r="I4093" s="151"/>
      <c r="J4093" s="168"/>
      <c r="K4093" s="132"/>
      <c r="L4093" s="133"/>
    </row>
    <row r="4094" spans="1:12" ht="15.75" x14ac:dyDescent="0.2">
      <c r="A4094" s="602" t="s">
        <v>4</v>
      </c>
      <c r="B4094" s="603"/>
      <c r="C4094" s="639" t="str">
        <f>'A IV.A'!$B$126</f>
        <v>RECUPERAÇÃO E TRATAMENTO DE SUPERFÍCIES EM CONCRETO ARMADO - ITEM 10.0 DO TERMO DE REFERÊNCIA</v>
      </c>
      <c r="D4094" s="640"/>
      <c r="E4094" s="640"/>
      <c r="F4094" s="640"/>
      <c r="G4094" s="640"/>
      <c r="H4094" s="640"/>
      <c r="I4094" s="640"/>
      <c r="J4094" s="641"/>
      <c r="K4094" s="132"/>
      <c r="L4094" s="133"/>
    </row>
    <row r="4095" spans="1:12" x14ac:dyDescent="0.2">
      <c r="A4095" s="609" t="str">
        <f>'A IV.A'!$A$126</f>
        <v>5.0</v>
      </c>
      <c r="B4095" s="610"/>
      <c r="C4095" s="642"/>
      <c r="D4095" s="643"/>
      <c r="E4095" s="643"/>
      <c r="F4095" s="643"/>
      <c r="G4095" s="643"/>
      <c r="H4095" s="643"/>
      <c r="I4095" s="643"/>
      <c r="J4095" s="644"/>
      <c r="K4095" s="132"/>
      <c r="L4095" s="133"/>
    </row>
    <row r="4096" spans="1:12" ht="13.5" thickBot="1" x14ac:dyDescent="0.25">
      <c r="A4096" s="611"/>
      <c r="B4096" s="612"/>
      <c r="C4096" s="645"/>
      <c r="D4096" s="646"/>
      <c r="E4096" s="646"/>
      <c r="F4096" s="646"/>
      <c r="G4096" s="646"/>
      <c r="H4096" s="646"/>
      <c r="I4096" s="646"/>
      <c r="J4096" s="647"/>
      <c r="K4096" s="132"/>
      <c r="L4096" s="133"/>
    </row>
    <row r="4097" spans="1:14" ht="13.5" thickBot="1" x14ac:dyDescent="0.25">
      <c r="A4097" s="169"/>
      <c r="B4097" s="169"/>
      <c r="C4097" s="613"/>
      <c r="D4097" s="613"/>
      <c r="E4097" s="613"/>
      <c r="F4097" s="613"/>
      <c r="G4097" s="613"/>
      <c r="H4097" s="613"/>
      <c r="I4097" s="613"/>
      <c r="J4097" s="169"/>
      <c r="K4097" s="132"/>
      <c r="L4097" s="133"/>
    </row>
    <row r="4098" spans="1:14" ht="13.5" thickBot="1" x14ac:dyDescent="0.25">
      <c r="A4098" s="669" t="s">
        <v>60</v>
      </c>
      <c r="B4098" s="670"/>
      <c r="C4098" s="678" t="s">
        <v>61</v>
      </c>
      <c r="D4098" s="678"/>
      <c r="E4098" s="678"/>
      <c r="F4098" s="678"/>
      <c r="G4098" s="678"/>
      <c r="H4098" s="678"/>
      <c r="I4098" s="678"/>
      <c r="J4098" s="135" t="s">
        <v>0</v>
      </c>
      <c r="K4098" s="132"/>
      <c r="L4098" s="133"/>
    </row>
    <row r="4099" spans="1:14" x14ac:dyDescent="0.2">
      <c r="A4099" s="136"/>
      <c r="B4099" s="137"/>
      <c r="C4099" s="619"/>
      <c r="D4099" s="620"/>
      <c r="E4099" s="621"/>
      <c r="F4099" s="621"/>
      <c r="G4099" s="621"/>
      <c r="H4099" s="621"/>
      <c r="I4099" s="622"/>
      <c r="J4099" s="138"/>
      <c r="K4099" s="132"/>
      <c r="L4099" s="133"/>
    </row>
    <row r="4100" spans="1:14" x14ac:dyDescent="0.2">
      <c r="A4100" s="623" t="str">
        <f>'A IV.A'!A131</f>
        <v>5.4</v>
      </c>
      <c r="B4100" s="624"/>
      <c r="C4100" s="626" t="str">
        <f>'A IV.A'!B131</f>
        <v xml:space="preserve">IMPERMEABILIZACAO DE SUPERFICIE COM IMPERMEABILIZANTE FLEXIVEL A BASE DE RESINA ACRÍLICA </v>
      </c>
      <c r="D4100" s="627"/>
      <c r="E4100" s="627"/>
      <c r="F4100" s="627"/>
      <c r="G4100" s="627"/>
      <c r="H4100" s="627"/>
      <c r="I4100" s="628"/>
      <c r="J4100" s="629" t="str">
        <f>'A IV.A'!C131</f>
        <v>M2</v>
      </c>
      <c r="K4100" s="630" t="str">
        <f>VLOOKUP(A4100,'A IV.A'!$A$14:$M$233,2,FALSE)</f>
        <v xml:space="preserve">IMPERMEABILIZACAO DE SUPERFICIE COM IMPERMEABILIZANTE FLEXIVEL A BASE DE RESINA ACRÍLICA </v>
      </c>
      <c r="L4100" s="631" t="str">
        <f>IF(C4100=K4100,"sim","nao")</f>
        <v>sim</v>
      </c>
      <c r="M4100" s="631" t="str">
        <f>VLOOKUP(A4100,'A IV.A'!$A$14:$M$233,3,FALSE)</f>
        <v>M2</v>
      </c>
      <c r="N4100" s="631" t="str">
        <f>IF(J4100=M4100,"sim","nao")</f>
        <v>sim</v>
      </c>
    </row>
    <row r="4101" spans="1:14" x14ac:dyDescent="0.2">
      <c r="A4101" s="625"/>
      <c r="B4101" s="624"/>
      <c r="C4101" s="626"/>
      <c r="D4101" s="627"/>
      <c r="E4101" s="627"/>
      <c r="F4101" s="627"/>
      <c r="G4101" s="627"/>
      <c r="H4101" s="627"/>
      <c r="I4101" s="628"/>
      <c r="J4101" s="629"/>
      <c r="K4101" s="630"/>
      <c r="L4101" s="631"/>
      <c r="M4101" s="631"/>
      <c r="N4101" s="631"/>
    </row>
    <row r="4102" spans="1:14" x14ac:dyDescent="0.2">
      <c r="A4102" s="139"/>
      <c r="B4102" s="140"/>
      <c r="C4102" s="141"/>
      <c r="D4102" s="142"/>
      <c r="E4102" s="142"/>
      <c r="F4102" s="142"/>
      <c r="G4102" s="142"/>
      <c r="H4102" s="142"/>
      <c r="I4102" s="143"/>
      <c r="J4102" s="144"/>
      <c r="K4102" s="132"/>
      <c r="L4102" s="133"/>
    </row>
    <row r="4103" spans="1:14" x14ac:dyDescent="0.2">
      <c r="A4103" s="199"/>
      <c r="B4103" s="188"/>
      <c r="C4103" s="189"/>
      <c r="D4103" s="165"/>
      <c r="E4103" s="165"/>
      <c r="F4103" s="165"/>
      <c r="G4103" s="165"/>
      <c r="H4103" s="165"/>
      <c r="I4103" s="190"/>
      <c r="J4103" s="191"/>
      <c r="K4103" s="192"/>
      <c r="L4103" s="55"/>
      <c r="M4103" s="55"/>
      <c r="N4103" s="55"/>
    </row>
    <row r="4104" spans="1:14" x14ac:dyDescent="0.2">
      <c r="A4104" s="158"/>
      <c r="B4104" s="188"/>
      <c r="C4104" s="189"/>
      <c r="D4104" s="165"/>
      <c r="E4104" s="165"/>
      <c r="F4104" s="165"/>
      <c r="G4104" s="165"/>
      <c r="H4104" s="165"/>
      <c r="I4104" s="190"/>
      <c r="J4104" s="191"/>
      <c r="K4104" s="192"/>
      <c r="L4104" s="55"/>
      <c r="M4104" s="55"/>
      <c r="N4104" s="55"/>
    </row>
    <row r="4105" spans="1:14" x14ac:dyDescent="0.2">
      <c r="A4105" s="145"/>
      <c r="B4105" s="146"/>
      <c r="C4105" s="147"/>
      <c r="D4105" s="147"/>
      <c r="E4105" s="147"/>
      <c r="F4105" s="147"/>
      <c r="G4105" s="147"/>
      <c r="H4105" s="147"/>
      <c r="I4105" s="147"/>
      <c r="J4105" s="148"/>
      <c r="K4105" s="132"/>
      <c r="L4105" s="133"/>
    </row>
    <row r="4106" spans="1:14" x14ac:dyDescent="0.2">
      <c r="A4106" s="199"/>
      <c r="B4106" s="188"/>
      <c r="C4106" s="189"/>
      <c r="D4106" s="165"/>
      <c r="E4106" s="165"/>
      <c r="F4106" s="165"/>
      <c r="G4106" s="165"/>
      <c r="H4106" s="165"/>
      <c r="I4106" s="190"/>
      <c r="J4106" s="191"/>
      <c r="K4106" s="192"/>
      <c r="L4106" s="55"/>
      <c r="M4106" s="55"/>
      <c r="N4106" s="55"/>
    </row>
    <row r="4107" spans="1:14" x14ac:dyDescent="0.2">
      <c r="A4107" s="158"/>
      <c r="B4107" s="188"/>
      <c r="C4107" s="189"/>
      <c r="D4107" s="165"/>
      <c r="E4107" s="165"/>
      <c r="F4107" s="165"/>
      <c r="G4107" s="165"/>
      <c r="H4107" s="165"/>
      <c r="I4107" s="190"/>
      <c r="J4107" s="191"/>
      <c r="K4107" s="192"/>
      <c r="L4107" s="55"/>
      <c r="M4107" s="55"/>
      <c r="N4107" s="55"/>
    </row>
    <row r="4108" spans="1:14" x14ac:dyDescent="0.2">
      <c r="A4108" s="145"/>
      <c r="B4108" s="146"/>
      <c r="C4108" s="147"/>
      <c r="D4108" s="147"/>
      <c r="E4108" s="147"/>
      <c r="F4108" s="147"/>
      <c r="G4108" s="147"/>
      <c r="H4108" s="147"/>
      <c r="I4108" s="147"/>
      <c r="J4108" s="148"/>
      <c r="K4108" s="132"/>
      <c r="L4108" s="133"/>
    </row>
    <row r="4109" spans="1:14" x14ac:dyDescent="0.2">
      <c r="A4109" s="199"/>
      <c r="B4109" s="188"/>
      <c r="C4109" s="189"/>
      <c r="D4109" s="165"/>
      <c r="E4109" s="165"/>
      <c r="F4109" s="165"/>
      <c r="G4109" s="165"/>
      <c r="H4109" s="165"/>
      <c r="I4109" s="190"/>
      <c r="J4109" s="191"/>
      <c r="K4109" s="192"/>
      <c r="L4109" s="55"/>
      <c r="M4109" s="55"/>
      <c r="N4109" s="55"/>
    </row>
    <row r="4110" spans="1:14" x14ac:dyDescent="0.2">
      <c r="A4110" s="158"/>
      <c r="B4110" s="188"/>
      <c r="C4110" s="189"/>
      <c r="D4110" s="165"/>
      <c r="E4110" s="165"/>
      <c r="F4110" s="165"/>
      <c r="G4110" s="165"/>
      <c r="H4110" s="165"/>
      <c r="I4110" s="190"/>
      <c r="J4110" s="191"/>
      <c r="K4110" s="192"/>
      <c r="L4110" s="55"/>
      <c r="M4110" s="55"/>
      <c r="N4110" s="55"/>
    </row>
    <row r="4111" spans="1:14" x14ac:dyDescent="0.2">
      <c r="A4111" s="145"/>
      <c r="B4111" s="146"/>
      <c r="C4111" s="147"/>
      <c r="D4111" s="147"/>
      <c r="E4111" s="147"/>
      <c r="F4111" s="147"/>
      <c r="G4111" s="147"/>
      <c r="H4111" s="147"/>
      <c r="I4111" s="147"/>
      <c r="J4111" s="148"/>
      <c r="K4111" s="132"/>
      <c r="L4111" s="133"/>
    </row>
    <row r="4112" spans="1:14" x14ac:dyDescent="0.2">
      <c r="A4112" s="199"/>
      <c r="B4112" s="188"/>
      <c r="C4112" s="189"/>
      <c r="D4112" s="165"/>
      <c r="E4112" s="165"/>
      <c r="F4112" s="165"/>
      <c r="G4112" s="165"/>
      <c r="H4112" s="165"/>
      <c r="I4112" s="190"/>
      <c r="J4112" s="191"/>
      <c r="K4112" s="192"/>
      <c r="L4112" s="55"/>
      <c r="M4112" s="55"/>
      <c r="N4112" s="55"/>
    </row>
    <row r="4113" spans="1:14" x14ac:dyDescent="0.2">
      <c r="A4113" s="158"/>
      <c r="B4113" s="188"/>
      <c r="C4113" s="189"/>
      <c r="D4113" s="165"/>
      <c r="E4113" s="165"/>
      <c r="F4113" s="165"/>
      <c r="G4113" s="165"/>
      <c r="H4113" s="165"/>
      <c r="I4113" s="190"/>
      <c r="J4113" s="191"/>
      <c r="K4113" s="192"/>
      <c r="L4113" s="55"/>
      <c r="M4113" s="55"/>
      <c r="N4113" s="55"/>
    </row>
    <row r="4114" spans="1:14" x14ac:dyDescent="0.2">
      <c r="A4114" s="145"/>
      <c r="B4114" s="146"/>
      <c r="C4114" s="147"/>
      <c r="D4114" s="147"/>
      <c r="E4114" s="147"/>
      <c r="F4114" s="147"/>
      <c r="G4114" s="147"/>
      <c r="H4114" s="147"/>
      <c r="I4114" s="147"/>
      <c r="J4114" s="148"/>
      <c r="K4114" s="132"/>
      <c r="L4114" s="133"/>
    </row>
    <row r="4115" spans="1:14" x14ac:dyDescent="0.2">
      <c r="A4115" s="199"/>
      <c r="B4115" s="188"/>
      <c r="C4115" s="189"/>
      <c r="D4115" s="165"/>
      <c r="E4115" s="165"/>
      <c r="F4115" s="165"/>
      <c r="G4115" s="165"/>
      <c r="H4115" s="165"/>
      <c r="I4115" s="190"/>
      <c r="J4115" s="191"/>
      <c r="K4115" s="192"/>
      <c r="L4115" s="55"/>
      <c r="M4115" s="55"/>
      <c r="N4115" s="55"/>
    </row>
    <row r="4116" spans="1:14" x14ac:dyDescent="0.2">
      <c r="A4116" s="158"/>
      <c r="B4116" s="188"/>
      <c r="C4116" s="189"/>
      <c r="D4116" s="165"/>
      <c r="E4116" s="165"/>
      <c r="F4116" s="165"/>
      <c r="G4116" s="165"/>
      <c r="H4116" s="165"/>
      <c r="I4116" s="190"/>
      <c r="J4116" s="191"/>
      <c r="K4116" s="192"/>
      <c r="L4116" s="55"/>
      <c r="M4116" s="55"/>
      <c r="N4116" s="55"/>
    </row>
    <row r="4117" spans="1:14" x14ac:dyDescent="0.2">
      <c r="A4117" s="145"/>
      <c r="B4117" s="146"/>
      <c r="C4117" s="147"/>
      <c r="D4117" s="147"/>
      <c r="E4117" s="147"/>
      <c r="F4117" s="147"/>
      <c r="G4117" s="147"/>
      <c r="H4117" s="147"/>
      <c r="I4117" s="147"/>
      <c r="J4117" s="148"/>
      <c r="K4117" s="132"/>
      <c r="L4117" s="133"/>
    </row>
    <row r="4118" spans="1:14" x14ac:dyDescent="0.2">
      <c r="A4118" s="199"/>
      <c r="B4118" s="188"/>
      <c r="C4118" s="189"/>
      <c r="D4118" s="165"/>
      <c r="E4118" s="165"/>
      <c r="F4118" s="165"/>
      <c r="G4118" s="165"/>
      <c r="H4118" s="165"/>
      <c r="I4118" s="190"/>
      <c r="J4118" s="191"/>
      <c r="K4118" s="192"/>
      <c r="L4118" s="55"/>
      <c r="M4118" s="55"/>
      <c r="N4118" s="55"/>
    </row>
    <row r="4119" spans="1:14" x14ac:dyDescent="0.2">
      <c r="A4119" s="158"/>
      <c r="B4119" s="188"/>
      <c r="C4119" s="189"/>
      <c r="D4119" s="165"/>
      <c r="E4119" s="165"/>
      <c r="F4119" s="165"/>
      <c r="G4119" s="165"/>
      <c r="H4119" s="165"/>
      <c r="I4119" s="190"/>
      <c r="J4119" s="191"/>
      <c r="K4119" s="192"/>
      <c r="L4119" s="55"/>
      <c r="M4119" s="55"/>
      <c r="N4119" s="55"/>
    </row>
    <row r="4120" spans="1:14" x14ac:dyDescent="0.2">
      <c r="A4120" s="145"/>
      <c r="B4120" s="146"/>
      <c r="C4120" s="147"/>
      <c r="D4120" s="147"/>
      <c r="E4120" s="147"/>
      <c r="F4120" s="147"/>
      <c r="G4120" s="147"/>
      <c r="H4120" s="147"/>
      <c r="I4120" s="147"/>
      <c r="J4120" s="148"/>
      <c r="K4120" s="132"/>
      <c r="L4120" s="133"/>
    </row>
    <row r="4121" spans="1:14" ht="13.5" thickBot="1" x14ac:dyDescent="0.25">
      <c r="A4121" s="149"/>
      <c r="B4121" s="150"/>
      <c r="C4121" s="151"/>
      <c r="D4121" s="151"/>
      <c r="E4121" s="151"/>
      <c r="F4121" s="151"/>
      <c r="G4121" s="151"/>
      <c r="H4121" s="151"/>
      <c r="I4121" s="151"/>
      <c r="J4121" s="152"/>
      <c r="K4121" s="132"/>
      <c r="L4121" s="133"/>
    </row>
    <row r="4122" spans="1:14" ht="13.5" thickBot="1" x14ac:dyDescent="0.25">
      <c r="A4122" s="153"/>
      <c r="B4122" s="153"/>
      <c r="C4122" s="154"/>
      <c r="D4122" s="154"/>
      <c r="E4122" s="154"/>
      <c r="F4122" s="154"/>
      <c r="G4122" s="154"/>
      <c r="H4122" s="154"/>
      <c r="I4122" s="154"/>
      <c r="J4122" s="153"/>
      <c r="K4122" s="132"/>
      <c r="L4122" s="133"/>
    </row>
    <row r="4123" spans="1:14" ht="13.5" thickBot="1" x14ac:dyDescent="0.25">
      <c r="A4123" s="614" t="s">
        <v>62</v>
      </c>
      <c r="B4123" s="648"/>
      <c r="C4123" s="648"/>
      <c r="D4123" s="648"/>
      <c r="E4123" s="648"/>
      <c r="F4123" s="648"/>
      <c r="G4123" s="648"/>
      <c r="H4123" s="648"/>
      <c r="I4123" s="648"/>
      <c r="J4123" s="649"/>
      <c r="K4123" s="132"/>
      <c r="L4123" s="133"/>
    </row>
    <row r="4124" spans="1:14" x14ac:dyDescent="0.2">
      <c r="A4124" s="136"/>
      <c r="B4124" s="155"/>
      <c r="C4124" s="156"/>
      <c r="D4124" s="156"/>
      <c r="E4124" s="156"/>
      <c r="F4124" s="156"/>
      <c r="G4124" s="156"/>
      <c r="H4124" s="156"/>
      <c r="I4124" s="156"/>
      <c r="J4124" s="157"/>
      <c r="K4124" s="132"/>
      <c r="L4124" s="133"/>
    </row>
    <row r="4125" spans="1:14" ht="12.75" customHeight="1" x14ac:dyDescent="0.2">
      <c r="A4125" s="158" t="s">
        <v>63</v>
      </c>
      <c r="B4125" s="55"/>
      <c r="C4125" s="652" t="s">
        <v>509</v>
      </c>
      <c r="D4125" s="652"/>
      <c r="E4125" s="652"/>
      <c r="F4125" s="652"/>
      <c r="G4125" s="652"/>
      <c r="H4125" s="652"/>
      <c r="I4125" s="652"/>
      <c r="J4125" s="653"/>
      <c r="K4125" s="132"/>
      <c r="L4125" s="133"/>
    </row>
    <row r="4126" spans="1:14" x14ac:dyDescent="0.2">
      <c r="A4126" s="158"/>
      <c r="B4126" s="55"/>
      <c r="C4126" s="652"/>
      <c r="D4126" s="652"/>
      <c r="E4126" s="652"/>
      <c r="F4126" s="652"/>
      <c r="G4126" s="652"/>
      <c r="H4126" s="652"/>
      <c r="I4126" s="652"/>
      <c r="J4126" s="653"/>
      <c r="K4126" s="132"/>
      <c r="L4126" s="133"/>
    </row>
    <row r="4127" spans="1:14" ht="12.75" customHeight="1" x14ac:dyDescent="0.2">
      <c r="A4127" s="158"/>
      <c r="B4127" s="55"/>
      <c r="C4127" s="56"/>
      <c r="D4127" s="652" t="s">
        <v>510</v>
      </c>
      <c r="E4127" s="652"/>
      <c r="F4127" s="652"/>
      <c r="G4127" s="652"/>
      <c r="H4127" s="652"/>
      <c r="I4127" s="652"/>
      <c r="J4127" s="653"/>
      <c r="K4127" s="132"/>
      <c r="L4127" s="133"/>
    </row>
    <row r="4128" spans="1:14" x14ac:dyDescent="0.2">
      <c r="A4128" s="158"/>
      <c r="B4128" s="55"/>
      <c r="C4128" s="56"/>
      <c r="D4128" s="652"/>
      <c r="E4128" s="652"/>
      <c r="F4128" s="652"/>
      <c r="G4128" s="652"/>
      <c r="H4128" s="652"/>
      <c r="I4128" s="652"/>
      <c r="J4128" s="653"/>
      <c r="K4128" s="132"/>
      <c r="L4128" s="133"/>
    </row>
    <row r="4129" spans="1:12" x14ac:dyDescent="0.2">
      <c r="A4129" s="158"/>
      <c r="B4129" s="55"/>
      <c r="C4129" s="56"/>
      <c r="D4129" s="652"/>
      <c r="E4129" s="652"/>
      <c r="F4129" s="652"/>
      <c r="G4129" s="652"/>
      <c r="H4129" s="652"/>
      <c r="I4129" s="652"/>
      <c r="J4129" s="653"/>
      <c r="K4129" s="132"/>
      <c r="L4129" s="133"/>
    </row>
    <row r="4130" spans="1:12" ht="12.75" customHeight="1" x14ac:dyDescent="0.2">
      <c r="A4130" s="158"/>
      <c r="B4130" s="55"/>
      <c r="C4130" s="56"/>
      <c r="D4130" s="596" t="s">
        <v>513</v>
      </c>
      <c r="E4130" s="596"/>
      <c r="F4130" s="596"/>
      <c r="G4130" s="596"/>
      <c r="H4130" s="596"/>
      <c r="I4130" s="596"/>
      <c r="J4130" s="597"/>
      <c r="K4130" s="132"/>
      <c r="L4130" s="133"/>
    </row>
    <row r="4131" spans="1:12" x14ac:dyDescent="0.2">
      <c r="A4131" s="158"/>
      <c r="B4131" s="55"/>
      <c r="C4131" s="175"/>
      <c r="D4131" s="596"/>
      <c r="E4131" s="596"/>
      <c r="F4131" s="596"/>
      <c r="G4131" s="596"/>
      <c r="H4131" s="596"/>
      <c r="I4131" s="596"/>
      <c r="J4131" s="597"/>
      <c r="K4131" s="132"/>
      <c r="L4131" s="133"/>
    </row>
    <row r="4132" spans="1:12" x14ac:dyDescent="0.2">
      <c r="A4132" s="158"/>
      <c r="B4132" s="55"/>
      <c r="C4132" s="662" t="s">
        <v>511</v>
      </c>
      <c r="D4132" s="662"/>
      <c r="E4132" s="662"/>
      <c r="F4132" s="662"/>
      <c r="G4132" s="662"/>
      <c r="H4132" s="662"/>
      <c r="I4132" s="662"/>
      <c r="J4132" s="663"/>
      <c r="K4132" s="132"/>
      <c r="L4132" s="133"/>
    </row>
    <row r="4133" spans="1:12" x14ac:dyDescent="0.2">
      <c r="A4133" s="158"/>
      <c r="B4133" s="55"/>
      <c r="C4133" s="71"/>
      <c r="D4133" s="71"/>
      <c r="E4133" s="71"/>
      <c r="F4133" s="71"/>
      <c r="G4133" s="71"/>
      <c r="H4133" s="71"/>
      <c r="I4133" s="71"/>
      <c r="J4133" s="174"/>
      <c r="K4133" s="132"/>
      <c r="L4133" s="133"/>
    </row>
    <row r="4134" spans="1:12" x14ac:dyDescent="0.2">
      <c r="A4134" s="158" t="s">
        <v>64</v>
      </c>
      <c r="B4134" s="55"/>
      <c r="C4134" s="634" t="s">
        <v>512</v>
      </c>
      <c r="D4134" s="634"/>
      <c r="E4134" s="634"/>
      <c r="F4134" s="634"/>
      <c r="G4134" s="634"/>
      <c r="H4134" s="634"/>
      <c r="I4134" s="634"/>
      <c r="J4134" s="635"/>
      <c r="K4134" s="132"/>
      <c r="L4134" s="133"/>
    </row>
    <row r="4135" spans="1:12" x14ac:dyDescent="0.2">
      <c r="A4135" s="158"/>
      <c r="B4135" s="55"/>
      <c r="C4135" s="71"/>
      <c r="D4135" s="71"/>
      <c r="E4135" s="71"/>
      <c r="F4135" s="71"/>
      <c r="G4135" s="71"/>
      <c r="H4135" s="71"/>
      <c r="I4135" s="71"/>
      <c r="J4135" s="174"/>
      <c r="K4135" s="132"/>
      <c r="L4135" s="133"/>
    </row>
    <row r="4136" spans="1:12" x14ac:dyDescent="0.2">
      <c r="A4136" s="158"/>
      <c r="B4136" s="55"/>
      <c r="C4136" s="71"/>
      <c r="D4136" s="71"/>
      <c r="E4136" s="71"/>
      <c r="F4136" s="71"/>
      <c r="G4136" s="71"/>
      <c r="H4136" s="71"/>
      <c r="I4136" s="71"/>
      <c r="J4136" s="174"/>
      <c r="K4136" s="132"/>
      <c r="L4136" s="133"/>
    </row>
    <row r="4137" spans="1:12" ht="12.75" customHeight="1" x14ac:dyDescent="0.2">
      <c r="A4137" s="158"/>
      <c r="B4137" s="55"/>
      <c r="C4137" s="55"/>
      <c r="D4137" s="55"/>
      <c r="E4137" s="55"/>
      <c r="F4137" s="55"/>
      <c r="G4137" s="55"/>
      <c r="H4137" s="55"/>
      <c r="I4137" s="55"/>
      <c r="J4137" s="196"/>
      <c r="K4137" s="132"/>
      <c r="L4137" s="133"/>
    </row>
    <row r="4138" spans="1:12" x14ac:dyDescent="0.2">
      <c r="A4138" s="158"/>
      <c r="B4138" s="55"/>
      <c r="C4138" s="71"/>
      <c r="D4138" s="71"/>
      <c r="E4138" s="71"/>
      <c r="F4138" s="71"/>
      <c r="G4138" s="71"/>
      <c r="H4138" s="71"/>
      <c r="I4138" s="71"/>
      <c r="J4138" s="174"/>
      <c r="K4138" s="132"/>
      <c r="L4138" s="133"/>
    </row>
    <row r="4139" spans="1:12" x14ac:dyDescent="0.2">
      <c r="A4139" s="158"/>
      <c r="B4139" s="55"/>
      <c r="C4139" s="71"/>
      <c r="D4139" s="71"/>
      <c r="E4139" s="71"/>
      <c r="F4139" s="71"/>
      <c r="G4139" s="71"/>
      <c r="H4139" s="71"/>
      <c r="I4139" s="71"/>
      <c r="J4139" s="174"/>
      <c r="K4139" s="132"/>
      <c r="L4139" s="133"/>
    </row>
    <row r="4140" spans="1:12" x14ac:dyDescent="0.2">
      <c r="A4140" s="158"/>
      <c r="B4140" s="55"/>
      <c r="C4140" s="71"/>
      <c r="D4140" s="71"/>
      <c r="E4140" s="71"/>
      <c r="F4140" s="71"/>
      <c r="G4140" s="71"/>
      <c r="H4140" s="71"/>
      <c r="I4140" s="71"/>
      <c r="J4140" s="174"/>
      <c r="K4140" s="132"/>
      <c r="L4140" s="133"/>
    </row>
    <row r="4141" spans="1:12" x14ac:dyDescent="0.2">
      <c r="A4141" s="158"/>
      <c r="B4141" s="55"/>
      <c r="C4141" s="71"/>
      <c r="D4141" s="71"/>
      <c r="E4141" s="71"/>
      <c r="F4141" s="71"/>
      <c r="G4141" s="71"/>
      <c r="H4141" s="71"/>
      <c r="I4141" s="71"/>
      <c r="J4141" s="174"/>
      <c r="K4141" s="132"/>
      <c r="L4141" s="133"/>
    </row>
    <row r="4142" spans="1:12" x14ac:dyDescent="0.2">
      <c r="A4142" s="158"/>
      <c r="B4142" s="55"/>
      <c r="C4142" s="71"/>
      <c r="D4142" s="71"/>
      <c r="E4142" s="71"/>
      <c r="F4142" s="71"/>
      <c r="G4142" s="71"/>
      <c r="H4142" s="71"/>
      <c r="I4142" s="71"/>
      <c r="J4142" s="174"/>
      <c r="K4142" s="132"/>
      <c r="L4142" s="133"/>
    </row>
    <row r="4143" spans="1:12" x14ac:dyDescent="0.2">
      <c r="A4143" s="158"/>
      <c r="B4143" s="55"/>
      <c r="C4143" s="175"/>
      <c r="D4143" s="175"/>
      <c r="E4143" s="172"/>
      <c r="F4143" s="172"/>
      <c r="G4143" s="172"/>
      <c r="H4143" s="172"/>
      <c r="I4143" s="172"/>
      <c r="J4143" s="173"/>
      <c r="K4143" s="132"/>
      <c r="L4143" s="133"/>
    </row>
    <row r="4144" spans="1:12" x14ac:dyDescent="0.2">
      <c r="A4144" s="158"/>
      <c r="B4144" s="55"/>
      <c r="C4144" s="175"/>
      <c r="D4144" s="175"/>
      <c r="E4144" s="172"/>
      <c r="F4144" s="172"/>
      <c r="G4144" s="172"/>
      <c r="H4144" s="172"/>
      <c r="I4144" s="172"/>
      <c r="J4144" s="173"/>
      <c r="K4144" s="132"/>
      <c r="L4144" s="133"/>
    </row>
    <row r="4145" spans="1:14" x14ac:dyDescent="0.2">
      <c r="A4145" s="158"/>
      <c r="B4145" s="55"/>
      <c r="C4145" s="175"/>
      <c r="D4145" s="175"/>
      <c r="E4145" s="172"/>
      <c r="F4145" s="172"/>
      <c r="G4145" s="172"/>
      <c r="H4145" s="172"/>
      <c r="I4145" s="172"/>
      <c r="J4145" s="173"/>
      <c r="K4145" s="132"/>
      <c r="L4145" s="133"/>
    </row>
    <row r="4146" spans="1:14" x14ac:dyDescent="0.2">
      <c r="A4146" s="158"/>
      <c r="B4146" s="55"/>
      <c r="C4146" s="175"/>
      <c r="D4146" s="175"/>
      <c r="E4146" s="175"/>
      <c r="F4146" s="175"/>
      <c r="G4146" s="175"/>
      <c r="H4146" s="175"/>
      <c r="I4146" s="175"/>
      <c r="J4146" s="176"/>
      <c r="K4146" s="132"/>
      <c r="L4146" s="133"/>
    </row>
    <row r="4147" spans="1:14" ht="13.5" thickBot="1" x14ac:dyDescent="0.25">
      <c r="A4147" s="149"/>
      <c r="B4147" s="167"/>
      <c r="C4147" s="151"/>
      <c r="D4147" s="151"/>
      <c r="E4147" s="151"/>
      <c r="F4147" s="151"/>
      <c r="G4147" s="151"/>
      <c r="H4147" s="151"/>
      <c r="I4147" s="151"/>
      <c r="J4147" s="168"/>
      <c r="K4147" s="132"/>
      <c r="L4147" s="133"/>
    </row>
    <row r="4148" spans="1:14" ht="15.75" x14ac:dyDescent="0.2">
      <c r="A4148" s="602" t="s">
        <v>4</v>
      </c>
      <c r="B4148" s="603"/>
      <c r="C4148" s="639" t="str">
        <f>'A IV.A'!$B$126</f>
        <v>RECUPERAÇÃO E TRATAMENTO DE SUPERFÍCIES EM CONCRETO ARMADO - ITEM 10.0 DO TERMO DE REFERÊNCIA</v>
      </c>
      <c r="D4148" s="640"/>
      <c r="E4148" s="640"/>
      <c r="F4148" s="640"/>
      <c r="G4148" s="640"/>
      <c r="H4148" s="640"/>
      <c r="I4148" s="640"/>
      <c r="J4148" s="641"/>
      <c r="K4148" s="132"/>
      <c r="L4148" s="133"/>
    </row>
    <row r="4149" spans="1:14" x14ac:dyDescent="0.2">
      <c r="A4149" s="609" t="str">
        <f>'A IV.A'!$A$126</f>
        <v>5.0</v>
      </c>
      <c r="B4149" s="610"/>
      <c r="C4149" s="642"/>
      <c r="D4149" s="643"/>
      <c r="E4149" s="643"/>
      <c r="F4149" s="643"/>
      <c r="G4149" s="643"/>
      <c r="H4149" s="643"/>
      <c r="I4149" s="643"/>
      <c r="J4149" s="644"/>
      <c r="K4149" s="132"/>
      <c r="L4149" s="133"/>
    </row>
    <row r="4150" spans="1:14" ht="13.5" thickBot="1" x14ac:dyDescent="0.25">
      <c r="A4150" s="611"/>
      <c r="B4150" s="612"/>
      <c r="C4150" s="645"/>
      <c r="D4150" s="646"/>
      <c r="E4150" s="646"/>
      <c r="F4150" s="646"/>
      <c r="G4150" s="646"/>
      <c r="H4150" s="646"/>
      <c r="I4150" s="646"/>
      <c r="J4150" s="647"/>
      <c r="K4150" s="132"/>
      <c r="L4150" s="133"/>
    </row>
    <row r="4151" spans="1:14" ht="13.5" thickBot="1" x14ac:dyDescent="0.25">
      <c r="A4151" s="169"/>
      <c r="B4151" s="169"/>
      <c r="C4151" s="613"/>
      <c r="D4151" s="613"/>
      <c r="E4151" s="613"/>
      <c r="F4151" s="613"/>
      <c r="G4151" s="613"/>
      <c r="H4151" s="613"/>
      <c r="I4151" s="613"/>
      <c r="J4151" s="169"/>
      <c r="K4151" s="132"/>
      <c r="L4151" s="133"/>
    </row>
    <row r="4152" spans="1:14" ht="13.5" thickBot="1" x14ac:dyDescent="0.25">
      <c r="A4152" s="632" t="s">
        <v>60</v>
      </c>
      <c r="B4152" s="633"/>
      <c r="C4152" s="656" t="s">
        <v>61</v>
      </c>
      <c r="D4152" s="656"/>
      <c r="E4152" s="656"/>
      <c r="F4152" s="656"/>
      <c r="G4152" s="656"/>
      <c r="H4152" s="656"/>
      <c r="I4152" s="656"/>
      <c r="J4152" s="260" t="s">
        <v>0</v>
      </c>
      <c r="K4152" s="132"/>
      <c r="L4152" s="133"/>
    </row>
    <row r="4153" spans="1:14" x14ac:dyDescent="0.2">
      <c r="A4153" s="136"/>
      <c r="B4153" s="137"/>
      <c r="C4153" s="619"/>
      <c r="D4153" s="620"/>
      <c r="E4153" s="621"/>
      <c r="F4153" s="621"/>
      <c r="G4153" s="621"/>
      <c r="H4153" s="621"/>
      <c r="I4153" s="622"/>
      <c r="J4153" s="138"/>
      <c r="K4153" s="132"/>
      <c r="L4153" s="133"/>
    </row>
    <row r="4154" spans="1:14" x14ac:dyDescent="0.2">
      <c r="A4154" s="623" t="str">
        <f>'A IV.A'!$A$132</f>
        <v>5.5</v>
      </c>
      <c r="B4154" s="624"/>
      <c r="C4154" s="626" t="str">
        <f>'A IV.A'!$B$132</f>
        <v xml:space="preserve">TRATAMENTO FLEXÍVEL C/INJEÇÃO DE SELANTE À BASE DE POLIURETANO HIDROATIVADO E GEL </v>
      </c>
      <c r="D4154" s="627"/>
      <c r="E4154" s="627"/>
      <c r="F4154" s="627"/>
      <c r="G4154" s="627"/>
      <c r="H4154" s="627"/>
      <c r="I4154" s="628"/>
      <c r="J4154" s="629" t="str">
        <f>'A IV.A'!$C$132</f>
        <v>M</v>
      </c>
      <c r="K4154" s="630" t="str">
        <f>VLOOKUP(A4154,'A IV.A'!$A$14:$M$233,2,FALSE)</f>
        <v xml:space="preserve">TRATAMENTO FLEXÍVEL C/INJEÇÃO DE SELANTE À BASE DE POLIURETANO HIDROATIVADO E GEL </v>
      </c>
      <c r="L4154" s="631" t="str">
        <f>IF(C4154=K4154,"sim","nao")</f>
        <v>sim</v>
      </c>
      <c r="M4154" s="631" t="str">
        <f>VLOOKUP(A4154,'A IV.A'!$A$14:$M$233,3,FALSE)</f>
        <v>M</v>
      </c>
      <c r="N4154" s="631" t="str">
        <f>IF(J4154=M4154,"sim","nao")</f>
        <v>sim</v>
      </c>
    </row>
    <row r="4155" spans="1:14" x14ac:dyDescent="0.2">
      <c r="A4155" s="625"/>
      <c r="B4155" s="624"/>
      <c r="C4155" s="626"/>
      <c r="D4155" s="627"/>
      <c r="E4155" s="627"/>
      <c r="F4155" s="627"/>
      <c r="G4155" s="627"/>
      <c r="H4155" s="627"/>
      <c r="I4155" s="628"/>
      <c r="J4155" s="629"/>
      <c r="K4155" s="630"/>
      <c r="L4155" s="631"/>
      <c r="M4155" s="631"/>
      <c r="N4155" s="631"/>
    </row>
    <row r="4156" spans="1:14" x14ac:dyDescent="0.2">
      <c r="A4156" s="139"/>
      <c r="B4156" s="140"/>
      <c r="C4156" s="141"/>
      <c r="D4156" s="142"/>
      <c r="E4156" s="142"/>
      <c r="F4156" s="142"/>
      <c r="G4156" s="142"/>
      <c r="H4156" s="142"/>
      <c r="I4156" s="143"/>
      <c r="J4156" s="144"/>
      <c r="K4156" s="132"/>
      <c r="L4156" s="133"/>
    </row>
    <row r="4157" spans="1:14" x14ac:dyDescent="0.2">
      <c r="A4157" s="199"/>
      <c r="B4157" s="188"/>
      <c r="C4157" s="189"/>
      <c r="D4157" s="165"/>
      <c r="E4157" s="165"/>
      <c r="F4157" s="165"/>
      <c r="G4157" s="165"/>
      <c r="H4157" s="165"/>
      <c r="I4157" s="190"/>
      <c r="J4157" s="191"/>
      <c r="K4157" s="192"/>
      <c r="L4157" s="55"/>
      <c r="M4157" s="55"/>
      <c r="N4157" s="55"/>
    </row>
    <row r="4158" spans="1:14" x14ac:dyDescent="0.2">
      <c r="A4158" s="158"/>
      <c r="B4158" s="188"/>
      <c r="C4158" s="189"/>
      <c r="D4158" s="165"/>
      <c r="E4158" s="165"/>
      <c r="F4158" s="165"/>
      <c r="G4158" s="165"/>
      <c r="H4158" s="165"/>
      <c r="I4158" s="190"/>
      <c r="J4158" s="191"/>
      <c r="K4158" s="192"/>
      <c r="L4158" s="55"/>
      <c r="M4158" s="55"/>
      <c r="N4158" s="55"/>
    </row>
    <row r="4159" spans="1:14" x14ac:dyDescent="0.2">
      <c r="A4159" s="145"/>
      <c r="B4159" s="146"/>
      <c r="C4159" s="147"/>
      <c r="D4159" s="147"/>
      <c r="E4159" s="147"/>
      <c r="F4159" s="147"/>
      <c r="G4159" s="147"/>
      <c r="H4159" s="147"/>
      <c r="I4159" s="147"/>
      <c r="J4159" s="148"/>
      <c r="K4159" s="132"/>
      <c r="L4159" s="133"/>
    </row>
    <row r="4160" spans="1:14" x14ac:dyDescent="0.2">
      <c r="A4160" s="199"/>
      <c r="B4160" s="188"/>
      <c r="C4160" s="189"/>
      <c r="D4160" s="165"/>
      <c r="E4160" s="165"/>
      <c r="F4160" s="165"/>
      <c r="G4160" s="165"/>
      <c r="H4160" s="165"/>
      <c r="I4160" s="190"/>
      <c r="J4160" s="191"/>
      <c r="K4160" s="192"/>
      <c r="L4160" s="55"/>
      <c r="M4160" s="55"/>
      <c r="N4160" s="55"/>
    </row>
    <row r="4161" spans="1:14" x14ac:dyDescent="0.2">
      <c r="A4161" s="158"/>
      <c r="B4161" s="188"/>
      <c r="C4161" s="189"/>
      <c r="D4161" s="165"/>
      <c r="E4161" s="165"/>
      <c r="F4161" s="165"/>
      <c r="G4161" s="165"/>
      <c r="H4161" s="165"/>
      <c r="I4161" s="190"/>
      <c r="J4161" s="191"/>
      <c r="K4161" s="192"/>
      <c r="L4161" s="55"/>
      <c r="M4161" s="55"/>
      <c r="N4161" s="55"/>
    </row>
    <row r="4162" spans="1:14" x14ac:dyDescent="0.2">
      <c r="A4162" s="145"/>
      <c r="B4162" s="146"/>
      <c r="C4162" s="147"/>
      <c r="D4162" s="147"/>
      <c r="E4162" s="147"/>
      <c r="F4162" s="147"/>
      <c r="G4162" s="147"/>
      <c r="H4162" s="147"/>
      <c r="I4162" s="147"/>
      <c r="J4162" s="148"/>
      <c r="K4162" s="132"/>
      <c r="L4162" s="133"/>
    </row>
    <row r="4163" spans="1:14" x14ac:dyDescent="0.2">
      <c r="A4163" s="199"/>
      <c r="B4163" s="188"/>
      <c r="C4163" s="189"/>
      <c r="D4163" s="165"/>
      <c r="E4163" s="165"/>
      <c r="F4163" s="165"/>
      <c r="G4163" s="165"/>
      <c r="H4163" s="165"/>
      <c r="I4163" s="190"/>
      <c r="J4163" s="191"/>
      <c r="K4163" s="192"/>
      <c r="L4163" s="55"/>
      <c r="M4163" s="55"/>
      <c r="N4163" s="55"/>
    </row>
    <row r="4164" spans="1:14" x14ac:dyDescent="0.2">
      <c r="A4164" s="158"/>
      <c r="B4164" s="188"/>
      <c r="C4164" s="189"/>
      <c r="D4164" s="165"/>
      <c r="E4164" s="165"/>
      <c r="F4164" s="165"/>
      <c r="G4164" s="165"/>
      <c r="H4164" s="165"/>
      <c r="I4164" s="190"/>
      <c r="J4164" s="191"/>
      <c r="K4164" s="192"/>
      <c r="L4164" s="55"/>
      <c r="M4164" s="55"/>
      <c r="N4164" s="55"/>
    </row>
    <row r="4165" spans="1:14" x14ac:dyDescent="0.2">
      <c r="A4165" s="145"/>
      <c r="B4165" s="146"/>
      <c r="C4165" s="147"/>
      <c r="D4165" s="147"/>
      <c r="E4165" s="147"/>
      <c r="F4165" s="147"/>
      <c r="G4165" s="147"/>
      <c r="H4165" s="147"/>
      <c r="I4165" s="147"/>
      <c r="J4165" s="148"/>
      <c r="K4165" s="132"/>
      <c r="L4165" s="133"/>
    </row>
    <row r="4166" spans="1:14" x14ac:dyDescent="0.2">
      <c r="A4166" s="199"/>
      <c r="B4166" s="188"/>
      <c r="C4166" s="189"/>
      <c r="D4166" s="165"/>
      <c r="E4166" s="165"/>
      <c r="F4166" s="165"/>
      <c r="G4166" s="165"/>
      <c r="H4166" s="165"/>
      <c r="I4166" s="190"/>
      <c r="J4166" s="191"/>
      <c r="K4166" s="192"/>
      <c r="L4166" s="55"/>
      <c r="M4166" s="55"/>
      <c r="N4166" s="55"/>
    </row>
    <row r="4167" spans="1:14" x14ac:dyDescent="0.2">
      <c r="A4167" s="158"/>
      <c r="B4167" s="188"/>
      <c r="C4167" s="189"/>
      <c r="D4167" s="165"/>
      <c r="E4167" s="165"/>
      <c r="F4167" s="165"/>
      <c r="G4167" s="165"/>
      <c r="H4167" s="165"/>
      <c r="I4167" s="190"/>
      <c r="J4167" s="191"/>
      <c r="K4167" s="192"/>
      <c r="L4167" s="55"/>
      <c r="M4167" s="55"/>
      <c r="N4167" s="55"/>
    </row>
    <row r="4168" spans="1:14" x14ac:dyDescent="0.2">
      <c r="A4168" s="145"/>
      <c r="B4168" s="146"/>
      <c r="C4168" s="147"/>
      <c r="D4168" s="147"/>
      <c r="E4168" s="147"/>
      <c r="F4168" s="147"/>
      <c r="G4168" s="147"/>
      <c r="H4168" s="147"/>
      <c r="I4168" s="147"/>
      <c r="J4168" s="148"/>
      <c r="K4168" s="132"/>
      <c r="L4168" s="133"/>
    </row>
    <row r="4169" spans="1:14" x14ac:dyDescent="0.2">
      <c r="A4169" s="199"/>
      <c r="B4169" s="188"/>
      <c r="C4169" s="189"/>
      <c r="D4169" s="165"/>
      <c r="E4169" s="165"/>
      <c r="F4169" s="165"/>
      <c r="G4169" s="165"/>
      <c r="H4169" s="165"/>
      <c r="I4169" s="190"/>
      <c r="J4169" s="191"/>
      <c r="K4169" s="192"/>
      <c r="L4169" s="55"/>
      <c r="M4169" s="55"/>
      <c r="N4169" s="55"/>
    </row>
    <row r="4170" spans="1:14" x14ac:dyDescent="0.2">
      <c r="A4170" s="158"/>
      <c r="B4170" s="188"/>
      <c r="C4170" s="189"/>
      <c r="D4170" s="165"/>
      <c r="E4170" s="165"/>
      <c r="F4170" s="165"/>
      <c r="G4170" s="165"/>
      <c r="H4170" s="165"/>
      <c r="I4170" s="190"/>
      <c r="J4170" s="191"/>
      <c r="K4170" s="192"/>
      <c r="L4170" s="55"/>
      <c r="M4170" s="55"/>
      <c r="N4170" s="55"/>
    </row>
    <row r="4171" spans="1:14" x14ac:dyDescent="0.2">
      <c r="A4171" s="145"/>
      <c r="B4171" s="146"/>
      <c r="C4171" s="147"/>
      <c r="D4171" s="147"/>
      <c r="E4171" s="147"/>
      <c r="F4171" s="147"/>
      <c r="G4171" s="147"/>
      <c r="H4171" s="147"/>
      <c r="I4171" s="147"/>
      <c r="J4171" s="148"/>
      <c r="K4171" s="132"/>
      <c r="L4171" s="133"/>
    </row>
    <row r="4172" spans="1:14" x14ac:dyDescent="0.2">
      <c r="A4172" s="199"/>
      <c r="B4172" s="188"/>
      <c r="C4172" s="189"/>
      <c r="D4172" s="165"/>
      <c r="E4172" s="165"/>
      <c r="F4172" s="165"/>
      <c r="G4172" s="165"/>
      <c r="H4172" s="165"/>
      <c r="I4172" s="190"/>
      <c r="J4172" s="191"/>
      <c r="K4172" s="192"/>
      <c r="L4172" s="55"/>
      <c r="M4172" s="55"/>
      <c r="N4172" s="55"/>
    </row>
    <row r="4173" spans="1:14" x14ac:dyDescent="0.2">
      <c r="A4173" s="158"/>
      <c r="B4173" s="188"/>
      <c r="C4173" s="189"/>
      <c r="D4173" s="165"/>
      <c r="E4173" s="165"/>
      <c r="F4173" s="165"/>
      <c r="G4173" s="165"/>
      <c r="H4173" s="165"/>
      <c r="I4173" s="190"/>
      <c r="J4173" s="191"/>
      <c r="K4173" s="192"/>
      <c r="L4173" s="55"/>
      <c r="M4173" s="55"/>
      <c r="N4173" s="55"/>
    </row>
    <row r="4174" spans="1:14" x14ac:dyDescent="0.2">
      <c r="A4174" s="145"/>
      <c r="B4174" s="146"/>
      <c r="C4174" s="147"/>
      <c r="D4174" s="147"/>
      <c r="E4174" s="147"/>
      <c r="F4174" s="147"/>
      <c r="G4174" s="147"/>
      <c r="H4174" s="147"/>
      <c r="I4174" s="147"/>
      <c r="J4174" s="148"/>
      <c r="K4174" s="132"/>
      <c r="L4174" s="133"/>
    </row>
    <row r="4175" spans="1:14" ht="13.5" thickBot="1" x14ac:dyDescent="0.25">
      <c r="A4175" s="149"/>
      <c r="B4175" s="150"/>
      <c r="C4175" s="151"/>
      <c r="D4175" s="151"/>
      <c r="E4175" s="151"/>
      <c r="F4175" s="151"/>
      <c r="G4175" s="151"/>
      <c r="H4175" s="151"/>
      <c r="I4175" s="151"/>
      <c r="J4175" s="152"/>
      <c r="K4175" s="132"/>
      <c r="L4175" s="133"/>
    </row>
    <row r="4176" spans="1:14" ht="13.5" thickBot="1" x14ac:dyDescent="0.25">
      <c r="A4176" s="153"/>
      <c r="B4176" s="153"/>
      <c r="C4176" s="154"/>
      <c r="D4176" s="154"/>
      <c r="E4176" s="154"/>
      <c r="F4176" s="154"/>
      <c r="G4176" s="154"/>
      <c r="H4176" s="154"/>
      <c r="I4176" s="154"/>
      <c r="J4176" s="153"/>
      <c r="K4176" s="132"/>
      <c r="L4176" s="133"/>
    </row>
    <row r="4177" spans="1:12" ht="13.5" thickBot="1" x14ac:dyDescent="0.25">
      <c r="A4177" s="614" t="s">
        <v>62</v>
      </c>
      <c r="B4177" s="648"/>
      <c r="C4177" s="648"/>
      <c r="D4177" s="648"/>
      <c r="E4177" s="648"/>
      <c r="F4177" s="648"/>
      <c r="G4177" s="648"/>
      <c r="H4177" s="648"/>
      <c r="I4177" s="648"/>
      <c r="J4177" s="649"/>
      <c r="K4177" s="132"/>
      <c r="L4177" s="133"/>
    </row>
    <row r="4178" spans="1:12" x14ac:dyDescent="0.2">
      <c r="A4178" s="136"/>
      <c r="B4178" s="155"/>
      <c r="C4178" s="156"/>
      <c r="D4178" s="156"/>
      <c r="E4178" s="156"/>
      <c r="F4178" s="156"/>
      <c r="G4178" s="156"/>
      <c r="H4178" s="156"/>
      <c r="I4178" s="156"/>
      <c r="J4178" s="157"/>
      <c r="K4178" s="132"/>
      <c r="L4178" s="133"/>
    </row>
    <row r="4179" spans="1:12" ht="12.75" customHeight="1" x14ac:dyDescent="0.2">
      <c r="A4179" s="158" t="s">
        <v>63</v>
      </c>
      <c r="B4179" s="55"/>
      <c r="C4179" s="652" t="s">
        <v>515</v>
      </c>
      <c r="D4179" s="652"/>
      <c r="E4179" s="652"/>
      <c r="F4179" s="652"/>
      <c r="G4179" s="652"/>
      <c r="H4179" s="652"/>
      <c r="I4179" s="652"/>
      <c r="J4179" s="653"/>
      <c r="K4179" s="132"/>
      <c r="L4179" s="133"/>
    </row>
    <row r="4180" spans="1:12" x14ac:dyDescent="0.2">
      <c r="A4180" s="158"/>
      <c r="B4180" s="55"/>
      <c r="C4180" s="652"/>
      <c r="D4180" s="652"/>
      <c r="E4180" s="652"/>
      <c r="F4180" s="652"/>
      <c r="G4180" s="652"/>
      <c r="H4180" s="652"/>
      <c r="I4180" s="652"/>
      <c r="J4180" s="653"/>
      <c r="K4180" s="132"/>
      <c r="L4180" s="133"/>
    </row>
    <row r="4181" spans="1:12" x14ac:dyDescent="0.2">
      <c r="A4181" s="158"/>
      <c r="B4181" s="55"/>
      <c r="C4181" s="178"/>
      <c r="D4181" s="178"/>
      <c r="E4181" s="178"/>
      <c r="F4181" s="178"/>
      <c r="G4181" s="178"/>
      <c r="H4181" s="178"/>
      <c r="I4181" s="178"/>
      <c r="J4181" s="179"/>
      <c r="K4181" s="132"/>
      <c r="L4181" s="133"/>
    </row>
    <row r="4182" spans="1:12" ht="12.75" customHeight="1" x14ac:dyDescent="0.2">
      <c r="A4182" s="598" t="s">
        <v>64</v>
      </c>
      <c r="B4182" s="638"/>
      <c r="C4182" s="596" t="s">
        <v>516</v>
      </c>
      <c r="D4182" s="596"/>
      <c r="E4182" s="596"/>
      <c r="F4182" s="596"/>
      <c r="G4182" s="596"/>
      <c r="H4182" s="596"/>
      <c r="I4182" s="596"/>
      <c r="J4182" s="597"/>
      <c r="K4182" s="132"/>
      <c r="L4182" s="133"/>
    </row>
    <row r="4183" spans="1:12" x14ac:dyDescent="0.2">
      <c r="A4183" s="158"/>
      <c r="B4183" s="55"/>
      <c r="C4183" s="175"/>
      <c r="D4183" s="175"/>
      <c r="E4183" s="175"/>
      <c r="F4183" s="175"/>
      <c r="G4183" s="175"/>
      <c r="H4183" s="175"/>
      <c r="I4183" s="175"/>
      <c r="J4183" s="176"/>
      <c r="K4183" s="132"/>
      <c r="L4183" s="133"/>
    </row>
    <row r="4184" spans="1:12" x14ac:dyDescent="0.2">
      <c r="A4184" s="158"/>
      <c r="B4184" s="55"/>
      <c r="C4184" s="159"/>
      <c r="D4184" s="159"/>
      <c r="E4184" s="159"/>
      <c r="F4184" s="159"/>
      <c r="G4184" s="159"/>
      <c r="H4184" s="159"/>
      <c r="I4184" s="159"/>
      <c r="J4184" s="160"/>
      <c r="K4184" s="132"/>
      <c r="L4184" s="133"/>
    </row>
    <row r="4185" spans="1:12" x14ac:dyDescent="0.2">
      <c r="A4185" s="158"/>
      <c r="B4185" s="55"/>
      <c r="C4185" s="71"/>
      <c r="D4185" s="71"/>
      <c r="E4185" s="71"/>
      <c r="F4185" s="71"/>
      <c r="G4185" s="71"/>
      <c r="H4185" s="71"/>
      <c r="I4185" s="71"/>
      <c r="J4185" s="174"/>
      <c r="K4185" s="132"/>
      <c r="L4185" s="133"/>
    </row>
    <row r="4186" spans="1:12" x14ac:dyDescent="0.2">
      <c r="A4186" s="158"/>
      <c r="B4186" s="55"/>
      <c r="C4186" s="71"/>
      <c r="D4186" s="71"/>
      <c r="E4186" s="71"/>
      <c r="F4186" s="71"/>
      <c r="G4186" s="71"/>
      <c r="H4186" s="71"/>
      <c r="I4186" s="71"/>
      <c r="J4186" s="174"/>
      <c r="K4186" s="132"/>
      <c r="L4186" s="133"/>
    </row>
    <row r="4187" spans="1:12" x14ac:dyDescent="0.2">
      <c r="A4187" s="158"/>
      <c r="B4187" s="55"/>
      <c r="C4187" s="159"/>
      <c r="D4187" s="159"/>
      <c r="E4187" s="159"/>
      <c r="F4187" s="159"/>
      <c r="G4187" s="159"/>
      <c r="H4187" s="159"/>
      <c r="I4187" s="159"/>
      <c r="J4187" s="160"/>
      <c r="K4187" s="132"/>
      <c r="L4187" s="133"/>
    </row>
    <row r="4188" spans="1:12" x14ac:dyDescent="0.2">
      <c r="A4188" s="158"/>
      <c r="B4188" s="55"/>
      <c r="C4188" s="71"/>
      <c r="D4188" s="71"/>
      <c r="E4188" s="71"/>
      <c r="F4188" s="71"/>
      <c r="G4188" s="71"/>
      <c r="H4188" s="71"/>
      <c r="I4188" s="71"/>
      <c r="J4188" s="174"/>
      <c r="K4188" s="132"/>
      <c r="L4188" s="133"/>
    </row>
    <row r="4189" spans="1:12" x14ac:dyDescent="0.2">
      <c r="A4189" s="158"/>
      <c r="B4189" s="55"/>
      <c r="C4189" s="71"/>
      <c r="D4189" s="71"/>
      <c r="E4189" s="71"/>
      <c r="F4189" s="71"/>
      <c r="G4189" s="71"/>
      <c r="H4189" s="71"/>
      <c r="I4189" s="71"/>
      <c r="J4189" s="174"/>
      <c r="K4189" s="132"/>
      <c r="L4189" s="133"/>
    </row>
    <row r="4190" spans="1:12" x14ac:dyDescent="0.2">
      <c r="A4190" s="158"/>
      <c r="B4190" s="55"/>
      <c r="C4190" s="71"/>
      <c r="D4190" s="71"/>
      <c r="E4190" s="71"/>
      <c r="F4190" s="71"/>
      <c r="G4190" s="71"/>
      <c r="H4190" s="71"/>
      <c r="I4190" s="71"/>
      <c r="J4190" s="174"/>
      <c r="K4190" s="132"/>
      <c r="L4190" s="133"/>
    </row>
    <row r="4191" spans="1:12" x14ac:dyDescent="0.2">
      <c r="A4191" s="158"/>
      <c r="B4191" s="55"/>
      <c r="C4191" s="71"/>
      <c r="D4191" s="71"/>
      <c r="E4191" s="71"/>
      <c r="F4191" s="71"/>
      <c r="G4191" s="71"/>
      <c r="H4191" s="71"/>
      <c r="I4191" s="71"/>
      <c r="J4191" s="174"/>
      <c r="K4191" s="132"/>
      <c r="L4191" s="133"/>
    </row>
    <row r="4192" spans="1:12" x14ac:dyDescent="0.2">
      <c r="A4192" s="158"/>
      <c r="B4192" s="55"/>
      <c r="C4192" s="71"/>
      <c r="D4192" s="71"/>
      <c r="E4192" s="71"/>
      <c r="F4192" s="71"/>
      <c r="G4192" s="71"/>
      <c r="H4192" s="71"/>
      <c r="I4192" s="71"/>
      <c r="J4192" s="174"/>
      <c r="K4192" s="132"/>
      <c r="L4192" s="133"/>
    </row>
    <row r="4193" spans="1:14" x14ac:dyDescent="0.2">
      <c r="A4193" s="158"/>
      <c r="B4193" s="55"/>
      <c r="C4193" s="71"/>
      <c r="D4193" s="71"/>
      <c r="E4193" s="71"/>
      <c r="F4193" s="71"/>
      <c r="G4193" s="71"/>
      <c r="H4193" s="71"/>
      <c r="I4193" s="71"/>
      <c r="J4193" s="174"/>
      <c r="K4193" s="132"/>
      <c r="L4193" s="133"/>
    </row>
    <row r="4194" spans="1:14" x14ac:dyDescent="0.2">
      <c r="A4194" s="158"/>
      <c r="B4194" s="55"/>
      <c r="C4194" s="71"/>
      <c r="D4194" s="71"/>
      <c r="E4194" s="71"/>
      <c r="F4194" s="71"/>
      <c r="G4194" s="71"/>
      <c r="H4194" s="71"/>
      <c r="I4194" s="71"/>
      <c r="J4194" s="174"/>
      <c r="K4194" s="132"/>
      <c r="L4194" s="133"/>
    </row>
    <row r="4195" spans="1:14" x14ac:dyDescent="0.2">
      <c r="A4195" s="158"/>
      <c r="B4195" s="55"/>
      <c r="C4195" s="71"/>
      <c r="D4195" s="71"/>
      <c r="E4195" s="71"/>
      <c r="F4195" s="71"/>
      <c r="G4195" s="71"/>
      <c r="H4195" s="71"/>
      <c r="I4195" s="71"/>
      <c r="J4195" s="174"/>
      <c r="K4195" s="132"/>
      <c r="L4195" s="133"/>
    </row>
    <row r="4196" spans="1:14" x14ac:dyDescent="0.2">
      <c r="A4196" s="158"/>
      <c r="B4196" s="55"/>
      <c r="C4196" s="175"/>
      <c r="D4196" s="175"/>
      <c r="E4196" s="172"/>
      <c r="F4196" s="172"/>
      <c r="G4196" s="172"/>
      <c r="H4196" s="172"/>
      <c r="I4196" s="172"/>
      <c r="J4196" s="173"/>
      <c r="K4196" s="132"/>
      <c r="L4196" s="133"/>
    </row>
    <row r="4197" spans="1:14" x14ac:dyDescent="0.2">
      <c r="A4197" s="158"/>
      <c r="B4197" s="55"/>
      <c r="C4197" s="175"/>
      <c r="D4197" s="175"/>
      <c r="E4197" s="172"/>
      <c r="F4197" s="172"/>
      <c r="G4197" s="172"/>
      <c r="H4197" s="172"/>
      <c r="I4197" s="172"/>
      <c r="J4197" s="173"/>
      <c r="K4197" s="132"/>
      <c r="L4197" s="133"/>
    </row>
    <row r="4198" spans="1:14" x14ac:dyDescent="0.2">
      <c r="A4198" s="158"/>
      <c r="B4198" s="55"/>
      <c r="C4198" s="175"/>
      <c r="D4198" s="175"/>
      <c r="E4198" s="172"/>
      <c r="F4198" s="172"/>
      <c r="G4198" s="172"/>
      <c r="H4198" s="172"/>
      <c r="I4198" s="172"/>
      <c r="J4198" s="173"/>
      <c r="K4198" s="132"/>
      <c r="L4198" s="133"/>
    </row>
    <row r="4199" spans="1:14" x14ac:dyDescent="0.2">
      <c r="A4199" s="158"/>
      <c r="B4199" s="55"/>
      <c r="C4199" s="175"/>
      <c r="D4199" s="175"/>
      <c r="E4199" s="175"/>
      <c r="F4199" s="175"/>
      <c r="G4199" s="175"/>
      <c r="H4199" s="175"/>
      <c r="I4199" s="175"/>
      <c r="J4199" s="176"/>
      <c r="K4199" s="132"/>
      <c r="L4199" s="133"/>
    </row>
    <row r="4200" spans="1:14" ht="13.5" thickBot="1" x14ac:dyDescent="0.25">
      <c r="A4200" s="149"/>
      <c r="B4200" s="167"/>
      <c r="C4200" s="151"/>
      <c r="D4200" s="151"/>
      <c r="E4200" s="151"/>
      <c r="F4200" s="151"/>
      <c r="G4200" s="151"/>
      <c r="H4200" s="151"/>
      <c r="I4200" s="151"/>
      <c r="J4200" s="168"/>
      <c r="K4200" s="132"/>
      <c r="L4200" s="133"/>
    </row>
    <row r="4201" spans="1:14" ht="15.75" x14ac:dyDescent="0.2">
      <c r="A4201" s="602" t="s">
        <v>4</v>
      </c>
      <c r="B4201" s="603"/>
      <c r="C4201" s="603" t="str">
        <f>'A IV.A'!$B$134</f>
        <v>PINTURAS - ITEM 11.0 DO TERMO DE REFERÊNCIA</v>
      </c>
      <c r="D4201" s="603"/>
      <c r="E4201" s="603"/>
      <c r="F4201" s="603"/>
      <c r="G4201" s="603"/>
      <c r="H4201" s="603"/>
      <c r="I4201" s="603"/>
      <c r="J4201" s="604"/>
      <c r="K4201" s="132"/>
      <c r="L4201" s="133"/>
    </row>
    <row r="4202" spans="1:14" x14ac:dyDescent="0.2">
      <c r="A4202" s="609" t="str">
        <f>'A IV.A'!$A$134</f>
        <v>6.0</v>
      </c>
      <c r="B4202" s="610"/>
      <c r="C4202" s="605"/>
      <c r="D4202" s="605"/>
      <c r="E4202" s="605"/>
      <c r="F4202" s="605"/>
      <c r="G4202" s="605"/>
      <c r="H4202" s="605"/>
      <c r="I4202" s="605"/>
      <c r="J4202" s="606"/>
      <c r="K4202" s="132"/>
      <c r="L4202" s="133"/>
    </row>
    <row r="4203" spans="1:14" ht="13.5" thickBot="1" x14ac:dyDescent="0.25">
      <c r="A4203" s="611"/>
      <c r="B4203" s="612"/>
      <c r="C4203" s="607"/>
      <c r="D4203" s="607"/>
      <c r="E4203" s="607"/>
      <c r="F4203" s="607"/>
      <c r="G4203" s="607"/>
      <c r="H4203" s="607"/>
      <c r="I4203" s="607"/>
      <c r="J4203" s="608"/>
      <c r="K4203" s="132"/>
      <c r="L4203" s="133"/>
    </row>
    <row r="4204" spans="1:14" ht="13.5" thickBot="1" x14ac:dyDescent="0.25">
      <c r="A4204" s="169"/>
      <c r="B4204" s="169"/>
      <c r="C4204" s="613"/>
      <c r="D4204" s="613"/>
      <c r="E4204" s="613"/>
      <c r="F4204" s="613"/>
      <c r="G4204" s="613"/>
      <c r="H4204" s="613"/>
      <c r="I4204" s="613"/>
      <c r="J4204" s="169"/>
      <c r="K4204" s="132"/>
      <c r="L4204" s="133"/>
    </row>
    <row r="4205" spans="1:14" ht="13.5" thickBot="1" x14ac:dyDescent="0.25">
      <c r="A4205" s="632" t="s">
        <v>60</v>
      </c>
      <c r="B4205" s="633"/>
      <c r="C4205" s="656" t="s">
        <v>61</v>
      </c>
      <c r="D4205" s="656"/>
      <c r="E4205" s="656"/>
      <c r="F4205" s="656"/>
      <c r="G4205" s="656"/>
      <c r="H4205" s="656"/>
      <c r="I4205" s="656"/>
      <c r="J4205" s="260" t="s">
        <v>0</v>
      </c>
      <c r="K4205" s="132"/>
      <c r="L4205" s="133"/>
    </row>
    <row r="4206" spans="1:14" x14ac:dyDescent="0.2">
      <c r="A4206" s="136"/>
      <c r="B4206" s="137"/>
      <c r="C4206" s="619"/>
      <c r="D4206" s="620"/>
      <c r="E4206" s="621"/>
      <c r="F4206" s="621"/>
      <c r="G4206" s="621"/>
      <c r="H4206" s="621"/>
      <c r="I4206" s="622"/>
      <c r="J4206" s="138"/>
      <c r="K4206" s="132"/>
      <c r="L4206" s="133"/>
    </row>
    <row r="4207" spans="1:14" ht="12.75" customHeight="1" x14ac:dyDescent="0.2">
      <c r="A4207" s="623" t="str">
        <f>'A IV.A'!A137</f>
        <v>6.1.1</v>
      </c>
      <c r="B4207" s="636"/>
      <c r="C4207" s="626" t="str">
        <f>'A IV.A'!B137</f>
        <v>HIDROJATEAMENTO  DE RESERVATÓRIO ELEVADO</v>
      </c>
      <c r="D4207" s="627"/>
      <c r="E4207" s="627"/>
      <c r="F4207" s="627"/>
      <c r="G4207" s="627"/>
      <c r="H4207" s="627"/>
      <c r="I4207" s="628"/>
      <c r="J4207" s="629" t="str">
        <f>'A IV.A'!C137</f>
        <v>M2</v>
      </c>
      <c r="K4207" s="630" t="str">
        <f>VLOOKUP(A4207,'A IV.A'!$A$14:$M$233,2,FALSE)</f>
        <v>HIDROJATEAMENTO  DE RESERVATÓRIO ELEVADO</v>
      </c>
      <c r="L4207" s="631" t="str">
        <f>IF(C4207=K4207,"sim","nao")</f>
        <v>sim</v>
      </c>
      <c r="M4207" s="631" t="str">
        <f>VLOOKUP(A4207,'A IV.A'!$A$14:$M$233,3,FALSE)</f>
        <v>M2</v>
      </c>
      <c r="N4207" s="631" t="str">
        <f>IF(J4207=M4207,"sim","nao")</f>
        <v>sim</v>
      </c>
    </row>
    <row r="4208" spans="1:14" x14ac:dyDescent="0.2">
      <c r="A4208" s="623"/>
      <c r="B4208" s="636"/>
      <c r="C4208" s="626"/>
      <c r="D4208" s="627"/>
      <c r="E4208" s="627"/>
      <c r="F4208" s="627"/>
      <c r="G4208" s="627"/>
      <c r="H4208" s="627"/>
      <c r="I4208" s="628"/>
      <c r="J4208" s="629"/>
      <c r="K4208" s="630"/>
      <c r="L4208" s="631"/>
      <c r="M4208" s="631"/>
      <c r="N4208" s="631"/>
    </row>
    <row r="4209" spans="1:14" x14ac:dyDescent="0.2">
      <c r="A4209" s="623"/>
      <c r="B4209" s="636"/>
      <c r="C4209" s="626"/>
      <c r="D4209" s="627"/>
      <c r="E4209" s="627"/>
      <c r="F4209" s="627"/>
      <c r="G4209" s="627"/>
      <c r="H4209" s="627"/>
      <c r="I4209" s="628"/>
      <c r="J4209" s="629"/>
      <c r="K4209" s="132"/>
      <c r="L4209" s="133"/>
    </row>
    <row r="4210" spans="1:14" x14ac:dyDescent="0.2">
      <c r="A4210" s="199"/>
      <c r="B4210" s="188"/>
      <c r="C4210" s="189"/>
      <c r="D4210" s="165"/>
      <c r="E4210" s="165"/>
      <c r="F4210" s="165"/>
      <c r="G4210" s="165"/>
      <c r="H4210" s="165"/>
      <c r="I4210" s="190"/>
      <c r="J4210" s="191"/>
      <c r="K4210" s="192"/>
      <c r="L4210" s="55"/>
      <c r="M4210" s="55"/>
      <c r="N4210" s="55"/>
    </row>
    <row r="4211" spans="1:14" x14ac:dyDescent="0.2">
      <c r="A4211" s="623" t="str">
        <f>'A IV.A'!A138</f>
        <v>6.1.2</v>
      </c>
      <c r="B4211" s="636"/>
      <c r="C4211" s="626" t="str">
        <f>'A IV.A'!B138</f>
        <v>HIDROJATEAMENTO SIMPLES</v>
      </c>
      <c r="D4211" s="627"/>
      <c r="E4211" s="627"/>
      <c r="F4211" s="627"/>
      <c r="G4211" s="627"/>
      <c r="H4211" s="627"/>
      <c r="I4211" s="628"/>
      <c r="J4211" s="629" t="str">
        <f>'A IV.A'!C139</f>
        <v>M2</v>
      </c>
      <c r="K4211" s="192"/>
      <c r="L4211" s="55"/>
      <c r="M4211" s="55"/>
      <c r="N4211" s="55"/>
    </row>
    <row r="4212" spans="1:14" x14ac:dyDescent="0.2">
      <c r="A4212" s="623"/>
      <c r="B4212" s="636"/>
      <c r="C4212" s="626"/>
      <c r="D4212" s="627"/>
      <c r="E4212" s="627"/>
      <c r="F4212" s="627"/>
      <c r="G4212" s="627"/>
      <c r="H4212" s="627"/>
      <c r="I4212" s="628"/>
      <c r="J4212" s="629"/>
      <c r="K4212" s="132"/>
      <c r="L4212" s="133"/>
    </row>
    <row r="4213" spans="1:14" x14ac:dyDescent="0.2">
      <c r="A4213" s="623"/>
      <c r="B4213" s="636"/>
      <c r="C4213" s="626"/>
      <c r="D4213" s="627"/>
      <c r="E4213" s="627"/>
      <c r="F4213" s="627"/>
      <c r="G4213" s="627"/>
      <c r="H4213" s="627"/>
      <c r="I4213" s="628"/>
      <c r="J4213" s="629"/>
      <c r="K4213" s="192"/>
      <c r="L4213" s="55"/>
      <c r="M4213" s="55"/>
      <c r="N4213" s="55"/>
    </row>
    <row r="4214" spans="1:14" x14ac:dyDescent="0.2">
      <c r="A4214" s="158"/>
      <c r="B4214" s="188"/>
      <c r="C4214" s="189"/>
      <c r="D4214" s="165"/>
      <c r="E4214" s="165"/>
      <c r="F4214" s="165"/>
      <c r="G4214" s="165"/>
      <c r="H4214" s="165"/>
      <c r="I4214" s="190"/>
      <c r="J4214" s="191"/>
      <c r="K4214" s="192"/>
      <c r="L4214" s="55"/>
      <c r="M4214" s="55"/>
      <c r="N4214" s="55"/>
    </row>
    <row r="4215" spans="1:14" x14ac:dyDescent="0.2">
      <c r="A4215" s="145"/>
      <c r="B4215" s="146"/>
      <c r="C4215" s="147"/>
      <c r="D4215" s="147"/>
      <c r="E4215" s="147"/>
      <c r="F4215" s="147"/>
      <c r="G4215" s="147"/>
      <c r="H4215" s="147"/>
      <c r="I4215" s="147"/>
      <c r="J4215" s="148"/>
      <c r="K4215" s="132"/>
      <c r="L4215" s="133"/>
    </row>
    <row r="4216" spans="1:14" x14ac:dyDescent="0.2">
      <c r="A4216" s="199"/>
      <c r="B4216" s="188"/>
      <c r="C4216" s="189"/>
      <c r="D4216" s="165"/>
      <c r="E4216" s="165"/>
      <c r="F4216" s="165"/>
      <c r="G4216" s="165"/>
      <c r="H4216" s="165"/>
      <c r="I4216" s="190"/>
      <c r="J4216" s="191"/>
      <c r="K4216" s="192"/>
      <c r="L4216" s="55"/>
      <c r="M4216" s="55"/>
      <c r="N4216" s="55"/>
    </row>
    <row r="4217" spans="1:14" x14ac:dyDescent="0.2">
      <c r="A4217" s="158"/>
      <c r="B4217" s="188"/>
      <c r="C4217" s="189"/>
      <c r="D4217" s="165"/>
      <c r="E4217" s="165"/>
      <c r="F4217" s="165"/>
      <c r="G4217" s="165"/>
      <c r="H4217" s="165"/>
      <c r="I4217" s="190"/>
      <c r="J4217" s="191"/>
      <c r="K4217" s="192"/>
      <c r="L4217" s="55"/>
      <c r="M4217" s="55"/>
      <c r="N4217" s="55"/>
    </row>
    <row r="4218" spans="1:14" x14ac:dyDescent="0.2">
      <c r="A4218" s="145"/>
      <c r="B4218" s="146"/>
      <c r="C4218" s="147"/>
      <c r="D4218" s="147"/>
      <c r="E4218" s="147"/>
      <c r="F4218" s="147"/>
      <c r="G4218" s="147"/>
      <c r="H4218" s="147"/>
      <c r="I4218" s="147"/>
      <c r="J4218" s="148"/>
      <c r="K4218" s="132"/>
      <c r="L4218" s="133"/>
    </row>
    <row r="4219" spans="1:14" x14ac:dyDescent="0.2">
      <c r="A4219" s="199"/>
      <c r="B4219" s="188"/>
      <c r="C4219" s="189"/>
      <c r="D4219" s="165"/>
      <c r="E4219" s="165"/>
      <c r="F4219" s="165"/>
      <c r="G4219" s="165"/>
      <c r="H4219" s="165"/>
      <c r="I4219" s="190"/>
      <c r="J4219" s="191"/>
      <c r="K4219" s="192"/>
      <c r="L4219" s="55"/>
      <c r="M4219" s="55"/>
      <c r="N4219" s="55"/>
    </row>
    <row r="4220" spans="1:14" x14ac:dyDescent="0.2">
      <c r="A4220" s="158"/>
      <c r="B4220" s="188"/>
      <c r="C4220" s="189"/>
      <c r="D4220" s="165"/>
      <c r="E4220" s="165"/>
      <c r="F4220" s="165"/>
      <c r="G4220" s="165"/>
      <c r="H4220" s="165"/>
      <c r="I4220" s="190"/>
      <c r="J4220" s="191"/>
      <c r="K4220" s="192"/>
      <c r="L4220" s="55"/>
      <c r="M4220" s="55"/>
      <c r="N4220" s="55"/>
    </row>
    <row r="4221" spans="1:14" x14ac:dyDescent="0.2">
      <c r="A4221" s="145"/>
      <c r="B4221" s="146"/>
      <c r="C4221" s="147"/>
      <c r="D4221" s="147"/>
      <c r="E4221" s="147"/>
      <c r="F4221" s="147"/>
      <c r="G4221" s="147"/>
      <c r="H4221" s="147"/>
      <c r="I4221" s="147"/>
      <c r="J4221" s="148"/>
      <c r="K4221" s="132"/>
      <c r="L4221" s="133"/>
    </row>
    <row r="4222" spans="1:14" x14ac:dyDescent="0.2">
      <c r="A4222" s="199"/>
      <c r="B4222" s="188"/>
      <c r="C4222" s="189"/>
      <c r="D4222" s="165"/>
      <c r="E4222" s="165"/>
      <c r="F4222" s="165"/>
      <c r="G4222" s="165"/>
      <c r="H4222" s="165"/>
      <c r="I4222" s="190"/>
      <c r="J4222" s="191"/>
      <c r="K4222" s="192"/>
      <c r="L4222" s="55"/>
      <c r="M4222" s="55"/>
      <c r="N4222" s="55"/>
    </row>
    <row r="4223" spans="1:14" x14ac:dyDescent="0.2">
      <c r="A4223" s="158"/>
      <c r="B4223" s="188"/>
      <c r="C4223" s="189"/>
      <c r="D4223" s="165"/>
      <c r="E4223" s="165"/>
      <c r="F4223" s="165"/>
      <c r="G4223" s="165"/>
      <c r="H4223" s="165"/>
      <c r="I4223" s="190"/>
      <c r="J4223" s="191"/>
      <c r="K4223" s="192"/>
      <c r="L4223" s="55"/>
      <c r="M4223" s="55"/>
      <c r="N4223" s="55"/>
    </row>
    <row r="4224" spans="1:14" x14ac:dyDescent="0.2">
      <c r="A4224" s="145"/>
      <c r="B4224" s="146"/>
      <c r="C4224" s="147"/>
      <c r="D4224" s="147"/>
      <c r="E4224" s="147"/>
      <c r="F4224" s="147"/>
      <c r="G4224" s="147"/>
      <c r="H4224" s="147"/>
      <c r="I4224" s="147"/>
      <c r="J4224" s="148"/>
      <c r="K4224" s="132"/>
      <c r="L4224" s="133"/>
    </row>
    <row r="4225" spans="1:14" x14ac:dyDescent="0.2">
      <c r="A4225" s="199"/>
      <c r="B4225" s="188"/>
      <c r="C4225" s="189"/>
      <c r="D4225" s="165"/>
      <c r="E4225" s="165"/>
      <c r="F4225" s="165"/>
      <c r="G4225" s="165"/>
      <c r="H4225" s="165"/>
      <c r="I4225" s="190"/>
      <c r="J4225" s="191"/>
      <c r="K4225" s="192"/>
      <c r="L4225" s="55"/>
      <c r="M4225" s="55"/>
      <c r="N4225" s="55"/>
    </row>
    <row r="4226" spans="1:14" x14ac:dyDescent="0.2">
      <c r="A4226" s="158"/>
      <c r="B4226" s="188"/>
      <c r="C4226" s="189"/>
      <c r="D4226" s="165"/>
      <c r="E4226" s="165"/>
      <c r="F4226" s="165"/>
      <c r="G4226" s="165"/>
      <c r="H4226" s="165"/>
      <c r="I4226" s="190"/>
      <c r="J4226" s="191"/>
      <c r="K4226" s="192"/>
      <c r="L4226" s="55"/>
      <c r="M4226" s="55"/>
      <c r="N4226" s="55"/>
    </row>
    <row r="4227" spans="1:14" x14ac:dyDescent="0.2">
      <c r="A4227" s="145"/>
      <c r="B4227" s="146"/>
      <c r="C4227" s="147"/>
      <c r="D4227" s="147"/>
      <c r="E4227" s="147"/>
      <c r="F4227" s="147"/>
      <c r="G4227" s="147"/>
      <c r="H4227" s="147"/>
      <c r="I4227" s="147"/>
      <c r="J4227" s="148"/>
      <c r="K4227" s="132"/>
      <c r="L4227" s="133"/>
    </row>
    <row r="4228" spans="1:14" ht="13.5" thickBot="1" x14ac:dyDescent="0.25">
      <c r="A4228" s="149"/>
      <c r="B4228" s="150"/>
      <c r="C4228" s="151"/>
      <c r="D4228" s="151"/>
      <c r="E4228" s="151"/>
      <c r="F4228" s="151"/>
      <c r="G4228" s="151"/>
      <c r="H4228" s="151"/>
      <c r="I4228" s="151"/>
      <c r="J4228" s="152"/>
      <c r="K4228" s="132"/>
      <c r="L4228" s="133"/>
    </row>
    <row r="4229" spans="1:14" ht="13.5" thickBot="1" x14ac:dyDescent="0.25">
      <c r="A4229" s="153"/>
      <c r="B4229" s="153"/>
      <c r="C4229" s="154"/>
      <c r="D4229" s="154"/>
      <c r="E4229" s="154"/>
      <c r="F4229" s="154"/>
      <c r="G4229" s="154"/>
      <c r="H4229" s="154"/>
      <c r="I4229" s="154"/>
      <c r="J4229" s="153"/>
      <c r="K4229" s="132"/>
      <c r="L4229" s="133"/>
    </row>
    <row r="4230" spans="1:14" ht="13.5" thickBot="1" x14ac:dyDescent="0.25">
      <c r="A4230" s="614" t="s">
        <v>62</v>
      </c>
      <c r="B4230" s="648"/>
      <c r="C4230" s="648"/>
      <c r="D4230" s="648"/>
      <c r="E4230" s="648"/>
      <c r="F4230" s="648"/>
      <c r="G4230" s="648"/>
      <c r="H4230" s="648"/>
      <c r="I4230" s="648"/>
      <c r="J4230" s="649"/>
      <c r="K4230" s="132"/>
      <c r="L4230" s="133"/>
    </row>
    <row r="4231" spans="1:14" x14ac:dyDescent="0.2">
      <c r="A4231" s="136"/>
      <c r="B4231" s="155"/>
      <c r="C4231" s="156"/>
      <c r="D4231" s="156"/>
      <c r="E4231" s="156"/>
      <c r="F4231" s="156"/>
      <c r="G4231" s="156"/>
      <c r="H4231" s="156"/>
      <c r="I4231" s="156"/>
      <c r="J4231" s="157"/>
      <c r="K4231" s="132"/>
      <c r="L4231" s="133"/>
    </row>
    <row r="4232" spans="1:14" ht="12.75" customHeight="1" x14ac:dyDescent="0.2">
      <c r="A4232" s="158" t="s">
        <v>63</v>
      </c>
      <c r="B4232" s="55"/>
      <c r="C4232" s="596" t="s">
        <v>467</v>
      </c>
      <c r="D4232" s="596"/>
      <c r="E4232" s="596"/>
      <c r="F4232" s="596"/>
      <c r="G4232" s="596"/>
      <c r="H4232" s="596"/>
      <c r="I4232" s="596"/>
      <c r="J4232" s="597"/>
      <c r="K4232" s="132"/>
      <c r="L4232" s="133"/>
    </row>
    <row r="4233" spans="1:14" x14ac:dyDescent="0.2">
      <c r="A4233" s="158"/>
      <c r="B4233" s="55"/>
      <c r="C4233" s="596"/>
      <c r="D4233" s="596"/>
      <c r="E4233" s="596"/>
      <c r="F4233" s="596"/>
      <c r="G4233" s="596"/>
      <c r="H4233" s="596"/>
      <c r="I4233" s="596"/>
      <c r="J4233" s="597"/>
      <c r="K4233" s="132"/>
      <c r="L4233" s="133"/>
    </row>
    <row r="4234" spans="1:14" x14ac:dyDescent="0.2">
      <c r="A4234" s="192"/>
      <c r="B4234" s="171"/>
      <c r="C4234" s="596"/>
      <c r="D4234" s="596"/>
      <c r="E4234" s="596"/>
      <c r="F4234" s="596"/>
      <c r="G4234" s="596"/>
      <c r="H4234" s="596"/>
      <c r="I4234" s="596"/>
      <c r="J4234" s="597"/>
      <c r="K4234" s="132"/>
      <c r="L4234" s="133"/>
    </row>
    <row r="4235" spans="1:14" x14ac:dyDescent="0.2">
      <c r="A4235" s="139"/>
      <c r="B4235" s="56"/>
      <c r="C4235" s="596"/>
      <c r="D4235" s="596"/>
      <c r="E4235" s="596"/>
      <c r="F4235" s="596"/>
      <c r="G4235" s="596"/>
      <c r="H4235" s="596"/>
      <c r="I4235" s="596"/>
      <c r="J4235" s="597"/>
      <c r="K4235" s="132"/>
      <c r="L4235" s="133"/>
    </row>
    <row r="4236" spans="1:14" x14ac:dyDescent="0.2">
      <c r="A4236" s="139"/>
      <c r="B4236" s="56"/>
      <c r="C4236" s="596"/>
      <c r="D4236" s="596"/>
      <c r="E4236" s="596"/>
      <c r="F4236" s="596"/>
      <c r="G4236" s="596"/>
      <c r="H4236" s="596"/>
      <c r="I4236" s="596"/>
      <c r="J4236" s="597"/>
      <c r="K4236" s="132"/>
      <c r="L4236" s="133"/>
    </row>
    <row r="4237" spans="1:14" x14ac:dyDescent="0.2">
      <c r="A4237" s="139"/>
      <c r="B4237" s="56"/>
      <c r="C4237" s="56"/>
      <c r="D4237" s="56"/>
      <c r="E4237" s="56"/>
      <c r="F4237" s="56"/>
      <c r="G4237" s="56"/>
      <c r="H4237" s="56"/>
      <c r="I4237" s="56"/>
      <c r="J4237" s="314"/>
      <c r="K4237" s="132"/>
      <c r="L4237" s="133"/>
    </row>
    <row r="4238" spans="1:14" x14ac:dyDescent="0.2">
      <c r="A4238" s="685" t="s">
        <v>64</v>
      </c>
      <c r="B4238" s="686"/>
      <c r="C4238" s="596" t="s">
        <v>465</v>
      </c>
      <c r="D4238" s="596"/>
      <c r="E4238" s="596"/>
      <c r="F4238" s="596"/>
      <c r="G4238" s="596"/>
      <c r="H4238" s="596"/>
      <c r="I4238" s="596"/>
      <c r="J4238" s="597"/>
      <c r="K4238" s="132"/>
      <c r="L4238" s="133"/>
    </row>
    <row r="4239" spans="1:14" x14ac:dyDescent="0.2">
      <c r="A4239" s="192"/>
      <c r="B4239" s="171"/>
      <c r="C4239" s="178"/>
      <c r="D4239" s="178"/>
      <c r="E4239" s="178"/>
      <c r="F4239" s="178"/>
      <c r="G4239" s="178"/>
      <c r="H4239" s="178"/>
      <c r="I4239" s="178"/>
      <c r="J4239" s="179"/>
      <c r="K4239" s="132"/>
      <c r="L4239" s="133"/>
    </row>
    <row r="4240" spans="1:14" x14ac:dyDescent="0.2">
      <c r="A4240" s="210" t="s">
        <v>65</v>
      </c>
      <c r="B4240" s="175"/>
      <c r="C4240" s="634" t="s">
        <v>164</v>
      </c>
      <c r="D4240" s="634"/>
      <c r="E4240" s="634"/>
      <c r="F4240" s="634"/>
      <c r="G4240" s="634"/>
      <c r="H4240" s="634"/>
      <c r="I4240" s="634"/>
      <c r="J4240" s="635"/>
      <c r="K4240" s="132"/>
      <c r="L4240" s="133"/>
    </row>
    <row r="4241" spans="1:12" x14ac:dyDescent="0.2">
      <c r="A4241" s="210"/>
      <c r="B4241" s="175"/>
      <c r="C4241" s="634"/>
      <c r="D4241" s="634"/>
      <c r="E4241" s="634"/>
      <c r="F4241" s="634"/>
      <c r="G4241" s="634"/>
      <c r="H4241" s="634"/>
      <c r="I4241" s="634"/>
      <c r="J4241" s="635"/>
      <c r="K4241" s="132"/>
      <c r="L4241" s="133"/>
    </row>
    <row r="4242" spans="1:12" x14ac:dyDescent="0.2">
      <c r="A4242" s="158"/>
      <c r="B4242" s="55"/>
      <c r="C4242" s="652" t="s">
        <v>945</v>
      </c>
      <c r="D4242" s="652"/>
      <c r="E4242" s="652"/>
      <c r="F4242" s="652"/>
      <c r="G4242" s="652"/>
      <c r="H4242" s="652"/>
      <c r="I4242" s="652"/>
      <c r="J4242" s="653"/>
      <c r="K4242" s="132"/>
      <c r="L4242" s="133"/>
    </row>
    <row r="4243" spans="1:12" x14ac:dyDescent="0.2">
      <c r="A4243" s="158"/>
      <c r="B4243" s="55"/>
      <c r="C4243" s="71"/>
      <c r="D4243" s="71"/>
      <c r="E4243" s="71"/>
      <c r="F4243" s="71"/>
      <c r="G4243" s="71"/>
      <c r="H4243" s="71"/>
      <c r="I4243" s="71"/>
      <c r="J4243" s="174"/>
      <c r="K4243" s="132"/>
      <c r="L4243" s="133"/>
    </row>
    <row r="4244" spans="1:12" ht="12.75" customHeight="1" x14ac:dyDescent="0.2">
      <c r="A4244" s="139"/>
      <c r="B4244" s="56"/>
      <c r="C4244" s="56"/>
      <c r="D4244" s="56"/>
      <c r="E4244" s="56"/>
      <c r="F4244" s="56"/>
      <c r="G4244" s="56"/>
      <c r="H4244" s="56"/>
      <c r="I4244" s="56"/>
      <c r="J4244" s="314"/>
      <c r="K4244" s="132"/>
      <c r="L4244" s="133"/>
    </row>
    <row r="4245" spans="1:12" x14ac:dyDescent="0.2">
      <c r="A4245" s="158"/>
      <c r="B4245" s="55"/>
      <c r="C4245" s="71"/>
      <c r="D4245" s="71"/>
      <c r="E4245" s="71"/>
      <c r="F4245" s="71"/>
      <c r="G4245" s="71"/>
      <c r="H4245" s="71"/>
      <c r="I4245" s="71"/>
      <c r="J4245" s="174"/>
      <c r="K4245" s="132"/>
      <c r="L4245" s="133"/>
    </row>
    <row r="4246" spans="1:12" x14ac:dyDescent="0.2">
      <c r="A4246" s="158"/>
      <c r="B4246" s="55"/>
      <c r="C4246" s="71"/>
      <c r="D4246" s="71"/>
      <c r="E4246" s="71"/>
      <c r="F4246" s="71"/>
      <c r="G4246" s="71"/>
      <c r="H4246" s="71"/>
      <c r="I4246" s="71"/>
      <c r="J4246" s="174"/>
      <c r="K4246" s="132"/>
      <c r="L4246" s="133"/>
    </row>
    <row r="4247" spans="1:12" x14ac:dyDescent="0.2">
      <c r="A4247" s="158"/>
      <c r="B4247" s="55"/>
      <c r="C4247" s="71"/>
      <c r="D4247" s="71"/>
      <c r="E4247" s="71"/>
      <c r="F4247" s="71"/>
      <c r="G4247" s="71"/>
      <c r="H4247" s="71"/>
      <c r="I4247" s="71"/>
      <c r="J4247" s="174"/>
      <c r="K4247" s="132"/>
      <c r="L4247" s="133"/>
    </row>
    <row r="4248" spans="1:12" x14ac:dyDescent="0.2">
      <c r="A4248" s="158"/>
      <c r="B4248" s="55"/>
      <c r="C4248" s="71"/>
      <c r="D4248" s="71"/>
      <c r="E4248" s="71"/>
      <c r="F4248" s="71"/>
      <c r="G4248" s="71"/>
      <c r="H4248" s="71"/>
      <c r="I4248" s="71"/>
      <c r="J4248" s="174"/>
      <c r="K4248" s="132"/>
      <c r="L4248" s="133"/>
    </row>
    <row r="4249" spans="1:12" x14ac:dyDescent="0.2">
      <c r="A4249" s="158"/>
      <c r="B4249" s="55"/>
      <c r="C4249" s="71"/>
      <c r="D4249" s="71"/>
      <c r="E4249" s="71"/>
      <c r="F4249" s="71"/>
      <c r="G4249" s="71"/>
      <c r="H4249" s="71"/>
      <c r="I4249" s="71"/>
      <c r="J4249" s="174"/>
      <c r="K4249" s="132"/>
      <c r="L4249" s="133"/>
    </row>
    <row r="4250" spans="1:12" x14ac:dyDescent="0.2">
      <c r="A4250" s="158"/>
      <c r="B4250" s="55"/>
      <c r="C4250" s="71"/>
      <c r="D4250" s="71"/>
      <c r="E4250" s="71"/>
      <c r="F4250" s="71"/>
      <c r="G4250" s="71"/>
      <c r="H4250" s="71"/>
      <c r="I4250" s="71"/>
      <c r="J4250" s="174"/>
      <c r="K4250" s="132"/>
      <c r="L4250" s="133"/>
    </row>
    <row r="4251" spans="1:12" x14ac:dyDescent="0.2">
      <c r="A4251" s="158"/>
      <c r="B4251" s="55"/>
      <c r="C4251" s="71"/>
      <c r="D4251" s="71"/>
      <c r="E4251" s="71"/>
      <c r="F4251" s="71"/>
      <c r="G4251" s="71"/>
      <c r="H4251" s="71"/>
      <c r="I4251" s="71"/>
      <c r="J4251" s="174"/>
      <c r="K4251" s="132"/>
      <c r="L4251" s="133"/>
    </row>
    <row r="4252" spans="1:12" x14ac:dyDescent="0.2">
      <c r="A4252" s="158"/>
      <c r="B4252" s="55"/>
      <c r="C4252" s="175"/>
      <c r="D4252" s="175"/>
      <c r="E4252" s="172"/>
      <c r="F4252" s="172"/>
      <c r="G4252" s="172"/>
      <c r="H4252" s="172"/>
      <c r="I4252" s="172"/>
      <c r="J4252" s="173"/>
      <c r="K4252" s="132"/>
      <c r="L4252" s="133"/>
    </row>
    <row r="4253" spans="1:12" x14ac:dyDescent="0.2">
      <c r="A4253" s="158"/>
      <c r="B4253" s="55"/>
      <c r="C4253" s="175"/>
      <c r="D4253" s="175"/>
      <c r="E4253" s="172"/>
      <c r="F4253" s="172"/>
      <c r="G4253" s="172"/>
      <c r="H4253" s="172"/>
      <c r="I4253" s="172"/>
      <c r="J4253" s="173"/>
      <c r="K4253" s="132"/>
      <c r="L4253" s="133"/>
    </row>
    <row r="4254" spans="1:12" ht="13.5" thickBot="1" x14ac:dyDescent="0.25">
      <c r="A4254" s="149"/>
      <c r="B4254" s="167"/>
      <c r="C4254" s="151"/>
      <c r="D4254" s="151"/>
      <c r="E4254" s="151"/>
      <c r="F4254" s="151"/>
      <c r="G4254" s="151"/>
      <c r="H4254" s="151"/>
      <c r="I4254" s="151"/>
      <c r="J4254" s="168"/>
      <c r="K4254" s="132"/>
      <c r="L4254" s="133"/>
    </row>
    <row r="4255" spans="1:12" ht="15.75" x14ac:dyDescent="0.2">
      <c r="A4255" s="602" t="s">
        <v>4</v>
      </c>
      <c r="B4255" s="603"/>
      <c r="C4255" s="603" t="str">
        <f>'A IV.A'!$B$134</f>
        <v>PINTURAS - ITEM 11.0 DO TERMO DE REFERÊNCIA</v>
      </c>
      <c r="D4255" s="603"/>
      <c r="E4255" s="603"/>
      <c r="F4255" s="603"/>
      <c r="G4255" s="603"/>
      <c r="H4255" s="603"/>
      <c r="I4255" s="603"/>
      <c r="J4255" s="604"/>
      <c r="K4255" s="132"/>
      <c r="L4255" s="133"/>
    </row>
    <row r="4256" spans="1:12" x14ac:dyDescent="0.2">
      <c r="A4256" s="609" t="str">
        <f>'A IV.A'!$A$134</f>
        <v>6.0</v>
      </c>
      <c r="B4256" s="610"/>
      <c r="C4256" s="605"/>
      <c r="D4256" s="605"/>
      <c r="E4256" s="605"/>
      <c r="F4256" s="605"/>
      <c r="G4256" s="605"/>
      <c r="H4256" s="605"/>
      <c r="I4256" s="605"/>
      <c r="J4256" s="606"/>
      <c r="K4256" s="132"/>
      <c r="L4256" s="133"/>
    </row>
    <row r="4257" spans="1:16" ht="13.5" thickBot="1" x14ac:dyDescent="0.25">
      <c r="A4257" s="611" t="str">
        <f>'A IV.A'!$A$134</f>
        <v>6.0</v>
      </c>
      <c r="B4257" s="612"/>
      <c r="C4257" s="607"/>
      <c r="D4257" s="607"/>
      <c r="E4257" s="607"/>
      <c r="F4257" s="607"/>
      <c r="G4257" s="607"/>
      <c r="H4257" s="607"/>
      <c r="I4257" s="607"/>
      <c r="J4257" s="608"/>
      <c r="K4257" s="132"/>
      <c r="L4257" s="133"/>
    </row>
    <row r="4258" spans="1:16" ht="13.5" thickBot="1" x14ac:dyDescent="0.25">
      <c r="A4258" s="169"/>
      <c r="B4258" s="169"/>
      <c r="C4258" s="613"/>
      <c r="D4258" s="613"/>
      <c r="E4258" s="613"/>
      <c r="F4258" s="613"/>
      <c r="G4258" s="613"/>
      <c r="H4258" s="613"/>
      <c r="I4258" s="613"/>
      <c r="J4258" s="169"/>
      <c r="K4258" s="132"/>
      <c r="L4258" s="133"/>
    </row>
    <row r="4259" spans="1:16" ht="13.5" thickBot="1" x14ac:dyDescent="0.25">
      <c r="A4259" s="632" t="s">
        <v>60</v>
      </c>
      <c r="B4259" s="633"/>
      <c r="C4259" s="656" t="s">
        <v>61</v>
      </c>
      <c r="D4259" s="656"/>
      <c r="E4259" s="656"/>
      <c r="F4259" s="656"/>
      <c r="G4259" s="656"/>
      <c r="H4259" s="656"/>
      <c r="I4259" s="656"/>
      <c r="J4259" s="260" t="s">
        <v>0</v>
      </c>
      <c r="K4259" s="132"/>
      <c r="L4259" s="133"/>
    </row>
    <row r="4260" spans="1:16" x14ac:dyDescent="0.2">
      <c r="A4260" s="136"/>
      <c r="B4260" s="137"/>
      <c r="C4260" s="619"/>
      <c r="D4260" s="620"/>
      <c r="E4260" s="621"/>
      <c r="F4260" s="621"/>
      <c r="G4260" s="621"/>
      <c r="H4260" s="621"/>
      <c r="I4260" s="622"/>
      <c r="J4260" s="138"/>
      <c r="K4260" s="132"/>
      <c r="L4260" s="133"/>
    </row>
    <row r="4261" spans="1:16" x14ac:dyDescent="0.2">
      <c r="A4261" s="623" t="str">
        <f>'A IV.A'!A139</f>
        <v>6.2</v>
      </c>
      <c r="B4261" s="624"/>
      <c r="C4261" s="626" t="str">
        <f>'A IV.A'!B139</f>
        <v>EMASSAMENTO DE PAREDE COM MASSA PVA PARA PINTURA LÁTEX</v>
      </c>
      <c r="D4261" s="627"/>
      <c r="E4261" s="627"/>
      <c r="F4261" s="627"/>
      <c r="G4261" s="627"/>
      <c r="H4261" s="627"/>
      <c r="I4261" s="628"/>
      <c r="J4261" s="629" t="str">
        <f>'A IV.A'!C139</f>
        <v>M2</v>
      </c>
      <c r="K4261" s="630" t="str">
        <f>VLOOKUP(A4261,'A IV.A'!$A$14:$M$233,2,FALSE)</f>
        <v>EMASSAMENTO DE PAREDE COM MASSA PVA PARA PINTURA LÁTEX</v>
      </c>
      <c r="L4261" s="631" t="str">
        <f>IF(C4261=K4261,"sim","nao")</f>
        <v>sim</v>
      </c>
      <c r="M4261" s="631" t="str">
        <f>VLOOKUP(A4261,'A IV.A'!$A$14:$M$233,3,FALSE)</f>
        <v>M2</v>
      </c>
      <c r="N4261" s="631" t="str">
        <f>IF(J4261=M4261,"sim","nao")</f>
        <v>sim</v>
      </c>
    </row>
    <row r="4262" spans="1:16" x14ac:dyDescent="0.2">
      <c r="A4262" s="625"/>
      <c r="B4262" s="624"/>
      <c r="C4262" s="626"/>
      <c r="D4262" s="627"/>
      <c r="E4262" s="627"/>
      <c r="F4262" s="627"/>
      <c r="G4262" s="627"/>
      <c r="H4262" s="627"/>
      <c r="I4262" s="628"/>
      <c r="J4262" s="629"/>
      <c r="K4262" s="630"/>
      <c r="L4262" s="631"/>
      <c r="M4262" s="631"/>
      <c r="N4262" s="631"/>
    </row>
    <row r="4263" spans="1:16" x14ac:dyDescent="0.2">
      <c r="A4263" s="139"/>
      <c r="B4263" s="140"/>
      <c r="C4263" s="141"/>
      <c r="D4263" s="142"/>
      <c r="E4263" s="142"/>
      <c r="F4263" s="142"/>
      <c r="G4263" s="142"/>
      <c r="H4263" s="142"/>
      <c r="I4263" s="143"/>
      <c r="J4263" s="144"/>
      <c r="K4263" s="132"/>
      <c r="L4263" s="133"/>
    </row>
    <row r="4264" spans="1:16" x14ac:dyDescent="0.2">
      <c r="A4264" s="199"/>
      <c r="B4264" s="188"/>
      <c r="C4264" s="189"/>
      <c r="D4264" s="165"/>
      <c r="E4264" s="165"/>
      <c r="F4264" s="165"/>
      <c r="G4264" s="165"/>
      <c r="H4264" s="165"/>
      <c r="I4264" s="190"/>
      <c r="J4264" s="191"/>
      <c r="K4264" s="192"/>
      <c r="L4264" s="55"/>
      <c r="M4264" s="55"/>
      <c r="N4264" s="55"/>
    </row>
    <row r="4265" spans="1:16" x14ac:dyDescent="0.2">
      <c r="A4265" s="158"/>
      <c r="B4265" s="188"/>
      <c r="C4265" s="189"/>
      <c r="D4265" s="165"/>
      <c r="E4265" s="165"/>
      <c r="F4265" s="165"/>
      <c r="G4265" s="165"/>
      <c r="H4265" s="165"/>
      <c r="I4265" s="190"/>
      <c r="J4265" s="191"/>
      <c r="K4265" s="192"/>
      <c r="L4265" s="55"/>
      <c r="M4265" s="55"/>
      <c r="N4265" s="55"/>
    </row>
    <row r="4266" spans="1:16" x14ac:dyDescent="0.2">
      <c r="A4266" s="145"/>
      <c r="B4266" s="146"/>
      <c r="C4266" s="147"/>
      <c r="D4266" s="147"/>
      <c r="E4266" s="147"/>
      <c r="F4266" s="147"/>
      <c r="G4266" s="147"/>
      <c r="H4266" s="147"/>
      <c r="I4266" s="147"/>
      <c r="J4266" s="148"/>
      <c r="K4266" s="132"/>
      <c r="L4266" s="133"/>
    </row>
    <row r="4267" spans="1:16" x14ac:dyDescent="0.2">
      <c r="A4267" s="199"/>
      <c r="B4267" s="188"/>
      <c r="C4267" s="189"/>
      <c r="D4267" s="165"/>
      <c r="E4267" s="165"/>
      <c r="F4267" s="165"/>
      <c r="G4267" s="165"/>
      <c r="H4267" s="165"/>
      <c r="I4267" s="190"/>
      <c r="J4267" s="191"/>
      <c r="K4267" s="54"/>
      <c r="L4267" s="171" t="s">
        <v>471</v>
      </c>
      <c r="M4267" s="54"/>
      <c r="N4267" s="55"/>
      <c r="O4267" s="55"/>
      <c r="P4267" s="55"/>
    </row>
    <row r="4268" spans="1:16" x14ac:dyDescent="0.2">
      <c r="A4268" s="158"/>
      <c r="B4268" s="188"/>
      <c r="C4268" s="189"/>
      <c r="D4268" s="165"/>
      <c r="E4268" s="165"/>
      <c r="F4268" s="165"/>
      <c r="G4268" s="165"/>
      <c r="H4268" s="165"/>
      <c r="I4268" s="190"/>
      <c r="J4268" s="191"/>
      <c r="K4268" s="54"/>
      <c r="L4268" s="657" t="s">
        <v>611</v>
      </c>
      <c r="M4268" s="657"/>
      <c r="N4268" s="657"/>
      <c r="O4268" s="657"/>
      <c r="P4268" s="657"/>
    </row>
    <row r="4269" spans="1:16" x14ac:dyDescent="0.2">
      <c r="A4269" s="145"/>
      <c r="B4269" s="146"/>
      <c r="C4269" s="147"/>
      <c r="D4269" s="147"/>
      <c r="E4269" s="147"/>
      <c r="F4269" s="147"/>
      <c r="G4269" s="147"/>
      <c r="H4269" s="147"/>
      <c r="I4269" s="147"/>
      <c r="J4269" s="148"/>
      <c r="K4269" s="132"/>
      <c r="L4269" s="133"/>
    </row>
    <row r="4270" spans="1:16" x14ac:dyDescent="0.2">
      <c r="A4270" s="199"/>
      <c r="B4270" s="188"/>
      <c r="C4270" s="189"/>
      <c r="D4270" s="165"/>
      <c r="E4270" s="165"/>
      <c r="F4270" s="165"/>
      <c r="G4270" s="165"/>
      <c r="H4270" s="165"/>
      <c r="I4270" s="190"/>
      <c r="J4270" s="191"/>
      <c r="K4270" s="192"/>
      <c r="L4270" s="55"/>
      <c r="M4270" s="55"/>
      <c r="N4270" s="55"/>
    </row>
    <row r="4271" spans="1:16" x14ac:dyDescent="0.2">
      <c r="A4271" s="158"/>
      <c r="B4271" s="188"/>
      <c r="C4271" s="189"/>
      <c r="D4271" s="165"/>
      <c r="E4271" s="165"/>
      <c r="F4271" s="165"/>
      <c r="G4271" s="165"/>
      <c r="H4271" s="165"/>
      <c r="I4271" s="190"/>
      <c r="J4271" s="191"/>
      <c r="K4271" s="192"/>
      <c r="L4271" s="55"/>
      <c r="M4271" s="55"/>
      <c r="N4271" s="55"/>
    </row>
    <row r="4272" spans="1:16" x14ac:dyDescent="0.2">
      <c r="A4272" s="145"/>
      <c r="B4272" s="146"/>
      <c r="C4272" s="147"/>
      <c r="D4272" s="147"/>
      <c r="E4272" s="147"/>
      <c r="F4272" s="147"/>
      <c r="G4272" s="147"/>
      <c r="H4272" s="147"/>
      <c r="I4272" s="147"/>
      <c r="J4272" s="148"/>
      <c r="K4272" s="132"/>
      <c r="L4272" s="133"/>
    </row>
    <row r="4273" spans="1:14" x14ac:dyDescent="0.2">
      <c r="A4273" s="199"/>
      <c r="B4273" s="188"/>
      <c r="C4273" s="189"/>
      <c r="D4273" s="165"/>
      <c r="E4273" s="165"/>
      <c r="F4273" s="165"/>
      <c r="G4273" s="165"/>
      <c r="H4273" s="165"/>
      <c r="I4273" s="190"/>
      <c r="J4273" s="191"/>
      <c r="K4273" s="192"/>
      <c r="L4273" s="55"/>
      <c r="M4273" s="55"/>
      <c r="N4273" s="55"/>
    </row>
    <row r="4274" spans="1:14" x14ac:dyDescent="0.2">
      <c r="A4274" s="158"/>
      <c r="B4274" s="188"/>
      <c r="C4274" s="189"/>
      <c r="D4274" s="165"/>
      <c r="E4274" s="165"/>
      <c r="F4274" s="165"/>
      <c r="G4274" s="165"/>
      <c r="H4274" s="165"/>
      <c r="I4274" s="190"/>
      <c r="J4274" s="191"/>
      <c r="K4274" s="192"/>
      <c r="L4274" s="55"/>
      <c r="M4274" s="55"/>
      <c r="N4274" s="55"/>
    </row>
    <row r="4275" spans="1:14" x14ac:dyDescent="0.2">
      <c r="A4275" s="145"/>
      <c r="B4275" s="146"/>
      <c r="C4275" s="147"/>
      <c r="D4275" s="147"/>
      <c r="E4275" s="147"/>
      <c r="F4275" s="147"/>
      <c r="G4275" s="147"/>
      <c r="H4275" s="147"/>
      <c r="I4275" s="147"/>
      <c r="J4275" s="148"/>
      <c r="K4275" s="132"/>
      <c r="L4275" s="133"/>
    </row>
    <row r="4276" spans="1:14" x14ac:dyDescent="0.2">
      <c r="A4276" s="199"/>
      <c r="B4276" s="188"/>
      <c r="C4276" s="189"/>
      <c r="D4276" s="165"/>
      <c r="E4276" s="165"/>
      <c r="F4276" s="165"/>
      <c r="G4276" s="165"/>
      <c r="H4276" s="165"/>
      <c r="I4276" s="190"/>
      <c r="J4276" s="191"/>
      <c r="K4276" s="192"/>
      <c r="L4276" s="55"/>
      <c r="M4276" s="55"/>
      <c r="N4276" s="55"/>
    </row>
    <row r="4277" spans="1:14" x14ac:dyDescent="0.2">
      <c r="A4277" s="158"/>
      <c r="B4277" s="188"/>
      <c r="C4277" s="189"/>
      <c r="D4277" s="165"/>
      <c r="E4277" s="165"/>
      <c r="F4277" s="165"/>
      <c r="G4277" s="165"/>
      <c r="H4277" s="165"/>
      <c r="I4277" s="190"/>
      <c r="J4277" s="191"/>
      <c r="K4277" s="192"/>
      <c r="L4277" s="55"/>
      <c r="M4277" s="55"/>
      <c r="N4277" s="55"/>
    </row>
    <row r="4278" spans="1:14" x14ac:dyDescent="0.2">
      <c r="A4278" s="145"/>
      <c r="B4278" s="146"/>
      <c r="C4278" s="147"/>
      <c r="D4278" s="147"/>
      <c r="E4278" s="147"/>
      <c r="F4278" s="147"/>
      <c r="G4278" s="147"/>
      <c r="H4278" s="147"/>
      <c r="I4278" s="147"/>
      <c r="J4278" s="148"/>
      <c r="K4278" s="132"/>
      <c r="L4278" s="133"/>
    </row>
    <row r="4279" spans="1:14" x14ac:dyDescent="0.2">
      <c r="A4279" s="199"/>
      <c r="B4279" s="188"/>
      <c r="C4279" s="189"/>
      <c r="D4279" s="165"/>
      <c r="E4279" s="165"/>
      <c r="F4279" s="165"/>
      <c r="G4279" s="165"/>
      <c r="H4279" s="165"/>
      <c r="I4279" s="190"/>
      <c r="J4279" s="191"/>
      <c r="K4279" s="192"/>
      <c r="L4279" s="55"/>
      <c r="M4279" s="55"/>
      <c r="N4279" s="55"/>
    </row>
    <row r="4280" spans="1:14" x14ac:dyDescent="0.2">
      <c r="A4280" s="158"/>
      <c r="B4280" s="188"/>
      <c r="C4280" s="189"/>
      <c r="D4280" s="165"/>
      <c r="E4280" s="165"/>
      <c r="F4280" s="165"/>
      <c r="G4280" s="165"/>
      <c r="H4280" s="165"/>
      <c r="I4280" s="190"/>
      <c r="J4280" s="191"/>
      <c r="K4280" s="192"/>
      <c r="L4280" s="55"/>
      <c r="M4280" s="55"/>
      <c r="N4280" s="55"/>
    </row>
    <row r="4281" spans="1:14" x14ac:dyDescent="0.2">
      <c r="A4281" s="145"/>
      <c r="B4281" s="146"/>
      <c r="C4281" s="147"/>
      <c r="D4281" s="147"/>
      <c r="E4281" s="147"/>
      <c r="F4281" s="147"/>
      <c r="G4281" s="147"/>
      <c r="H4281" s="147"/>
      <c r="I4281" s="147"/>
      <c r="J4281" s="148"/>
      <c r="K4281" s="132"/>
      <c r="L4281" s="133"/>
    </row>
    <row r="4282" spans="1:14" ht="13.5" thickBot="1" x14ac:dyDescent="0.25">
      <c r="A4282" s="149"/>
      <c r="B4282" s="150"/>
      <c r="C4282" s="151"/>
      <c r="D4282" s="151"/>
      <c r="E4282" s="151"/>
      <c r="F4282" s="151"/>
      <c r="G4282" s="151"/>
      <c r="H4282" s="151"/>
      <c r="I4282" s="151"/>
      <c r="J4282" s="152"/>
      <c r="K4282" s="132"/>
      <c r="L4282" s="133"/>
    </row>
    <row r="4283" spans="1:14" ht="13.5" thickBot="1" x14ac:dyDescent="0.25">
      <c r="A4283" s="153"/>
      <c r="B4283" s="153"/>
      <c r="C4283" s="154"/>
      <c r="D4283" s="154"/>
      <c r="E4283" s="154"/>
      <c r="F4283" s="154"/>
      <c r="G4283" s="154"/>
      <c r="H4283" s="154"/>
      <c r="I4283" s="154"/>
      <c r="J4283" s="153"/>
      <c r="K4283" s="132"/>
      <c r="L4283" s="133"/>
    </row>
    <row r="4284" spans="1:14" ht="13.5" thickBot="1" x14ac:dyDescent="0.25">
      <c r="A4284" s="614" t="s">
        <v>62</v>
      </c>
      <c r="B4284" s="648"/>
      <c r="C4284" s="648"/>
      <c r="D4284" s="648"/>
      <c r="E4284" s="648"/>
      <c r="F4284" s="648"/>
      <c r="G4284" s="648"/>
      <c r="H4284" s="648"/>
      <c r="I4284" s="648"/>
      <c r="J4284" s="649"/>
      <c r="K4284" s="132"/>
      <c r="L4284" s="133"/>
    </row>
    <row r="4285" spans="1:14" x14ac:dyDescent="0.2">
      <c r="A4285" s="136"/>
      <c r="B4285" s="155"/>
      <c r="C4285" s="156"/>
      <c r="D4285" s="156"/>
      <c r="E4285" s="156"/>
      <c r="F4285" s="156"/>
      <c r="G4285" s="156"/>
      <c r="H4285" s="156"/>
      <c r="I4285" s="156"/>
      <c r="J4285" s="157"/>
      <c r="K4285" s="132"/>
      <c r="L4285" s="133"/>
    </row>
    <row r="4286" spans="1:14" ht="12.75" customHeight="1" x14ac:dyDescent="0.2">
      <c r="A4286" s="158" t="s">
        <v>63</v>
      </c>
      <c r="B4286" s="55"/>
      <c r="C4286" s="652" t="s">
        <v>655</v>
      </c>
      <c r="D4286" s="652"/>
      <c r="E4286" s="652"/>
      <c r="F4286" s="652"/>
      <c r="G4286" s="652"/>
      <c r="H4286" s="652"/>
      <c r="I4286" s="652"/>
      <c r="J4286" s="653"/>
      <c r="K4286" s="132"/>
      <c r="L4286" s="133"/>
    </row>
    <row r="4287" spans="1:14" x14ac:dyDescent="0.2">
      <c r="A4287" s="158"/>
      <c r="B4287" s="55"/>
      <c r="C4287" s="652"/>
      <c r="D4287" s="652"/>
      <c r="E4287" s="652"/>
      <c r="F4287" s="652"/>
      <c r="G4287" s="652"/>
      <c r="H4287" s="652"/>
      <c r="I4287" s="652"/>
      <c r="J4287" s="653"/>
      <c r="K4287" s="132"/>
      <c r="L4287" s="133"/>
    </row>
    <row r="4288" spans="1:14" x14ac:dyDescent="0.2">
      <c r="A4288" s="158"/>
      <c r="B4288" s="55"/>
      <c r="C4288" s="652"/>
      <c r="D4288" s="652"/>
      <c r="E4288" s="652"/>
      <c r="F4288" s="652"/>
      <c r="G4288" s="652"/>
      <c r="H4288" s="652"/>
      <c r="I4288" s="652"/>
      <c r="J4288" s="653"/>
      <c r="K4288" s="132"/>
      <c r="L4288" s="133"/>
    </row>
    <row r="4289" spans="1:12" ht="12.75" customHeight="1" x14ac:dyDescent="0.2">
      <c r="A4289" s="158"/>
      <c r="B4289" s="55"/>
      <c r="C4289" s="652"/>
      <c r="D4289" s="652"/>
      <c r="E4289" s="652"/>
      <c r="F4289" s="652"/>
      <c r="G4289" s="652"/>
      <c r="H4289" s="652"/>
      <c r="I4289" s="652"/>
      <c r="J4289" s="653"/>
      <c r="K4289" s="132"/>
      <c r="L4289" s="133"/>
    </row>
    <row r="4290" spans="1:12" ht="12.75" customHeight="1" x14ac:dyDescent="0.2">
      <c r="A4290" s="158"/>
      <c r="B4290" s="55"/>
      <c r="C4290" s="652"/>
      <c r="D4290" s="652"/>
      <c r="E4290" s="652"/>
      <c r="F4290" s="652"/>
      <c r="G4290" s="652"/>
      <c r="H4290" s="652"/>
      <c r="I4290" s="652"/>
      <c r="J4290" s="653"/>
      <c r="K4290" s="132"/>
      <c r="L4290" s="133"/>
    </row>
    <row r="4291" spans="1:12" ht="12.75" customHeight="1" x14ac:dyDescent="0.2">
      <c r="A4291" s="158"/>
      <c r="B4291" s="55"/>
      <c r="C4291" s="652"/>
      <c r="D4291" s="652"/>
      <c r="E4291" s="652"/>
      <c r="F4291" s="652"/>
      <c r="G4291" s="652"/>
      <c r="H4291" s="652"/>
      <c r="I4291" s="652"/>
      <c r="J4291" s="653"/>
      <c r="K4291" s="133"/>
      <c r="L4291" s="133"/>
    </row>
    <row r="4292" spans="1:12" ht="12.75" customHeight="1" x14ac:dyDescent="0.2">
      <c r="A4292" s="158"/>
      <c r="B4292" s="55"/>
      <c r="C4292" s="175"/>
      <c r="D4292" s="175"/>
      <c r="E4292" s="175"/>
      <c r="F4292" s="175"/>
      <c r="G4292" s="175"/>
      <c r="H4292" s="175"/>
      <c r="I4292" s="175"/>
      <c r="J4292" s="176"/>
      <c r="K4292" s="132"/>
      <c r="L4292" s="133"/>
    </row>
    <row r="4293" spans="1:12" x14ac:dyDescent="0.2">
      <c r="A4293" s="158" t="s">
        <v>64</v>
      </c>
      <c r="B4293" s="55"/>
      <c r="C4293" s="596" t="s">
        <v>610</v>
      </c>
      <c r="D4293" s="596"/>
      <c r="E4293" s="596"/>
      <c r="F4293" s="596"/>
      <c r="G4293" s="596"/>
      <c r="H4293" s="596"/>
      <c r="I4293" s="596"/>
      <c r="J4293" s="597"/>
      <c r="K4293" s="132"/>
      <c r="L4293" s="133"/>
    </row>
    <row r="4294" spans="1:12" x14ac:dyDescent="0.2">
      <c r="A4294" s="158"/>
      <c r="B4294" s="55"/>
      <c r="C4294" s="596"/>
      <c r="D4294" s="596"/>
      <c r="E4294" s="596"/>
      <c r="F4294" s="596"/>
      <c r="G4294" s="596"/>
      <c r="H4294" s="596"/>
      <c r="I4294" s="596"/>
      <c r="J4294" s="597"/>
      <c r="K4294" s="132"/>
      <c r="L4294" s="133"/>
    </row>
    <row r="4295" spans="1:12" x14ac:dyDescent="0.2">
      <c r="A4295" s="158"/>
      <c r="B4295" s="55"/>
      <c r="C4295" s="596"/>
      <c r="D4295" s="596"/>
      <c r="E4295" s="596"/>
      <c r="F4295" s="596"/>
      <c r="G4295" s="596"/>
      <c r="H4295" s="596"/>
      <c r="I4295" s="596"/>
      <c r="J4295" s="597"/>
      <c r="K4295" s="132"/>
      <c r="L4295" s="133"/>
    </row>
    <row r="4296" spans="1:12" x14ac:dyDescent="0.2">
      <c r="A4296" s="158"/>
      <c r="B4296" s="55"/>
      <c r="C4296" s="180"/>
      <c r="D4296" s="180"/>
      <c r="E4296" s="180"/>
      <c r="F4296" s="180"/>
      <c r="G4296" s="180"/>
      <c r="H4296" s="180"/>
      <c r="I4296" s="180"/>
      <c r="J4296" s="181"/>
      <c r="K4296" s="132"/>
      <c r="L4296" s="133"/>
    </row>
    <row r="4297" spans="1:12" x14ac:dyDescent="0.2">
      <c r="A4297" s="139" t="s">
        <v>157</v>
      </c>
      <c r="B4297" s="56"/>
      <c r="C4297" s="652" t="s">
        <v>867</v>
      </c>
      <c r="D4297" s="652"/>
      <c r="E4297" s="652"/>
      <c r="F4297" s="652"/>
      <c r="G4297" s="652"/>
      <c r="H4297" s="652"/>
      <c r="I4297" s="652"/>
      <c r="J4297" s="653"/>
      <c r="K4297" s="132"/>
      <c r="L4297" s="133"/>
    </row>
    <row r="4298" spans="1:12" ht="12.75" customHeight="1" x14ac:dyDescent="0.2">
      <c r="A4298" s="158"/>
      <c r="B4298" s="55"/>
      <c r="C4298" s="652"/>
      <c r="D4298" s="652"/>
      <c r="E4298" s="652"/>
      <c r="F4298" s="652"/>
      <c r="G4298" s="652"/>
      <c r="H4298" s="652"/>
      <c r="I4298" s="652"/>
      <c r="J4298" s="653"/>
      <c r="K4298" s="132"/>
      <c r="L4298" s="133"/>
    </row>
    <row r="4299" spans="1:12" ht="12.75" customHeight="1" x14ac:dyDescent="0.2">
      <c r="A4299" s="158"/>
      <c r="B4299" s="55"/>
      <c r="C4299" s="662" t="s">
        <v>868</v>
      </c>
      <c r="D4299" s="662"/>
      <c r="E4299" s="662"/>
      <c r="F4299" s="662"/>
      <c r="G4299" s="662"/>
      <c r="H4299" s="662"/>
      <c r="I4299" s="662"/>
      <c r="J4299" s="663"/>
      <c r="K4299" s="132"/>
      <c r="L4299" s="133"/>
    </row>
    <row r="4300" spans="1:12" x14ac:dyDescent="0.2">
      <c r="A4300" s="158"/>
      <c r="B4300" s="55"/>
      <c r="C4300" s="596" t="s">
        <v>869</v>
      </c>
      <c r="D4300" s="596"/>
      <c r="E4300" s="596"/>
      <c r="F4300" s="596"/>
      <c r="G4300" s="596"/>
      <c r="H4300" s="596"/>
      <c r="I4300" s="596"/>
      <c r="J4300" s="597"/>
      <c r="K4300" s="132"/>
      <c r="L4300" s="133"/>
    </row>
    <row r="4301" spans="1:12" x14ac:dyDescent="0.2">
      <c r="A4301" s="158"/>
      <c r="B4301" s="55"/>
      <c r="C4301" s="596"/>
      <c r="D4301" s="596"/>
      <c r="E4301" s="596"/>
      <c r="F4301" s="596"/>
      <c r="G4301" s="596"/>
      <c r="H4301" s="596"/>
      <c r="I4301" s="596"/>
      <c r="J4301" s="597"/>
      <c r="K4301" s="132"/>
      <c r="L4301" s="133"/>
    </row>
    <row r="4302" spans="1:12" x14ac:dyDescent="0.2">
      <c r="J4302" s="315"/>
      <c r="K4302" s="132"/>
      <c r="L4302" s="133"/>
    </row>
    <row r="4303" spans="1:12" ht="12.75" customHeight="1" x14ac:dyDescent="0.2">
      <c r="A4303" s="158"/>
      <c r="B4303" s="55"/>
      <c r="C4303" s="175"/>
      <c r="D4303" s="175"/>
      <c r="E4303" s="175"/>
      <c r="F4303" s="175"/>
      <c r="G4303" s="175"/>
      <c r="H4303" s="175"/>
      <c r="I4303" s="175"/>
      <c r="J4303" s="176"/>
      <c r="K4303" s="132"/>
      <c r="L4303" s="133"/>
    </row>
    <row r="4304" spans="1:12" x14ac:dyDescent="0.2">
      <c r="J4304" s="315"/>
      <c r="K4304" s="132"/>
      <c r="L4304" s="133"/>
    </row>
    <row r="4305" spans="1:14" x14ac:dyDescent="0.2">
      <c r="J4305" s="315"/>
      <c r="K4305" s="132"/>
      <c r="L4305" s="133"/>
    </row>
    <row r="4306" spans="1:14" ht="12.75" customHeight="1" x14ac:dyDescent="0.2">
      <c r="J4306" s="315"/>
      <c r="K4306" s="132"/>
      <c r="L4306" s="133"/>
    </row>
    <row r="4307" spans="1:14" x14ac:dyDescent="0.2">
      <c r="J4307" s="315"/>
      <c r="K4307" s="132"/>
      <c r="L4307" s="133"/>
    </row>
    <row r="4308" spans="1:14" ht="13.5" thickBot="1" x14ac:dyDescent="0.25">
      <c r="A4308" s="149"/>
      <c r="B4308" s="167"/>
      <c r="C4308" s="151"/>
      <c r="D4308" s="151"/>
      <c r="E4308" s="151"/>
      <c r="F4308" s="151"/>
      <c r="G4308" s="151"/>
      <c r="H4308" s="151"/>
      <c r="I4308" s="151"/>
      <c r="J4308" s="168"/>
      <c r="K4308" s="132"/>
      <c r="L4308" s="133"/>
    </row>
    <row r="4309" spans="1:14" ht="15.75" x14ac:dyDescent="0.2">
      <c r="A4309" s="602" t="s">
        <v>4</v>
      </c>
      <c r="B4309" s="603"/>
      <c r="C4309" s="603" t="str">
        <f>'A IV.A'!$B$134</f>
        <v>PINTURAS - ITEM 11.0 DO TERMO DE REFERÊNCIA</v>
      </c>
      <c r="D4309" s="603"/>
      <c r="E4309" s="603"/>
      <c r="F4309" s="603"/>
      <c r="G4309" s="603"/>
      <c r="H4309" s="603"/>
      <c r="I4309" s="603"/>
      <c r="J4309" s="604"/>
      <c r="K4309" s="132"/>
      <c r="L4309" s="133"/>
    </row>
    <row r="4310" spans="1:14" x14ac:dyDescent="0.2">
      <c r="A4310" s="609" t="str">
        <f>'A IV.A'!$A$134</f>
        <v>6.0</v>
      </c>
      <c r="B4310" s="610"/>
      <c r="C4310" s="605"/>
      <c r="D4310" s="605"/>
      <c r="E4310" s="605"/>
      <c r="F4310" s="605"/>
      <c r="G4310" s="605"/>
      <c r="H4310" s="605"/>
      <c r="I4310" s="605"/>
      <c r="J4310" s="606"/>
      <c r="K4310" s="132"/>
      <c r="L4310" s="133"/>
    </row>
    <row r="4311" spans="1:14" ht="13.5" thickBot="1" x14ac:dyDescent="0.25">
      <c r="A4311" s="611" t="str">
        <f>'A IV.A'!$A$134</f>
        <v>6.0</v>
      </c>
      <c r="B4311" s="612"/>
      <c r="C4311" s="607"/>
      <c r="D4311" s="607"/>
      <c r="E4311" s="607"/>
      <c r="F4311" s="607"/>
      <c r="G4311" s="607"/>
      <c r="H4311" s="607"/>
      <c r="I4311" s="607"/>
      <c r="J4311" s="608"/>
      <c r="K4311" s="132"/>
      <c r="L4311" s="133"/>
    </row>
    <row r="4312" spans="1:14" ht="13.5" thickBot="1" x14ac:dyDescent="0.25">
      <c r="A4312" s="169"/>
      <c r="B4312" s="169"/>
      <c r="C4312" s="613"/>
      <c r="D4312" s="613"/>
      <c r="E4312" s="613"/>
      <c r="F4312" s="613"/>
      <c r="G4312" s="613"/>
      <c r="H4312" s="613"/>
      <c r="I4312" s="613"/>
      <c r="J4312" s="169"/>
      <c r="K4312" s="132"/>
      <c r="L4312" s="133"/>
    </row>
    <row r="4313" spans="1:14" ht="13.5" thickBot="1" x14ac:dyDescent="0.25">
      <c r="A4313" s="632" t="s">
        <v>60</v>
      </c>
      <c r="B4313" s="633"/>
      <c r="C4313" s="656" t="s">
        <v>61</v>
      </c>
      <c r="D4313" s="656"/>
      <c r="E4313" s="656"/>
      <c r="F4313" s="656"/>
      <c r="G4313" s="656"/>
      <c r="H4313" s="656"/>
      <c r="I4313" s="656"/>
      <c r="J4313" s="260" t="s">
        <v>0</v>
      </c>
      <c r="K4313" s="132"/>
      <c r="L4313" s="133"/>
    </row>
    <row r="4314" spans="1:14" x14ac:dyDescent="0.2">
      <c r="A4314" s="136"/>
      <c r="B4314" s="137"/>
      <c r="C4314" s="619"/>
      <c r="D4314" s="620"/>
      <c r="E4314" s="621"/>
      <c r="F4314" s="621"/>
      <c r="G4314" s="621"/>
      <c r="H4314" s="621"/>
      <c r="I4314" s="622"/>
      <c r="J4314" s="138"/>
      <c r="K4314" s="132"/>
      <c r="L4314" s="133"/>
    </row>
    <row r="4315" spans="1:14" x14ac:dyDescent="0.2">
      <c r="A4315" s="623" t="str">
        <f>'A IV.A'!A140</f>
        <v>6.3</v>
      </c>
      <c r="B4315" s="624"/>
      <c r="C4315" s="626" t="str">
        <f>'A IV.A'!B140</f>
        <v>PINTURA LÁTEX ACRÍLICA EM ALVENARIA OU CONCRETO EM GERAL</v>
      </c>
      <c r="D4315" s="627"/>
      <c r="E4315" s="627"/>
      <c r="F4315" s="627"/>
      <c r="G4315" s="627"/>
      <c r="H4315" s="627"/>
      <c r="I4315" s="628"/>
      <c r="J4315" s="629" t="str">
        <f>'A IV.A'!C140</f>
        <v>M2</v>
      </c>
      <c r="K4315" s="630" t="str">
        <f>VLOOKUP(A4315,'A IV.A'!$A$14:$M$233,2,FALSE)</f>
        <v>PINTURA LÁTEX ACRÍLICA EM ALVENARIA OU CONCRETO EM GERAL</v>
      </c>
      <c r="L4315" s="631" t="str">
        <f>IF(C4315=K4315,"sim","nao")</f>
        <v>sim</v>
      </c>
      <c r="M4315" s="631" t="str">
        <f>VLOOKUP(A4315,'A IV.A'!$A$14:$M$233,3,FALSE)</f>
        <v>M2</v>
      </c>
      <c r="N4315" s="631" t="str">
        <f>IF(J4315=M4315,"sim","nao")</f>
        <v>sim</v>
      </c>
    </row>
    <row r="4316" spans="1:14" x14ac:dyDescent="0.2">
      <c r="A4316" s="625"/>
      <c r="B4316" s="624"/>
      <c r="C4316" s="626"/>
      <c r="D4316" s="627"/>
      <c r="E4316" s="627"/>
      <c r="F4316" s="627"/>
      <c r="G4316" s="627"/>
      <c r="H4316" s="627"/>
      <c r="I4316" s="628"/>
      <c r="J4316" s="629"/>
      <c r="K4316" s="630"/>
      <c r="L4316" s="631"/>
      <c r="M4316" s="631"/>
      <c r="N4316" s="631"/>
    </row>
    <row r="4317" spans="1:14" x14ac:dyDescent="0.2">
      <c r="A4317" s="139"/>
      <c r="B4317" s="140"/>
      <c r="C4317" s="141"/>
      <c r="D4317" s="142"/>
      <c r="E4317" s="142"/>
      <c r="F4317" s="142"/>
      <c r="G4317" s="142"/>
      <c r="H4317" s="142"/>
      <c r="I4317" s="143"/>
      <c r="J4317" s="144"/>
      <c r="K4317" s="132"/>
      <c r="L4317" s="133"/>
    </row>
    <row r="4318" spans="1:14" x14ac:dyDescent="0.2">
      <c r="A4318" s="199"/>
      <c r="B4318" s="188"/>
      <c r="C4318" s="189"/>
      <c r="D4318" s="165"/>
      <c r="E4318" s="165"/>
      <c r="F4318" s="165"/>
      <c r="G4318" s="165"/>
      <c r="H4318" s="165"/>
      <c r="I4318" s="190"/>
      <c r="J4318" s="191"/>
      <c r="K4318" s="192"/>
      <c r="L4318" s="55"/>
      <c r="M4318" s="55"/>
      <c r="N4318" s="55"/>
    </row>
    <row r="4319" spans="1:14" x14ac:dyDescent="0.2">
      <c r="A4319" s="158"/>
      <c r="B4319" s="188"/>
      <c r="C4319" s="189"/>
      <c r="D4319" s="165"/>
      <c r="E4319" s="165"/>
      <c r="F4319" s="165"/>
      <c r="G4319" s="165"/>
      <c r="H4319" s="165"/>
      <c r="I4319" s="190"/>
      <c r="J4319" s="191"/>
      <c r="K4319" s="192"/>
      <c r="L4319" s="55"/>
      <c r="M4319" s="55"/>
      <c r="N4319" s="55"/>
    </row>
    <row r="4320" spans="1:14" x14ac:dyDescent="0.2">
      <c r="A4320" s="145"/>
      <c r="B4320" s="146"/>
      <c r="C4320" s="147"/>
      <c r="D4320" s="147"/>
      <c r="E4320" s="147"/>
      <c r="F4320" s="147"/>
      <c r="G4320" s="147"/>
      <c r="H4320" s="147"/>
      <c r="I4320" s="147"/>
      <c r="J4320" s="148"/>
      <c r="K4320" s="132"/>
      <c r="L4320" s="133"/>
    </row>
    <row r="4321" spans="1:14" x14ac:dyDescent="0.2">
      <c r="A4321" s="199"/>
      <c r="B4321" s="188"/>
      <c r="C4321" s="189"/>
      <c r="D4321" s="165"/>
      <c r="E4321" s="165"/>
      <c r="F4321" s="165"/>
      <c r="G4321" s="165"/>
      <c r="H4321" s="165"/>
      <c r="I4321" s="190"/>
      <c r="J4321" s="191"/>
      <c r="K4321" s="192"/>
      <c r="L4321" s="55"/>
      <c r="M4321" s="55"/>
      <c r="N4321" s="55"/>
    </row>
    <row r="4322" spans="1:14" x14ac:dyDescent="0.2">
      <c r="A4322" s="158"/>
      <c r="B4322" s="188"/>
      <c r="C4322" s="189"/>
      <c r="D4322" s="165"/>
      <c r="E4322" s="165"/>
      <c r="F4322" s="165"/>
      <c r="G4322" s="165"/>
      <c r="H4322" s="165"/>
      <c r="I4322" s="190"/>
      <c r="J4322" s="191"/>
      <c r="K4322" s="192"/>
      <c r="L4322" s="55"/>
      <c r="M4322" s="55"/>
      <c r="N4322" s="55"/>
    </row>
    <row r="4323" spans="1:14" x14ac:dyDescent="0.2">
      <c r="A4323" s="145"/>
      <c r="B4323" s="146"/>
      <c r="C4323" s="147"/>
      <c r="D4323" s="147"/>
      <c r="E4323" s="147"/>
      <c r="F4323" s="147"/>
      <c r="G4323" s="147"/>
      <c r="H4323" s="147"/>
      <c r="I4323" s="147"/>
      <c r="J4323" s="148"/>
      <c r="K4323" s="132"/>
      <c r="L4323" s="133"/>
    </row>
    <row r="4324" spans="1:14" x14ac:dyDescent="0.2">
      <c r="A4324" s="199"/>
      <c r="B4324" s="188"/>
      <c r="C4324" s="189"/>
      <c r="D4324" s="165"/>
      <c r="E4324" s="165"/>
      <c r="F4324" s="165"/>
      <c r="G4324" s="165"/>
      <c r="H4324" s="165"/>
      <c r="I4324" s="190"/>
      <c r="J4324" s="191"/>
      <c r="K4324" s="192"/>
      <c r="L4324" s="55"/>
      <c r="M4324" s="55"/>
      <c r="N4324" s="55"/>
    </row>
    <row r="4325" spans="1:14" x14ac:dyDescent="0.2">
      <c r="A4325" s="158"/>
      <c r="B4325" s="188"/>
      <c r="C4325" s="189"/>
      <c r="D4325" s="165"/>
      <c r="E4325" s="165"/>
      <c r="F4325" s="165"/>
      <c r="G4325" s="165"/>
      <c r="H4325" s="165"/>
      <c r="I4325" s="190"/>
      <c r="J4325" s="191"/>
      <c r="K4325" s="192"/>
      <c r="L4325" s="55"/>
      <c r="M4325" s="55"/>
      <c r="N4325" s="55"/>
    </row>
    <row r="4326" spans="1:14" x14ac:dyDescent="0.2">
      <c r="A4326" s="145"/>
      <c r="B4326" s="146"/>
      <c r="C4326" s="147"/>
      <c r="D4326" s="147"/>
      <c r="E4326" s="147"/>
      <c r="F4326" s="147"/>
      <c r="G4326" s="147"/>
      <c r="H4326" s="147"/>
      <c r="I4326" s="147"/>
      <c r="J4326" s="148"/>
      <c r="K4326" s="132"/>
      <c r="L4326" s="133"/>
    </row>
    <row r="4327" spans="1:14" x14ac:dyDescent="0.2">
      <c r="A4327" s="199"/>
      <c r="B4327" s="188"/>
      <c r="C4327" s="189"/>
      <c r="D4327" s="165"/>
      <c r="E4327" s="165"/>
      <c r="F4327" s="165"/>
      <c r="G4327" s="165"/>
      <c r="H4327" s="165"/>
      <c r="I4327" s="190"/>
      <c r="J4327" s="191"/>
      <c r="K4327" s="192"/>
      <c r="L4327" s="55"/>
      <c r="M4327" s="55"/>
      <c r="N4327" s="55"/>
    </row>
    <row r="4328" spans="1:14" x14ac:dyDescent="0.2">
      <c r="A4328" s="158"/>
      <c r="B4328" s="188"/>
      <c r="C4328" s="189"/>
      <c r="D4328" s="165"/>
      <c r="E4328" s="165"/>
      <c r="F4328" s="165"/>
      <c r="G4328" s="165"/>
      <c r="H4328" s="165"/>
      <c r="I4328" s="190"/>
      <c r="J4328" s="191"/>
      <c r="K4328" s="192"/>
      <c r="L4328" s="55"/>
      <c r="M4328" s="55"/>
      <c r="N4328" s="55"/>
    </row>
    <row r="4329" spans="1:14" x14ac:dyDescent="0.2">
      <c r="A4329" s="145"/>
      <c r="B4329" s="146"/>
      <c r="C4329" s="147"/>
      <c r="D4329" s="147"/>
      <c r="E4329" s="147"/>
      <c r="F4329" s="147"/>
      <c r="G4329" s="147"/>
      <c r="H4329" s="147"/>
      <c r="I4329" s="147"/>
      <c r="J4329" s="148"/>
      <c r="K4329" s="132"/>
      <c r="L4329" s="133"/>
    </row>
    <row r="4330" spans="1:14" x14ac:dyDescent="0.2">
      <c r="A4330" s="199"/>
      <c r="B4330" s="188"/>
      <c r="C4330" s="189"/>
      <c r="D4330" s="165"/>
      <c r="E4330" s="165"/>
      <c r="F4330" s="165"/>
      <c r="G4330" s="165"/>
      <c r="H4330" s="165"/>
      <c r="I4330" s="190"/>
      <c r="J4330" s="191"/>
      <c r="K4330" s="192"/>
      <c r="L4330" s="55"/>
      <c r="M4330" s="55"/>
      <c r="N4330" s="55"/>
    </row>
    <row r="4331" spans="1:14" x14ac:dyDescent="0.2">
      <c r="A4331" s="158"/>
      <c r="B4331" s="188"/>
      <c r="C4331" s="189"/>
      <c r="D4331" s="165"/>
      <c r="E4331" s="165"/>
      <c r="F4331" s="165"/>
      <c r="G4331" s="165"/>
      <c r="H4331" s="165"/>
      <c r="I4331" s="190"/>
      <c r="J4331" s="191"/>
      <c r="K4331" s="192"/>
      <c r="L4331" s="55"/>
      <c r="M4331" s="55"/>
      <c r="N4331" s="55"/>
    </row>
    <row r="4332" spans="1:14" x14ac:dyDescent="0.2">
      <c r="A4332" s="145"/>
      <c r="B4332" s="146"/>
      <c r="C4332" s="147"/>
      <c r="D4332" s="147"/>
      <c r="E4332" s="147"/>
      <c r="F4332" s="147"/>
      <c r="G4332" s="147"/>
      <c r="H4332" s="147"/>
      <c r="I4332" s="147"/>
      <c r="J4332" s="148"/>
      <c r="K4332" s="132"/>
      <c r="L4332" s="133"/>
    </row>
    <row r="4333" spans="1:14" ht="13.5" thickBot="1" x14ac:dyDescent="0.25">
      <c r="A4333" s="149"/>
      <c r="B4333" s="150"/>
      <c r="C4333" s="151"/>
      <c r="D4333" s="151"/>
      <c r="E4333" s="151"/>
      <c r="F4333" s="151"/>
      <c r="G4333" s="151"/>
      <c r="H4333" s="151"/>
      <c r="I4333" s="151"/>
      <c r="J4333" s="152"/>
      <c r="K4333" s="132"/>
      <c r="L4333" s="133"/>
    </row>
    <row r="4334" spans="1:14" ht="13.5" thickBot="1" x14ac:dyDescent="0.25">
      <c r="A4334" s="153"/>
      <c r="B4334" s="153"/>
      <c r="C4334" s="154"/>
      <c r="D4334" s="154"/>
      <c r="E4334" s="154"/>
      <c r="F4334" s="154"/>
      <c r="G4334" s="154"/>
      <c r="H4334" s="154"/>
      <c r="I4334" s="154"/>
      <c r="J4334" s="153"/>
      <c r="K4334" s="132"/>
      <c r="L4334" s="133"/>
    </row>
    <row r="4335" spans="1:14" ht="13.5" thickBot="1" x14ac:dyDescent="0.25">
      <c r="A4335" s="614" t="s">
        <v>62</v>
      </c>
      <c r="B4335" s="648"/>
      <c r="C4335" s="648"/>
      <c r="D4335" s="648"/>
      <c r="E4335" s="648"/>
      <c r="F4335" s="648"/>
      <c r="G4335" s="648"/>
      <c r="H4335" s="648"/>
      <c r="I4335" s="648"/>
      <c r="J4335" s="649"/>
      <c r="K4335" s="132"/>
      <c r="L4335" s="133"/>
    </row>
    <row r="4336" spans="1:14" x14ac:dyDescent="0.2">
      <c r="A4336" s="136"/>
      <c r="B4336" s="155"/>
      <c r="C4336" s="156"/>
      <c r="D4336" s="156"/>
      <c r="E4336" s="156"/>
      <c r="F4336" s="156"/>
      <c r="G4336" s="156"/>
      <c r="H4336" s="156"/>
      <c r="I4336" s="156"/>
      <c r="J4336" s="157"/>
      <c r="K4336" s="132"/>
      <c r="L4336" s="133"/>
    </row>
    <row r="4337" spans="1:12" ht="12.75" customHeight="1" x14ac:dyDescent="0.2">
      <c r="A4337" s="158" t="s">
        <v>63</v>
      </c>
      <c r="B4337" s="55"/>
      <c r="C4337" s="596" t="s">
        <v>946</v>
      </c>
      <c r="D4337" s="596"/>
      <c r="E4337" s="596"/>
      <c r="F4337" s="596"/>
      <c r="G4337" s="596"/>
      <c r="H4337" s="596"/>
      <c r="I4337" s="596"/>
      <c r="J4337" s="597"/>
      <c r="K4337" s="132"/>
      <c r="L4337" s="133"/>
    </row>
    <row r="4338" spans="1:12" x14ac:dyDescent="0.2">
      <c r="A4338" s="158"/>
      <c r="B4338" s="55"/>
      <c r="C4338" s="596"/>
      <c r="D4338" s="596"/>
      <c r="E4338" s="596"/>
      <c r="F4338" s="596"/>
      <c r="G4338" s="596"/>
      <c r="H4338" s="596"/>
      <c r="I4338" s="596"/>
      <c r="J4338" s="597"/>
      <c r="K4338" s="132"/>
      <c r="L4338" s="133"/>
    </row>
    <row r="4339" spans="1:12" x14ac:dyDescent="0.2">
      <c r="A4339" s="158"/>
      <c r="B4339" s="55"/>
      <c r="C4339" s="596"/>
      <c r="D4339" s="596"/>
      <c r="E4339" s="596"/>
      <c r="F4339" s="596"/>
      <c r="G4339" s="596"/>
      <c r="H4339" s="596"/>
      <c r="I4339" s="596"/>
      <c r="J4339" s="597"/>
      <c r="K4339" s="132"/>
      <c r="L4339" s="133"/>
    </row>
    <row r="4340" spans="1:12" x14ac:dyDescent="0.2">
      <c r="A4340" s="158"/>
      <c r="B4340" s="55"/>
      <c r="C4340" s="596"/>
      <c r="D4340" s="596"/>
      <c r="E4340" s="596"/>
      <c r="F4340" s="596"/>
      <c r="G4340" s="596"/>
      <c r="H4340" s="596"/>
      <c r="I4340" s="596"/>
      <c r="J4340" s="597"/>
      <c r="K4340" s="132"/>
      <c r="L4340" s="133"/>
    </row>
    <row r="4341" spans="1:12" x14ac:dyDescent="0.2">
      <c r="A4341" s="158"/>
      <c r="B4341" s="55"/>
      <c r="C4341" s="596"/>
      <c r="D4341" s="596"/>
      <c r="E4341" s="596"/>
      <c r="F4341" s="596"/>
      <c r="G4341" s="596"/>
      <c r="H4341" s="596"/>
      <c r="I4341" s="596"/>
      <c r="J4341" s="597"/>
      <c r="K4341" s="132"/>
      <c r="L4341" s="133"/>
    </row>
    <row r="4342" spans="1:12" x14ac:dyDescent="0.2">
      <c r="A4342" s="158"/>
      <c r="B4342" s="55"/>
      <c r="C4342" s="596"/>
      <c r="D4342" s="596"/>
      <c r="E4342" s="596"/>
      <c r="F4342" s="596"/>
      <c r="G4342" s="596"/>
      <c r="H4342" s="596"/>
      <c r="I4342" s="596"/>
      <c r="J4342" s="597"/>
      <c r="K4342" s="132"/>
      <c r="L4342" s="133"/>
    </row>
    <row r="4343" spans="1:12" x14ac:dyDescent="0.2">
      <c r="A4343" s="139"/>
      <c r="B4343" s="56"/>
      <c r="C4343" s="596"/>
      <c r="D4343" s="596"/>
      <c r="E4343" s="596"/>
      <c r="F4343" s="596"/>
      <c r="G4343" s="596"/>
      <c r="H4343" s="596"/>
      <c r="I4343" s="596"/>
      <c r="J4343" s="597"/>
      <c r="K4343" s="132"/>
      <c r="L4343" s="133"/>
    </row>
    <row r="4344" spans="1:12" x14ac:dyDescent="0.2">
      <c r="A4344" s="161"/>
      <c r="B4344" s="2"/>
      <c r="C4344" s="175"/>
      <c r="D4344" s="175"/>
      <c r="E4344" s="175"/>
      <c r="F4344" s="175"/>
      <c r="G4344" s="175"/>
      <c r="H4344" s="175"/>
      <c r="I4344" s="175"/>
      <c r="J4344" s="176"/>
      <c r="K4344" s="132"/>
      <c r="L4344" s="133"/>
    </row>
    <row r="4345" spans="1:12" ht="12.75" customHeight="1" x14ac:dyDescent="0.2">
      <c r="A4345" s="671" t="s">
        <v>64</v>
      </c>
      <c r="B4345" s="672"/>
      <c r="C4345" s="596" t="s">
        <v>612</v>
      </c>
      <c r="D4345" s="596"/>
      <c r="E4345" s="596"/>
      <c r="F4345" s="596"/>
      <c r="G4345" s="596"/>
      <c r="H4345" s="596"/>
      <c r="I4345" s="596"/>
      <c r="J4345" s="597"/>
      <c r="K4345" s="132"/>
      <c r="L4345" s="133"/>
    </row>
    <row r="4346" spans="1:12" x14ac:dyDescent="0.2">
      <c r="A4346" s="158"/>
      <c r="B4346" s="55"/>
      <c r="C4346" s="596"/>
      <c r="D4346" s="596"/>
      <c r="E4346" s="596"/>
      <c r="F4346" s="596"/>
      <c r="G4346" s="596"/>
      <c r="H4346" s="596"/>
      <c r="I4346" s="596"/>
      <c r="J4346" s="597"/>
      <c r="K4346" s="132"/>
      <c r="L4346" s="133"/>
    </row>
    <row r="4347" spans="1:12" x14ac:dyDescent="0.2">
      <c r="A4347" s="158"/>
      <c r="B4347" s="55"/>
      <c r="C4347" s="596"/>
      <c r="D4347" s="596"/>
      <c r="E4347" s="596"/>
      <c r="F4347" s="596"/>
      <c r="G4347" s="596"/>
      <c r="H4347" s="596"/>
      <c r="I4347" s="596"/>
      <c r="J4347" s="597"/>
      <c r="K4347" s="132"/>
      <c r="L4347" s="133"/>
    </row>
    <row r="4348" spans="1:12" x14ac:dyDescent="0.2">
      <c r="A4348" s="158"/>
      <c r="B4348" s="55"/>
      <c r="C4348" s="71"/>
      <c r="D4348" s="71"/>
      <c r="E4348" s="71"/>
      <c r="F4348" s="71"/>
      <c r="G4348" s="71"/>
      <c r="H4348" s="71"/>
      <c r="I4348" s="71"/>
      <c r="J4348" s="174"/>
      <c r="K4348" s="132"/>
      <c r="L4348" s="133"/>
    </row>
    <row r="4349" spans="1:12" x14ac:dyDescent="0.2">
      <c r="A4349" s="139" t="s">
        <v>157</v>
      </c>
      <c r="B4349" s="56"/>
      <c r="C4349" s="652" t="s">
        <v>867</v>
      </c>
      <c r="D4349" s="652"/>
      <c r="E4349" s="652"/>
      <c r="F4349" s="652"/>
      <c r="G4349" s="652"/>
      <c r="H4349" s="652"/>
      <c r="I4349" s="652"/>
      <c r="J4349" s="653"/>
      <c r="K4349" s="132"/>
      <c r="L4349" s="133"/>
    </row>
    <row r="4350" spans="1:12" x14ac:dyDescent="0.2">
      <c r="A4350" s="158"/>
      <c r="B4350" s="55"/>
      <c r="C4350" s="652"/>
      <c r="D4350" s="652"/>
      <c r="E4350" s="652"/>
      <c r="F4350" s="652"/>
      <c r="G4350" s="652"/>
      <c r="H4350" s="652"/>
      <c r="I4350" s="652"/>
      <c r="J4350" s="653"/>
      <c r="K4350" s="132"/>
      <c r="L4350" s="133"/>
    </row>
    <row r="4351" spans="1:12" x14ac:dyDescent="0.2">
      <c r="A4351" s="158"/>
      <c r="B4351" s="55"/>
      <c r="C4351" s="662" t="s">
        <v>868</v>
      </c>
      <c r="D4351" s="662"/>
      <c r="E4351" s="662"/>
      <c r="F4351" s="662"/>
      <c r="G4351" s="662"/>
      <c r="H4351" s="662"/>
      <c r="I4351" s="662"/>
      <c r="J4351" s="663"/>
      <c r="K4351" s="132"/>
      <c r="L4351" s="133"/>
    </row>
    <row r="4352" spans="1:12" x14ac:dyDescent="0.2">
      <c r="A4352" s="158"/>
      <c r="B4352" s="55"/>
      <c r="C4352" s="596" t="s">
        <v>869</v>
      </c>
      <c r="D4352" s="596"/>
      <c r="E4352" s="596"/>
      <c r="F4352" s="596"/>
      <c r="G4352" s="596"/>
      <c r="H4352" s="596"/>
      <c r="I4352" s="596"/>
      <c r="J4352" s="597"/>
      <c r="K4352" s="132"/>
      <c r="L4352" s="133"/>
    </row>
    <row r="4353" spans="1:12" x14ac:dyDescent="0.2">
      <c r="A4353" s="158"/>
      <c r="B4353" s="55"/>
      <c r="C4353" s="596"/>
      <c r="D4353" s="596"/>
      <c r="E4353" s="596"/>
      <c r="F4353" s="596"/>
      <c r="G4353" s="596"/>
      <c r="H4353" s="596"/>
      <c r="I4353" s="596"/>
      <c r="J4353" s="597"/>
      <c r="K4353" s="132"/>
      <c r="L4353" s="133"/>
    </row>
    <row r="4354" spans="1:12" x14ac:dyDescent="0.2">
      <c r="A4354" s="158"/>
      <c r="B4354" s="55"/>
      <c r="C4354" s="652" t="s">
        <v>870</v>
      </c>
      <c r="D4354" s="652"/>
      <c r="E4354" s="652"/>
      <c r="F4354" s="652"/>
      <c r="G4354" s="652"/>
      <c r="H4354" s="652"/>
      <c r="I4354" s="652"/>
      <c r="J4354" s="653"/>
      <c r="K4354" s="132"/>
      <c r="L4354" s="133"/>
    </row>
    <row r="4355" spans="1:12" x14ac:dyDescent="0.2">
      <c r="A4355" s="158"/>
      <c r="B4355" s="55"/>
      <c r="C4355" s="652"/>
      <c r="D4355" s="652"/>
      <c r="E4355" s="652"/>
      <c r="F4355" s="652"/>
      <c r="G4355" s="652"/>
      <c r="H4355" s="652"/>
      <c r="I4355" s="652"/>
      <c r="J4355" s="653"/>
      <c r="K4355" s="132"/>
      <c r="L4355" s="133"/>
    </row>
    <row r="4356" spans="1:12" x14ac:dyDescent="0.2">
      <c r="A4356" s="158"/>
      <c r="B4356" s="55"/>
      <c r="C4356" s="652"/>
      <c r="D4356" s="652"/>
      <c r="E4356" s="652"/>
      <c r="F4356" s="652"/>
      <c r="G4356" s="652"/>
      <c r="H4356" s="652"/>
      <c r="I4356" s="652"/>
      <c r="J4356" s="653"/>
      <c r="K4356" s="132"/>
      <c r="L4356" s="133"/>
    </row>
    <row r="4357" spans="1:12" x14ac:dyDescent="0.2">
      <c r="A4357" s="158"/>
      <c r="B4357" s="55"/>
      <c r="C4357" s="652"/>
      <c r="D4357" s="652"/>
      <c r="E4357" s="652"/>
      <c r="F4357" s="652"/>
      <c r="G4357" s="652"/>
      <c r="H4357" s="652"/>
      <c r="I4357" s="652"/>
      <c r="J4357" s="653"/>
      <c r="K4357" s="132"/>
      <c r="L4357" s="133"/>
    </row>
    <row r="4358" spans="1:12" x14ac:dyDescent="0.2">
      <c r="A4358" s="158"/>
      <c r="B4358" s="55"/>
      <c r="C4358" s="652"/>
      <c r="D4358" s="652"/>
      <c r="E4358" s="652"/>
      <c r="F4358" s="652"/>
      <c r="G4358" s="652"/>
      <c r="H4358" s="652"/>
      <c r="I4358" s="652"/>
      <c r="J4358" s="653"/>
      <c r="K4358" s="132"/>
      <c r="L4358" s="133"/>
    </row>
    <row r="4359" spans="1:12" x14ac:dyDescent="0.2">
      <c r="A4359" s="158"/>
      <c r="B4359" s="55"/>
      <c r="C4359" s="71"/>
      <c r="D4359" s="71"/>
      <c r="E4359" s="71"/>
      <c r="F4359" s="71"/>
      <c r="G4359" s="71"/>
      <c r="H4359" s="71"/>
      <c r="I4359" s="71"/>
      <c r="J4359" s="174"/>
      <c r="K4359" s="132"/>
      <c r="L4359" s="133"/>
    </row>
    <row r="4360" spans="1:12" x14ac:dyDescent="0.2">
      <c r="C4360" s="175"/>
      <c r="D4360" s="175"/>
      <c r="E4360" s="175"/>
      <c r="F4360" s="175"/>
      <c r="G4360" s="175"/>
      <c r="H4360" s="175"/>
      <c r="I4360" s="175"/>
      <c r="J4360" s="176"/>
      <c r="K4360" s="132"/>
      <c r="L4360" s="133"/>
    </row>
    <row r="4361" spans="1:12" x14ac:dyDescent="0.2">
      <c r="A4361" s="158"/>
      <c r="B4361" s="55"/>
      <c r="C4361" s="175"/>
      <c r="D4361" s="175"/>
      <c r="E4361" s="172"/>
      <c r="F4361" s="172"/>
      <c r="G4361" s="172"/>
      <c r="H4361" s="172"/>
      <c r="I4361" s="172"/>
      <c r="J4361" s="173"/>
      <c r="K4361" s="132"/>
      <c r="L4361" s="133"/>
    </row>
    <row r="4362" spans="1:12" x14ac:dyDescent="0.2">
      <c r="A4362" s="158"/>
      <c r="B4362" s="55"/>
      <c r="C4362" s="175"/>
      <c r="D4362" s="175"/>
      <c r="E4362" s="172"/>
      <c r="F4362" s="172"/>
      <c r="G4362" s="172"/>
      <c r="H4362" s="172"/>
      <c r="I4362" s="172"/>
      <c r="J4362" s="173"/>
      <c r="K4362" s="132"/>
      <c r="L4362" s="133"/>
    </row>
    <row r="4363" spans="1:12" ht="13.5" thickBot="1" x14ac:dyDescent="0.25">
      <c r="A4363" s="149"/>
      <c r="B4363" s="167"/>
      <c r="C4363" s="151"/>
      <c r="D4363" s="151"/>
      <c r="E4363" s="151"/>
      <c r="F4363" s="151"/>
      <c r="G4363" s="151"/>
      <c r="H4363" s="151"/>
      <c r="I4363" s="151"/>
      <c r="J4363" s="168"/>
      <c r="K4363" s="132"/>
      <c r="L4363" s="133"/>
    </row>
    <row r="4364" spans="1:12" ht="15.75" x14ac:dyDescent="0.2">
      <c r="A4364" s="602" t="s">
        <v>4</v>
      </c>
      <c r="B4364" s="603"/>
      <c r="C4364" s="603" t="str">
        <f>'A IV.A'!$B$134</f>
        <v>PINTURAS - ITEM 11.0 DO TERMO DE REFERÊNCIA</v>
      </c>
      <c r="D4364" s="603"/>
      <c r="E4364" s="603"/>
      <c r="F4364" s="603"/>
      <c r="G4364" s="603"/>
      <c r="H4364" s="603"/>
      <c r="I4364" s="603"/>
      <c r="J4364" s="604"/>
      <c r="K4364" s="132"/>
      <c r="L4364" s="133"/>
    </row>
    <row r="4365" spans="1:12" x14ac:dyDescent="0.2">
      <c r="A4365" s="609" t="str">
        <f>'A IV.A'!$A$134</f>
        <v>6.0</v>
      </c>
      <c r="B4365" s="610"/>
      <c r="C4365" s="605"/>
      <c r="D4365" s="605"/>
      <c r="E4365" s="605"/>
      <c r="F4365" s="605"/>
      <c r="G4365" s="605"/>
      <c r="H4365" s="605"/>
      <c r="I4365" s="605"/>
      <c r="J4365" s="606"/>
      <c r="K4365" s="132"/>
      <c r="L4365" s="133"/>
    </row>
    <row r="4366" spans="1:12" ht="13.5" thickBot="1" x14ac:dyDescent="0.25">
      <c r="A4366" s="611" t="str">
        <f>'A IV.A'!$A$134</f>
        <v>6.0</v>
      </c>
      <c r="B4366" s="612"/>
      <c r="C4366" s="607"/>
      <c r="D4366" s="607"/>
      <c r="E4366" s="607"/>
      <c r="F4366" s="607"/>
      <c r="G4366" s="607"/>
      <c r="H4366" s="607"/>
      <c r="I4366" s="607"/>
      <c r="J4366" s="608"/>
      <c r="K4366" s="132"/>
      <c r="L4366" s="133"/>
    </row>
    <row r="4367" spans="1:12" ht="13.5" thickBot="1" x14ac:dyDescent="0.25">
      <c r="A4367" s="169"/>
      <c r="B4367" s="169"/>
      <c r="C4367" s="613"/>
      <c r="D4367" s="613"/>
      <c r="E4367" s="613"/>
      <c r="F4367" s="613"/>
      <c r="G4367" s="613"/>
      <c r="H4367" s="613"/>
      <c r="I4367" s="613"/>
      <c r="J4367" s="169"/>
      <c r="K4367" s="132"/>
      <c r="L4367" s="133"/>
    </row>
    <row r="4368" spans="1:12" ht="13.5" thickBot="1" x14ac:dyDescent="0.25">
      <c r="A4368" s="632" t="s">
        <v>60</v>
      </c>
      <c r="B4368" s="633"/>
      <c r="C4368" s="656" t="s">
        <v>61</v>
      </c>
      <c r="D4368" s="656"/>
      <c r="E4368" s="656"/>
      <c r="F4368" s="656"/>
      <c r="G4368" s="656"/>
      <c r="H4368" s="656"/>
      <c r="I4368" s="656"/>
      <c r="J4368" s="260" t="s">
        <v>0</v>
      </c>
      <c r="K4368" s="132"/>
      <c r="L4368" s="133"/>
    </row>
    <row r="4369" spans="1:14" x14ac:dyDescent="0.2">
      <c r="A4369" s="136"/>
      <c r="B4369" s="137"/>
      <c r="C4369" s="619"/>
      <c r="D4369" s="620"/>
      <c r="E4369" s="621"/>
      <c r="F4369" s="621"/>
      <c r="G4369" s="621"/>
      <c r="H4369" s="621"/>
      <c r="I4369" s="622"/>
      <c r="J4369" s="138"/>
      <c r="K4369" s="132"/>
      <c r="L4369" s="133"/>
    </row>
    <row r="4370" spans="1:14" x14ac:dyDescent="0.2">
      <c r="A4370" s="623" t="str">
        <f>'A IV.A'!$A$141</f>
        <v>6.4</v>
      </c>
      <c r="B4370" s="624"/>
      <c r="C4370" s="626" t="str">
        <f>'A IV.A'!$B$141</f>
        <v>PINTURA LÁTEX ACRÍLICA NA COR BRANCA EM PILARETES E MURETAS</v>
      </c>
      <c r="D4370" s="627"/>
      <c r="E4370" s="627"/>
      <c r="F4370" s="627"/>
      <c r="G4370" s="627"/>
      <c r="H4370" s="627"/>
      <c r="I4370" s="628"/>
      <c r="J4370" s="629" t="str">
        <f>'A IV.A'!$C$141</f>
        <v>M2</v>
      </c>
      <c r="K4370" s="630" t="str">
        <f>VLOOKUP(A4370,'A IV.A'!$A$14:$M$233,2,FALSE)</f>
        <v>PINTURA LÁTEX ACRÍLICA NA COR BRANCA EM PILARETES E MURETAS</v>
      </c>
      <c r="L4370" s="631" t="str">
        <f>IF(C4370=K4370,"sim","nao")</f>
        <v>sim</v>
      </c>
      <c r="M4370" s="631" t="str">
        <f>VLOOKUP(A4370,'A IV.A'!$A$14:$M$233,3,FALSE)</f>
        <v>M2</v>
      </c>
      <c r="N4370" s="631" t="str">
        <f>IF(J4370=M4370,"sim","nao")</f>
        <v>sim</v>
      </c>
    </row>
    <row r="4371" spans="1:14" x14ac:dyDescent="0.2">
      <c r="A4371" s="625"/>
      <c r="B4371" s="624"/>
      <c r="C4371" s="626"/>
      <c r="D4371" s="627"/>
      <c r="E4371" s="627"/>
      <c r="F4371" s="627"/>
      <c r="G4371" s="627"/>
      <c r="H4371" s="627"/>
      <c r="I4371" s="628"/>
      <c r="J4371" s="629"/>
      <c r="K4371" s="630"/>
      <c r="L4371" s="631"/>
      <c r="M4371" s="631"/>
      <c r="N4371" s="631"/>
    </row>
    <row r="4372" spans="1:14" x14ac:dyDescent="0.2">
      <c r="A4372" s="139"/>
      <c r="B4372" s="140"/>
      <c r="C4372" s="141"/>
      <c r="D4372" s="142"/>
      <c r="E4372" s="142"/>
      <c r="F4372" s="142"/>
      <c r="G4372" s="142"/>
      <c r="H4372" s="142"/>
      <c r="I4372" s="143"/>
      <c r="J4372" s="144"/>
      <c r="K4372" s="132"/>
      <c r="L4372" s="133"/>
    </row>
    <row r="4373" spans="1:14" x14ac:dyDescent="0.2">
      <c r="A4373" s="199"/>
      <c r="B4373" s="188"/>
      <c r="C4373" s="189"/>
      <c r="D4373" s="165"/>
      <c r="E4373" s="165"/>
      <c r="F4373" s="165"/>
      <c r="G4373" s="165"/>
      <c r="H4373" s="165"/>
      <c r="I4373" s="190"/>
      <c r="J4373" s="191"/>
      <c r="K4373" s="192"/>
      <c r="L4373" s="55"/>
      <c r="M4373" s="55"/>
      <c r="N4373" s="55"/>
    </row>
    <row r="4374" spans="1:14" x14ac:dyDescent="0.2">
      <c r="A4374" s="158"/>
      <c r="B4374" s="188"/>
      <c r="C4374" s="189"/>
      <c r="D4374" s="165"/>
      <c r="E4374" s="165"/>
      <c r="F4374" s="165"/>
      <c r="G4374" s="165"/>
      <c r="H4374" s="165"/>
      <c r="I4374" s="190"/>
      <c r="J4374" s="191"/>
      <c r="K4374" s="192"/>
      <c r="L4374" s="55"/>
      <c r="M4374" s="55"/>
      <c r="N4374" s="55"/>
    </row>
    <row r="4375" spans="1:14" x14ac:dyDescent="0.2">
      <c r="A4375" s="145"/>
      <c r="B4375" s="146"/>
      <c r="C4375" s="147"/>
      <c r="D4375" s="147"/>
      <c r="E4375" s="147"/>
      <c r="F4375" s="147"/>
      <c r="G4375" s="147"/>
      <c r="H4375" s="147"/>
      <c r="I4375" s="147"/>
      <c r="J4375" s="148"/>
      <c r="K4375" s="132"/>
      <c r="L4375" s="133"/>
    </row>
    <row r="4376" spans="1:14" x14ac:dyDescent="0.2">
      <c r="A4376" s="199"/>
      <c r="B4376" s="188"/>
      <c r="C4376" s="189"/>
      <c r="D4376" s="165"/>
      <c r="E4376" s="165"/>
      <c r="F4376" s="165"/>
      <c r="G4376" s="165"/>
      <c r="H4376" s="165"/>
      <c r="I4376" s="190"/>
      <c r="J4376" s="191"/>
      <c r="K4376" s="192"/>
      <c r="L4376" s="55"/>
      <c r="M4376" s="55"/>
      <c r="N4376" s="55"/>
    </row>
    <row r="4377" spans="1:14" x14ac:dyDescent="0.2">
      <c r="A4377" s="158"/>
      <c r="B4377" s="188"/>
      <c r="C4377" s="189"/>
      <c r="D4377" s="165"/>
      <c r="E4377" s="165"/>
      <c r="F4377" s="165"/>
      <c r="G4377" s="165"/>
      <c r="H4377" s="165"/>
      <c r="I4377" s="190"/>
      <c r="J4377" s="191"/>
      <c r="K4377" s="192"/>
      <c r="L4377" s="55"/>
      <c r="M4377" s="55"/>
      <c r="N4377" s="55"/>
    </row>
    <row r="4378" spans="1:14" x14ac:dyDescent="0.2">
      <c r="A4378" s="145"/>
      <c r="B4378" s="146"/>
      <c r="C4378" s="147"/>
      <c r="D4378" s="147"/>
      <c r="E4378" s="147"/>
      <c r="F4378" s="147"/>
      <c r="G4378" s="147"/>
      <c r="H4378" s="147"/>
      <c r="I4378" s="147"/>
      <c r="J4378" s="148"/>
      <c r="K4378" s="132"/>
      <c r="L4378" s="133"/>
    </row>
    <row r="4379" spans="1:14" x14ac:dyDescent="0.2">
      <c r="A4379" s="199"/>
      <c r="B4379" s="188"/>
      <c r="C4379" s="189"/>
      <c r="D4379" s="165"/>
      <c r="E4379" s="165"/>
      <c r="F4379" s="165"/>
      <c r="G4379" s="165"/>
      <c r="H4379" s="165"/>
      <c r="I4379" s="190"/>
      <c r="J4379" s="191"/>
      <c r="K4379" s="192"/>
      <c r="L4379" s="55"/>
      <c r="M4379" s="55"/>
      <c r="N4379" s="55"/>
    </row>
    <row r="4380" spans="1:14" x14ac:dyDescent="0.2">
      <c r="A4380" s="158"/>
      <c r="B4380" s="188"/>
      <c r="C4380" s="189"/>
      <c r="D4380" s="165"/>
      <c r="E4380" s="165"/>
      <c r="F4380" s="165"/>
      <c r="G4380" s="165"/>
      <c r="H4380" s="165"/>
      <c r="I4380" s="190"/>
      <c r="J4380" s="191"/>
      <c r="K4380" s="192"/>
      <c r="L4380" s="55"/>
      <c r="M4380" s="55"/>
      <c r="N4380" s="55"/>
    </row>
    <row r="4381" spans="1:14" x14ac:dyDescent="0.2">
      <c r="A4381" s="145"/>
      <c r="B4381" s="146"/>
      <c r="C4381" s="147"/>
      <c r="D4381" s="147"/>
      <c r="E4381" s="147"/>
      <c r="F4381" s="147"/>
      <c r="G4381" s="147"/>
      <c r="H4381" s="147"/>
      <c r="I4381" s="147"/>
      <c r="J4381" s="148"/>
      <c r="K4381" s="132"/>
      <c r="L4381" s="133"/>
    </row>
    <row r="4382" spans="1:14" x14ac:dyDescent="0.2">
      <c r="A4382" s="199"/>
      <c r="B4382" s="188"/>
      <c r="C4382" s="189"/>
      <c r="D4382" s="165"/>
      <c r="E4382" s="165"/>
      <c r="F4382" s="165"/>
      <c r="G4382" s="165"/>
      <c r="H4382" s="165"/>
      <c r="I4382" s="190"/>
      <c r="J4382" s="191"/>
      <c r="K4382" s="192"/>
      <c r="L4382" s="55"/>
      <c r="M4382" s="55"/>
      <c r="N4382" s="55"/>
    </row>
    <row r="4383" spans="1:14" x14ac:dyDescent="0.2">
      <c r="A4383" s="158"/>
      <c r="B4383" s="188"/>
      <c r="C4383" s="189"/>
      <c r="D4383" s="165"/>
      <c r="E4383" s="165"/>
      <c r="F4383" s="165"/>
      <c r="G4383" s="165"/>
      <c r="H4383" s="165"/>
      <c r="I4383" s="190"/>
      <c r="J4383" s="191"/>
      <c r="K4383" s="192"/>
      <c r="L4383" s="55"/>
      <c r="M4383" s="55"/>
      <c r="N4383" s="55"/>
    </row>
    <row r="4384" spans="1:14" x14ac:dyDescent="0.2">
      <c r="A4384" s="145"/>
      <c r="B4384" s="146"/>
      <c r="C4384" s="147"/>
      <c r="D4384" s="147"/>
      <c r="E4384" s="147"/>
      <c r="F4384" s="147"/>
      <c r="G4384" s="147"/>
      <c r="H4384" s="147"/>
      <c r="I4384" s="147"/>
      <c r="J4384" s="148"/>
      <c r="K4384" s="132"/>
      <c r="L4384" s="133"/>
    </row>
    <row r="4385" spans="1:14" x14ac:dyDescent="0.2">
      <c r="A4385" s="199"/>
      <c r="B4385" s="188"/>
      <c r="C4385" s="189"/>
      <c r="D4385" s="165"/>
      <c r="E4385" s="165"/>
      <c r="F4385" s="165"/>
      <c r="G4385" s="165"/>
      <c r="H4385" s="165"/>
      <c r="I4385" s="190"/>
      <c r="J4385" s="191"/>
      <c r="K4385" s="192"/>
      <c r="L4385" s="55"/>
      <c r="M4385" s="55"/>
      <c r="N4385" s="55"/>
    </row>
    <row r="4386" spans="1:14" x14ac:dyDescent="0.2">
      <c r="A4386" s="158"/>
      <c r="B4386" s="188"/>
      <c r="C4386" s="189"/>
      <c r="D4386" s="165"/>
      <c r="E4386" s="165"/>
      <c r="F4386" s="165"/>
      <c r="G4386" s="165"/>
      <c r="H4386" s="165"/>
      <c r="I4386" s="190"/>
      <c r="J4386" s="191"/>
      <c r="K4386" s="192"/>
      <c r="L4386" s="55"/>
      <c r="M4386" s="55"/>
      <c r="N4386" s="55"/>
    </row>
    <row r="4387" spans="1:14" x14ac:dyDescent="0.2">
      <c r="A4387" s="145"/>
      <c r="B4387" s="146"/>
      <c r="C4387" s="147"/>
      <c r="D4387" s="147"/>
      <c r="E4387" s="147"/>
      <c r="F4387" s="147"/>
      <c r="G4387" s="147"/>
      <c r="H4387" s="147"/>
      <c r="I4387" s="147"/>
      <c r="J4387" s="148"/>
      <c r="K4387" s="132"/>
      <c r="L4387" s="133"/>
    </row>
    <row r="4388" spans="1:14" x14ac:dyDescent="0.2">
      <c r="A4388" s="199"/>
      <c r="B4388" s="188"/>
      <c r="C4388" s="189"/>
      <c r="D4388" s="165"/>
      <c r="E4388" s="165"/>
      <c r="F4388" s="165"/>
      <c r="G4388" s="165"/>
      <c r="H4388" s="165"/>
      <c r="I4388" s="190"/>
      <c r="J4388" s="191"/>
      <c r="K4388" s="192"/>
      <c r="L4388" s="55"/>
      <c r="M4388" s="55"/>
      <c r="N4388" s="55"/>
    </row>
    <row r="4389" spans="1:14" x14ac:dyDescent="0.2">
      <c r="A4389" s="158"/>
      <c r="B4389" s="188"/>
      <c r="C4389" s="189"/>
      <c r="D4389" s="165"/>
      <c r="E4389" s="165"/>
      <c r="F4389" s="165"/>
      <c r="G4389" s="165"/>
      <c r="H4389" s="165"/>
      <c r="I4389" s="190"/>
      <c r="J4389" s="191"/>
      <c r="K4389" s="192"/>
      <c r="L4389" s="55"/>
      <c r="M4389" s="55"/>
      <c r="N4389" s="55"/>
    </row>
    <row r="4390" spans="1:14" x14ac:dyDescent="0.2">
      <c r="A4390" s="145"/>
      <c r="B4390" s="146"/>
      <c r="C4390" s="147"/>
      <c r="D4390" s="147"/>
      <c r="E4390" s="147"/>
      <c r="F4390" s="147"/>
      <c r="G4390" s="147"/>
      <c r="H4390" s="147"/>
      <c r="I4390" s="147"/>
      <c r="J4390" s="148"/>
      <c r="K4390" s="132"/>
      <c r="L4390" s="133"/>
    </row>
    <row r="4391" spans="1:14" ht="13.5" thickBot="1" x14ac:dyDescent="0.25">
      <c r="A4391" s="149"/>
      <c r="B4391" s="150"/>
      <c r="C4391" s="151"/>
      <c r="D4391" s="151"/>
      <c r="E4391" s="151"/>
      <c r="F4391" s="151"/>
      <c r="G4391" s="151"/>
      <c r="H4391" s="151"/>
      <c r="I4391" s="151"/>
      <c r="J4391" s="152"/>
      <c r="K4391" s="132"/>
      <c r="L4391" s="133"/>
    </row>
    <row r="4392" spans="1:14" ht="13.5" thickBot="1" x14ac:dyDescent="0.25">
      <c r="A4392" s="153"/>
      <c r="B4392" s="153"/>
      <c r="C4392" s="154"/>
      <c r="D4392" s="154"/>
      <c r="E4392" s="154"/>
      <c r="F4392" s="154"/>
      <c r="G4392" s="154"/>
      <c r="H4392" s="154"/>
      <c r="I4392" s="154"/>
      <c r="J4392" s="153"/>
      <c r="K4392" s="132"/>
      <c r="L4392" s="133"/>
    </row>
    <row r="4393" spans="1:14" ht="13.5" thickBot="1" x14ac:dyDescent="0.25">
      <c r="A4393" s="614" t="s">
        <v>62</v>
      </c>
      <c r="B4393" s="648"/>
      <c r="C4393" s="648"/>
      <c r="D4393" s="648"/>
      <c r="E4393" s="648"/>
      <c r="F4393" s="648"/>
      <c r="G4393" s="648"/>
      <c r="H4393" s="648"/>
      <c r="I4393" s="648"/>
      <c r="J4393" s="649"/>
      <c r="K4393" s="132"/>
      <c r="L4393" s="133"/>
    </row>
    <row r="4394" spans="1:14" x14ac:dyDescent="0.2">
      <c r="A4394" s="136"/>
      <c r="B4394" s="155"/>
      <c r="C4394" s="156"/>
      <c r="D4394" s="156"/>
      <c r="E4394" s="156"/>
      <c r="F4394" s="156"/>
      <c r="G4394" s="156"/>
      <c r="H4394" s="156"/>
      <c r="I4394" s="156"/>
      <c r="J4394" s="157"/>
      <c r="K4394" s="132"/>
      <c r="L4394" s="133"/>
    </row>
    <row r="4395" spans="1:14" ht="12.75" customHeight="1" x14ac:dyDescent="0.2">
      <c r="A4395" s="158" t="s">
        <v>63</v>
      </c>
      <c r="B4395" s="55"/>
      <c r="C4395" s="596" t="s">
        <v>947</v>
      </c>
      <c r="D4395" s="596"/>
      <c r="E4395" s="596"/>
      <c r="F4395" s="596"/>
      <c r="G4395" s="596"/>
      <c r="H4395" s="596"/>
      <c r="I4395" s="596"/>
      <c r="J4395" s="597"/>
      <c r="K4395" s="132"/>
      <c r="L4395" s="133"/>
    </row>
    <row r="4396" spans="1:14" x14ac:dyDescent="0.2">
      <c r="A4396" s="158"/>
      <c r="B4396" s="55"/>
      <c r="C4396" s="596"/>
      <c r="D4396" s="596"/>
      <c r="E4396" s="596"/>
      <c r="F4396" s="596"/>
      <c r="G4396" s="596"/>
      <c r="H4396" s="596"/>
      <c r="I4396" s="596"/>
      <c r="J4396" s="597"/>
      <c r="K4396" s="132"/>
      <c r="L4396" s="133"/>
    </row>
    <row r="4397" spans="1:14" x14ac:dyDescent="0.2">
      <c r="A4397" s="158"/>
      <c r="B4397" s="55"/>
      <c r="C4397" s="596"/>
      <c r="D4397" s="596"/>
      <c r="E4397" s="596"/>
      <c r="F4397" s="596"/>
      <c r="G4397" s="596"/>
      <c r="H4397" s="596"/>
      <c r="I4397" s="596"/>
      <c r="J4397" s="597"/>
      <c r="K4397" s="132"/>
      <c r="L4397" s="133"/>
    </row>
    <row r="4398" spans="1:14" ht="12.75" customHeight="1" x14ac:dyDescent="0.2">
      <c r="A4398" s="158"/>
      <c r="B4398" s="55"/>
      <c r="C4398" s="596"/>
      <c r="D4398" s="596"/>
      <c r="E4398" s="596"/>
      <c r="F4398" s="596"/>
      <c r="G4398" s="596"/>
      <c r="H4398" s="596"/>
      <c r="I4398" s="596"/>
      <c r="J4398" s="597"/>
      <c r="K4398" s="132"/>
      <c r="L4398" s="133"/>
    </row>
    <row r="4399" spans="1:14" x14ac:dyDescent="0.2">
      <c r="A4399" s="158"/>
      <c r="B4399" s="55"/>
      <c r="C4399" s="596"/>
      <c r="D4399" s="596"/>
      <c r="E4399" s="596"/>
      <c r="F4399" s="596"/>
      <c r="G4399" s="596"/>
      <c r="H4399" s="596"/>
      <c r="I4399" s="596"/>
      <c r="J4399" s="597"/>
      <c r="K4399" s="132"/>
      <c r="L4399" s="133"/>
    </row>
    <row r="4400" spans="1:14" x14ac:dyDescent="0.2">
      <c r="A4400" s="158"/>
      <c r="B4400" s="55"/>
      <c r="C4400" s="596"/>
      <c r="D4400" s="596"/>
      <c r="E4400" s="596"/>
      <c r="F4400" s="596"/>
      <c r="G4400" s="596"/>
      <c r="H4400" s="596"/>
      <c r="I4400" s="596"/>
      <c r="J4400" s="597"/>
      <c r="K4400" s="132"/>
      <c r="L4400" s="133"/>
    </row>
    <row r="4401" spans="1:12" x14ac:dyDescent="0.2">
      <c r="A4401" s="158"/>
      <c r="B4401" s="55"/>
      <c r="C4401" s="596"/>
      <c r="D4401" s="596"/>
      <c r="E4401" s="596"/>
      <c r="F4401" s="596"/>
      <c r="G4401" s="596"/>
      <c r="H4401" s="596"/>
      <c r="I4401" s="596"/>
      <c r="J4401" s="597"/>
      <c r="K4401" s="132"/>
      <c r="L4401" s="133"/>
    </row>
    <row r="4402" spans="1:12" x14ac:dyDescent="0.2">
      <c r="A4402" s="158"/>
      <c r="B4402" s="55"/>
      <c r="C4402" s="596"/>
      <c r="D4402" s="596"/>
      <c r="E4402" s="596"/>
      <c r="F4402" s="596"/>
      <c r="G4402" s="596"/>
      <c r="H4402" s="596"/>
      <c r="I4402" s="596"/>
      <c r="J4402" s="597"/>
      <c r="K4402" s="132"/>
      <c r="L4402" s="133"/>
    </row>
    <row r="4403" spans="1:12" x14ac:dyDescent="0.2">
      <c r="A4403" s="177"/>
      <c r="B4403" s="74"/>
      <c r="C4403" s="180"/>
      <c r="D4403" s="180"/>
      <c r="E4403" s="180"/>
      <c r="F4403" s="180"/>
      <c r="G4403" s="180"/>
      <c r="H4403" s="180"/>
      <c r="I4403" s="180"/>
      <c r="J4403" s="181"/>
      <c r="K4403" s="132"/>
      <c r="L4403" s="133"/>
    </row>
    <row r="4404" spans="1:12" x14ac:dyDescent="0.2">
      <c r="A4404" s="671" t="s">
        <v>64</v>
      </c>
      <c r="B4404" s="672"/>
      <c r="C4404" s="596" t="s">
        <v>473</v>
      </c>
      <c r="D4404" s="596"/>
      <c r="E4404" s="596"/>
      <c r="F4404" s="596"/>
      <c r="G4404" s="596"/>
      <c r="H4404" s="596"/>
      <c r="I4404" s="596"/>
      <c r="J4404" s="597"/>
      <c r="K4404" s="132"/>
      <c r="L4404" s="133"/>
    </row>
    <row r="4405" spans="1:12" x14ac:dyDescent="0.2">
      <c r="A4405" s="158"/>
      <c r="B4405" s="55"/>
      <c r="C4405" s="71"/>
      <c r="D4405" s="71"/>
      <c r="E4405" s="71"/>
      <c r="F4405" s="71"/>
      <c r="G4405" s="71"/>
      <c r="H4405" s="71"/>
      <c r="I4405" s="71"/>
      <c r="J4405" s="174"/>
      <c r="K4405" s="132"/>
      <c r="L4405" s="133"/>
    </row>
    <row r="4406" spans="1:12" x14ac:dyDescent="0.2">
      <c r="A4406" s="139" t="s">
        <v>157</v>
      </c>
      <c r="B4406" s="56"/>
      <c r="C4406" s="652" t="s">
        <v>867</v>
      </c>
      <c r="D4406" s="652"/>
      <c r="E4406" s="652"/>
      <c r="F4406" s="652"/>
      <c r="G4406" s="652"/>
      <c r="H4406" s="652"/>
      <c r="I4406" s="652"/>
      <c r="J4406" s="653"/>
      <c r="K4406" s="132"/>
      <c r="L4406" s="133"/>
    </row>
    <row r="4407" spans="1:12" x14ac:dyDescent="0.2">
      <c r="A4407" s="158"/>
      <c r="B4407" s="55"/>
      <c r="C4407" s="652"/>
      <c r="D4407" s="652"/>
      <c r="E4407" s="652"/>
      <c r="F4407" s="652"/>
      <c r="G4407" s="652"/>
      <c r="H4407" s="652"/>
      <c r="I4407" s="652"/>
      <c r="J4407" s="653"/>
      <c r="K4407" s="132"/>
      <c r="L4407" s="133"/>
    </row>
    <row r="4408" spans="1:12" x14ac:dyDescent="0.2">
      <c r="A4408" s="158"/>
      <c r="B4408" s="55"/>
      <c r="C4408" s="662" t="s">
        <v>868</v>
      </c>
      <c r="D4408" s="662"/>
      <c r="E4408" s="662"/>
      <c r="F4408" s="662"/>
      <c r="G4408" s="662"/>
      <c r="H4408" s="662"/>
      <c r="I4408" s="662"/>
      <c r="J4408" s="663"/>
      <c r="K4408" s="132"/>
      <c r="L4408" s="133"/>
    </row>
    <row r="4409" spans="1:12" x14ac:dyDescent="0.2">
      <c r="A4409" s="158"/>
      <c r="B4409" s="55"/>
      <c r="C4409" s="596" t="s">
        <v>869</v>
      </c>
      <c r="D4409" s="596"/>
      <c r="E4409" s="596"/>
      <c r="F4409" s="596"/>
      <c r="G4409" s="596"/>
      <c r="H4409" s="596"/>
      <c r="I4409" s="596"/>
      <c r="J4409" s="597"/>
      <c r="K4409" s="132"/>
      <c r="L4409" s="133"/>
    </row>
    <row r="4410" spans="1:12" x14ac:dyDescent="0.2">
      <c r="A4410" s="158"/>
      <c r="B4410" s="55"/>
      <c r="C4410" s="596"/>
      <c r="D4410" s="596"/>
      <c r="E4410" s="596"/>
      <c r="F4410" s="596"/>
      <c r="G4410" s="596"/>
      <c r="H4410" s="596"/>
      <c r="I4410" s="596"/>
      <c r="J4410" s="597"/>
      <c r="K4410" s="132"/>
      <c r="L4410" s="133"/>
    </row>
    <row r="4411" spans="1:12" x14ac:dyDescent="0.2">
      <c r="A4411" s="158"/>
      <c r="B4411" s="55"/>
      <c r="C4411" s="652" t="s">
        <v>870</v>
      </c>
      <c r="D4411" s="652"/>
      <c r="E4411" s="652"/>
      <c r="F4411" s="652"/>
      <c r="G4411" s="652"/>
      <c r="H4411" s="652"/>
      <c r="I4411" s="652"/>
      <c r="J4411" s="653"/>
      <c r="K4411" s="132"/>
      <c r="L4411" s="133"/>
    </row>
    <row r="4412" spans="1:12" x14ac:dyDescent="0.2">
      <c r="A4412" s="158"/>
      <c r="B4412" s="55"/>
      <c r="C4412" s="652"/>
      <c r="D4412" s="652"/>
      <c r="E4412" s="652"/>
      <c r="F4412" s="652"/>
      <c r="G4412" s="652"/>
      <c r="H4412" s="652"/>
      <c r="I4412" s="652"/>
      <c r="J4412" s="653"/>
      <c r="K4412" s="132"/>
      <c r="L4412" s="133"/>
    </row>
    <row r="4413" spans="1:12" x14ac:dyDescent="0.2">
      <c r="A4413" s="158"/>
      <c r="B4413" s="55"/>
      <c r="C4413" s="652"/>
      <c r="D4413" s="652"/>
      <c r="E4413" s="652"/>
      <c r="F4413" s="652"/>
      <c r="G4413" s="652"/>
      <c r="H4413" s="652"/>
      <c r="I4413" s="652"/>
      <c r="J4413" s="653"/>
      <c r="K4413" s="132"/>
      <c r="L4413" s="133"/>
    </row>
    <row r="4414" spans="1:12" x14ac:dyDescent="0.2">
      <c r="A4414" s="158"/>
      <c r="B4414" s="55"/>
      <c r="C4414" s="652"/>
      <c r="D4414" s="652"/>
      <c r="E4414" s="652"/>
      <c r="F4414" s="652"/>
      <c r="G4414" s="652"/>
      <c r="H4414" s="652"/>
      <c r="I4414" s="652"/>
      <c r="J4414" s="653"/>
      <c r="K4414" s="132"/>
      <c r="L4414" s="133"/>
    </row>
    <row r="4415" spans="1:12" x14ac:dyDescent="0.2">
      <c r="A4415" s="161"/>
      <c r="B4415" s="2"/>
      <c r="C4415" s="652"/>
      <c r="D4415" s="652"/>
      <c r="E4415" s="652"/>
      <c r="F4415" s="652"/>
      <c r="G4415" s="652"/>
      <c r="H4415" s="652"/>
      <c r="I4415" s="652"/>
      <c r="J4415" s="653"/>
      <c r="K4415" s="132"/>
      <c r="L4415" s="133"/>
    </row>
    <row r="4416" spans="1:12" x14ac:dyDescent="0.2">
      <c r="A4416" s="158"/>
      <c r="B4416" s="55"/>
      <c r="C4416" s="175"/>
      <c r="D4416" s="175"/>
      <c r="E4416" s="175"/>
      <c r="F4416" s="175"/>
      <c r="G4416" s="175"/>
      <c r="H4416" s="175"/>
      <c r="I4416" s="175"/>
      <c r="J4416" s="176"/>
      <c r="K4416" s="132"/>
      <c r="L4416" s="133"/>
    </row>
    <row r="4417" spans="1:14" ht="13.5" thickBot="1" x14ac:dyDescent="0.25">
      <c r="A4417" s="149"/>
      <c r="B4417" s="167"/>
      <c r="C4417" s="151"/>
      <c r="D4417" s="151"/>
      <c r="E4417" s="151"/>
      <c r="F4417" s="151"/>
      <c r="G4417" s="151"/>
      <c r="H4417" s="151"/>
      <c r="I4417" s="151"/>
      <c r="J4417" s="168"/>
      <c r="K4417" s="132"/>
      <c r="L4417" s="133"/>
    </row>
    <row r="4418" spans="1:14" ht="15.75" x14ac:dyDescent="0.2">
      <c r="A4418" s="602" t="s">
        <v>4</v>
      </c>
      <c r="B4418" s="603"/>
      <c r="C4418" s="603" t="str">
        <f>'A IV.A'!$B$134</f>
        <v>PINTURAS - ITEM 11.0 DO TERMO DE REFERÊNCIA</v>
      </c>
      <c r="D4418" s="603"/>
      <c r="E4418" s="603"/>
      <c r="F4418" s="603"/>
      <c r="G4418" s="603"/>
      <c r="H4418" s="603"/>
      <c r="I4418" s="603"/>
      <c r="J4418" s="604"/>
      <c r="K4418" s="132"/>
      <c r="L4418" s="133"/>
    </row>
    <row r="4419" spans="1:14" x14ac:dyDescent="0.2">
      <c r="A4419" s="609" t="str">
        <f>'A IV.A'!$A$134</f>
        <v>6.0</v>
      </c>
      <c r="B4419" s="610"/>
      <c r="C4419" s="605"/>
      <c r="D4419" s="605"/>
      <c r="E4419" s="605"/>
      <c r="F4419" s="605"/>
      <c r="G4419" s="605"/>
      <c r="H4419" s="605"/>
      <c r="I4419" s="605"/>
      <c r="J4419" s="606"/>
      <c r="K4419" s="132"/>
      <c r="L4419" s="133"/>
    </row>
    <row r="4420" spans="1:14" ht="13.5" thickBot="1" x14ac:dyDescent="0.25">
      <c r="A4420" s="611" t="str">
        <f>'A IV.A'!$A$134</f>
        <v>6.0</v>
      </c>
      <c r="B4420" s="612"/>
      <c r="C4420" s="607"/>
      <c r="D4420" s="607"/>
      <c r="E4420" s="607"/>
      <c r="F4420" s="607"/>
      <c r="G4420" s="607"/>
      <c r="H4420" s="607"/>
      <c r="I4420" s="607"/>
      <c r="J4420" s="608"/>
      <c r="K4420" s="132"/>
      <c r="L4420" s="133"/>
    </row>
    <row r="4421" spans="1:14" ht="13.5" thickBot="1" x14ac:dyDescent="0.25">
      <c r="A4421" s="169"/>
      <c r="B4421" s="169"/>
      <c r="C4421" s="613"/>
      <c r="D4421" s="613"/>
      <c r="E4421" s="613"/>
      <c r="F4421" s="613"/>
      <c r="G4421" s="613"/>
      <c r="H4421" s="613"/>
      <c r="I4421" s="613"/>
      <c r="J4421" s="169"/>
      <c r="K4421" s="132"/>
      <c r="L4421" s="133"/>
    </row>
    <row r="4422" spans="1:14" ht="13.5" thickBot="1" x14ac:dyDescent="0.25">
      <c r="A4422" s="632" t="s">
        <v>60</v>
      </c>
      <c r="B4422" s="633"/>
      <c r="C4422" s="656" t="s">
        <v>61</v>
      </c>
      <c r="D4422" s="656"/>
      <c r="E4422" s="656"/>
      <c r="F4422" s="656"/>
      <c r="G4422" s="656"/>
      <c r="H4422" s="656"/>
      <c r="I4422" s="656"/>
      <c r="J4422" s="260" t="s">
        <v>0</v>
      </c>
      <c r="K4422" s="132"/>
      <c r="L4422" s="133"/>
    </row>
    <row r="4423" spans="1:14" x14ac:dyDescent="0.2">
      <c r="A4423" s="136"/>
      <c r="B4423" s="137"/>
      <c r="C4423" s="619"/>
      <c r="D4423" s="620"/>
      <c r="E4423" s="621"/>
      <c r="F4423" s="621"/>
      <c r="G4423" s="621"/>
      <c r="H4423" s="621"/>
      <c r="I4423" s="622"/>
      <c r="J4423" s="138"/>
      <c r="K4423" s="132"/>
      <c r="L4423" s="133"/>
    </row>
    <row r="4424" spans="1:14" x14ac:dyDescent="0.2">
      <c r="A4424" s="623" t="str">
        <f>'A IV.A'!A142</f>
        <v>6.5</v>
      </c>
      <c r="B4424" s="624"/>
      <c r="C4424" s="626" t="str">
        <f>'A IV.A'!B142</f>
        <v>PINTURA DE SINALIZAÇÃO HORIZONTAL COM TINTA RETRORREFLETIVA A BASE DE RESINA ACRÍLICA COM MICROESFERAS DE VIDRO</v>
      </c>
      <c r="D4424" s="627"/>
      <c r="E4424" s="627"/>
      <c r="F4424" s="627"/>
      <c r="G4424" s="627"/>
      <c r="H4424" s="627"/>
      <c r="I4424" s="628"/>
      <c r="J4424" s="629" t="str">
        <f>'A IV.A'!C142</f>
        <v>M2</v>
      </c>
      <c r="K4424" s="630" t="str">
        <f>VLOOKUP(A4424,'A IV.A'!$A$14:$M$233,2,FALSE)</f>
        <v>PINTURA DE SINALIZAÇÃO HORIZONTAL COM TINTA RETRORREFLETIVA A BASE DE RESINA ACRÍLICA COM MICROESFERAS DE VIDRO</v>
      </c>
      <c r="L4424" s="631" t="str">
        <f>IF(C4424=K4424,"sim","nao")</f>
        <v>sim</v>
      </c>
      <c r="M4424" s="631" t="str">
        <f>VLOOKUP(A4424,'A IV.A'!$A$14:$M$233,3,FALSE)</f>
        <v>M2</v>
      </c>
      <c r="N4424" s="631" t="str">
        <f>IF(J4424=M4424,"sim","nao")</f>
        <v>sim</v>
      </c>
    </row>
    <row r="4425" spans="1:14" x14ac:dyDescent="0.2">
      <c r="A4425" s="625"/>
      <c r="B4425" s="624"/>
      <c r="C4425" s="626"/>
      <c r="D4425" s="627"/>
      <c r="E4425" s="627"/>
      <c r="F4425" s="627"/>
      <c r="G4425" s="627"/>
      <c r="H4425" s="627"/>
      <c r="I4425" s="628"/>
      <c r="J4425" s="629"/>
      <c r="K4425" s="630"/>
      <c r="L4425" s="631"/>
      <c r="M4425" s="631"/>
      <c r="N4425" s="631"/>
    </row>
    <row r="4426" spans="1:14" x14ac:dyDescent="0.2">
      <c r="A4426" s="139"/>
      <c r="B4426" s="140"/>
      <c r="C4426" s="141"/>
      <c r="D4426" s="142"/>
      <c r="E4426" s="142"/>
      <c r="F4426" s="142"/>
      <c r="G4426" s="142"/>
      <c r="H4426" s="142"/>
      <c r="I4426" s="143"/>
      <c r="J4426" s="144"/>
      <c r="K4426" s="132"/>
      <c r="L4426" s="133"/>
    </row>
    <row r="4427" spans="1:14" x14ac:dyDescent="0.2">
      <c r="A4427" s="199"/>
      <c r="B4427" s="188"/>
      <c r="C4427" s="189"/>
      <c r="D4427" s="165"/>
      <c r="E4427" s="165"/>
      <c r="F4427" s="165"/>
      <c r="G4427" s="165"/>
      <c r="H4427" s="165"/>
      <c r="I4427" s="190"/>
      <c r="J4427" s="191"/>
      <c r="K4427" s="192"/>
      <c r="L4427" s="55"/>
      <c r="M4427" s="55"/>
      <c r="N4427" s="55"/>
    </row>
    <row r="4428" spans="1:14" x14ac:dyDescent="0.2">
      <c r="A4428" s="158"/>
      <c r="B4428" s="188"/>
      <c r="C4428" s="189"/>
      <c r="D4428" s="165"/>
      <c r="E4428" s="165"/>
      <c r="F4428" s="165"/>
      <c r="G4428" s="165"/>
      <c r="H4428" s="165"/>
      <c r="I4428" s="190"/>
      <c r="J4428" s="191"/>
      <c r="K4428" s="192"/>
      <c r="L4428" s="55"/>
      <c r="M4428" s="55"/>
      <c r="N4428" s="55"/>
    </row>
    <row r="4429" spans="1:14" x14ac:dyDescent="0.2">
      <c r="A4429" s="145"/>
      <c r="B4429" s="146"/>
      <c r="C4429" s="147"/>
      <c r="D4429" s="147"/>
      <c r="E4429" s="147"/>
      <c r="F4429" s="147"/>
      <c r="G4429" s="147"/>
      <c r="H4429" s="147"/>
      <c r="I4429" s="147"/>
      <c r="J4429" s="148"/>
      <c r="K4429" s="132"/>
      <c r="L4429" s="133"/>
    </row>
    <row r="4430" spans="1:14" x14ac:dyDescent="0.2">
      <c r="A4430" s="199"/>
      <c r="B4430" s="188"/>
      <c r="C4430" s="189"/>
      <c r="D4430" s="165"/>
      <c r="E4430" s="165"/>
      <c r="F4430" s="165"/>
      <c r="G4430" s="165"/>
      <c r="H4430" s="165"/>
      <c r="I4430" s="190"/>
      <c r="J4430" s="191"/>
      <c r="K4430" s="192"/>
      <c r="L4430" s="55"/>
      <c r="M4430" s="55"/>
      <c r="N4430" s="55"/>
    </row>
    <row r="4431" spans="1:14" x14ac:dyDescent="0.2">
      <c r="A4431" s="158"/>
      <c r="B4431" s="188"/>
      <c r="C4431" s="189"/>
      <c r="D4431" s="165"/>
      <c r="E4431" s="165"/>
      <c r="F4431" s="165"/>
      <c r="G4431" s="165"/>
      <c r="H4431" s="165"/>
      <c r="I4431" s="190"/>
      <c r="J4431" s="191"/>
      <c r="K4431" s="192"/>
      <c r="L4431" s="55"/>
      <c r="M4431" s="55"/>
      <c r="N4431" s="55"/>
    </row>
    <row r="4432" spans="1:14" x14ac:dyDescent="0.2">
      <c r="A4432" s="145"/>
      <c r="B4432" s="146"/>
      <c r="C4432" s="147"/>
      <c r="D4432" s="147"/>
      <c r="E4432" s="147"/>
      <c r="F4432" s="147"/>
      <c r="G4432" s="147"/>
      <c r="H4432" s="147"/>
      <c r="I4432" s="147"/>
      <c r="J4432" s="148"/>
      <c r="K4432" s="132"/>
      <c r="L4432" s="133"/>
    </row>
    <row r="4433" spans="1:14" x14ac:dyDescent="0.2">
      <c r="A4433" s="199"/>
      <c r="B4433" s="188"/>
      <c r="C4433" s="189"/>
      <c r="D4433" s="165"/>
      <c r="E4433" s="165"/>
      <c r="F4433" s="165"/>
      <c r="G4433" s="165"/>
      <c r="H4433" s="165"/>
      <c r="I4433" s="190"/>
      <c r="J4433" s="191"/>
      <c r="K4433" s="192"/>
      <c r="L4433" s="55"/>
      <c r="M4433" s="55"/>
      <c r="N4433" s="55"/>
    </row>
    <row r="4434" spans="1:14" x14ac:dyDescent="0.2">
      <c r="A4434" s="158"/>
      <c r="B4434" s="188"/>
      <c r="C4434" s="189"/>
      <c r="D4434" s="165"/>
      <c r="E4434" s="165"/>
      <c r="F4434" s="165"/>
      <c r="G4434" s="165"/>
      <c r="H4434" s="165"/>
      <c r="I4434" s="190"/>
      <c r="J4434" s="191"/>
      <c r="K4434" s="192"/>
      <c r="L4434" s="55"/>
      <c r="M4434" s="55"/>
      <c r="N4434" s="55"/>
    </row>
    <row r="4435" spans="1:14" x14ac:dyDescent="0.2">
      <c r="A4435" s="145"/>
      <c r="B4435" s="146"/>
      <c r="C4435" s="147"/>
      <c r="D4435" s="147"/>
      <c r="E4435" s="147"/>
      <c r="F4435" s="147"/>
      <c r="G4435" s="147"/>
      <c r="H4435" s="147"/>
      <c r="I4435" s="147"/>
      <c r="J4435" s="148"/>
      <c r="K4435" s="132"/>
      <c r="L4435" s="133"/>
    </row>
    <row r="4436" spans="1:14" x14ac:dyDescent="0.2">
      <c r="A4436" s="199"/>
      <c r="B4436" s="188"/>
      <c r="C4436" s="189"/>
      <c r="D4436" s="165"/>
      <c r="E4436" s="165"/>
      <c r="F4436" s="165"/>
      <c r="G4436" s="165"/>
      <c r="H4436" s="165"/>
      <c r="I4436" s="190"/>
      <c r="J4436" s="191"/>
      <c r="K4436" s="192"/>
      <c r="L4436" s="55"/>
      <c r="M4436" s="55"/>
      <c r="N4436" s="55"/>
    </row>
    <row r="4437" spans="1:14" x14ac:dyDescent="0.2">
      <c r="A4437" s="158"/>
      <c r="B4437" s="188"/>
      <c r="C4437" s="189"/>
      <c r="D4437" s="165"/>
      <c r="E4437" s="165"/>
      <c r="F4437" s="165"/>
      <c r="G4437" s="165"/>
      <c r="H4437" s="165"/>
      <c r="I4437" s="190"/>
      <c r="J4437" s="191"/>
      <c r="K4437" s="192"/>
      <c r="L4437" s="55"/>
      <c r="M4437" s="55"/>
      <c r="N4437" s="55"/>
    </row>
    <row r="4438" spans="1:14" x14ac:dyDescent="0.2">
      <c r="A4438" s="145"/>
      <c r="B4438" s="146"/>
      <c r="C4438" s="147"/>
      <c r="D4438" s="147"/>
      <c r="E4438" s="147"/>
      <c r="F4438" s="147"/>
      <c r="G4438" s="147"/>
      <c r="H4438" s="147"/>
      <c r="I4438" s="147"/>
      <c r="J4438" s="148"/>
      <c r="K4438" s="132"/>
      <c r="L4438" s="133"/>
    </row>
    <row r="4439" spans="1:14" x14ac:dyDescent="0.2">
      <c r="A4439" s="199"/>
      <c r="B4439" s="188"/>
      <c r="C4439" s="189"/>
      <c r="D4439" s="165"/>
      <c r="E4439" s="165"/>
      <c r="F4439" s="165"/>
      <c r="G4439" s="165"/>
      <c r="H4439" s="165"/>
      <c r="I4439" s="190"/>
      <c r="J4439" s="191"/>
      <c r="K4439" s="192"/>
      <c r="L4439" s="55"/>
      <c r="M4439" s="55"/>
      <c r="N4439" s="55"/>
    </row>
    <row r="4440" spans="1:14" x14ac:dyDescent="0.2">
      <c r="A4440" s="158"/>
      <c r="B4440" s="188"/>
      <c r="C4440" s="189"/>
      <c r="D4440" s="165"/>
      <c r="E4440" s="165"/>
      <c r="F4440" s="165"/>
      <c r="G4440" s="165"/>
      <c r="H4440" s="165"/>
      <c r="I4440" s="190"/>
      <c r="J4440" s="191"/>
      <c r="K4440" s="192"/>
      <c r="L4440" s="55"/>
      <c r="M4440" s="55"/>
      <c r="N4440" s="55"/>
    </row>
    <row r="4441" spans="1:14" x14ac:dyDescent="0.2">
      <c r="A4441" s="145"/>
      <c r="B4441" s="146"/>
      <c r="C4441" s="147"/>
      <c r="D4441" s="147"/>
      <c r="E4441" s="147"/>
      <c r="F4441" s="147"/>
      <c r="G4441" s="147"/>
      <c r="H4441" s="147"/>
      <c r="I4441" s="147"/>
      <c r="J4441" s="148"/>
      <c r="K4441" s="132"/>
      <c r="L4441" s="133"/>
    </row>
    <row r="4442" spans="1:14" x14ac:dyDescent="0.2">
      <c r="A4442" s="199"/>
      <c r="B4442" s="188"/>
      <c r="C4442" s="189"/>
      <c r="D4442" s="165"/>
      <c r="E4442" s="165"/>
      <c r="F4442" s="165"/>
      <c r="G4442" s="165"/>
      <c r="H4442" s="165"/>
      <c r="I4442" s="190"/>
      <c r="J4442" s="191"/>
      <c r="K4442" s="192"/>
      <c r="L4442" s="55"/>
      <c r="M4442" s="55"/>
      <c r="N4442" s="55"/>
    </row>
    <row r="4443" spans="1:14" x14ac:dyDescent="0.2">
      <c r="A4443" s="158"/>
      <c r="B4443" s="188"/>
      <c r="C4443" s="189"/>
      <c r="D4443" s="165"/>
      <c r="E4443" s="165"/>
      <c r="F4443" s="165"/>
      <c r="G4443" s="165"/>
      <c r="H4443" s="165"/>
      <c r="I4443" s="190"/>
      <c r="J4443" s="191"/>
      <c r="K4443" s="192"/>
      <c r="L4443" s="55"/>
      <c r="M4443" s="55"/>
      <c r="N4443" s="55"/>
    </row>
    <row r="4444" spans="1:14" x14ac:dyDescent="0.2">
      <c r="A4444" s="145"/>
      <c r="B4444" s="146"/>
      <c r="C4444" s="147"/>
      <c r="D4444" s="147"/>
      <c r="E4444" s="147"/>
      <c r="F4444" s="147"/>
      <c r="G4444" s="147"/>
      <c r="H4444" s="147"/>
      <c r="I4444" s="147"/>
      <c r="J4444" s="148"/>
      <c r="K4444" s="132"/>
      <c r="L4444" s="133"/>
    </row>
    <row r="4445" spans="1:14" ht="13.5" thickBot="1" x14ac:dyDescent="0.25">
      <c r="A4445" s="149"/>
      <c r="B4445" s="150"/>
      <c r="C4445" s="151"/>
      <c r="D4445" s="151"/>
      <c r="E4445" s="151"/>
      <c r="F4445" s="151"/>
      <c r="G4445" s="151"/>
      <c r="H4445" s="151"/>
      <c r="I4445" s="151"/>
      <c r="J4445" s="152"/>
      <c r="K4445" s="132"/>
      <c r="L4445" s="133"/>
    </row>
    <row r="4446" spans="1:14" ht="13.5" thickBot="1" x14ac:dyDescent="0.25">
      <c r="A4446" s="153"/>
      <c r="B4446" s="153"/>
      <c r="C4446" s="154"/>
      <c r="D4446" s="154"/>
      <c r="E4446" s="154"/>
      <c r="F4446" s="154"/>
      <c r="G4446" s="154"/>
      <c r="H4446" s="154"/>
      <c r="I4446" s="154"/>
      <c r="J4446" s="153"/>
      <c r="K4446" s="132"/>
      <c r="L4446" s="133"/>
    </row>
    <row r="4447" spans="1:14" ht="13.5" thickBot="1" x14ac:dyDescent="0.25">
      <c r="A4447" s="614" t="s">
        <v>62</v>
      </c>
      <c r="B4447" s="648"/>
      <c r="C4447" s="648"/>
      <c r="D4447" s="648"/>
      <c r="E4447" s="648"/>
      <c r="F4447" s="648"/>
      <c r="G4447" s="648"/>
      <c r="H4447" s="648"/>
      <c r="I4447" s="648"/>
      <c r="J4447" s="649"/>
      <c r="K4447" s="132"/>
      <c r="L4447" s="133"/>
    </row>
    <row r="4448" spans="1:14" x14ac:dyDescent="0.2">
      <c r="A4448" s="136"/>
      <c r="B4448" s="155"/>
      <c r="C4448" s="156"/>
      <c r="D4448" s="156"/>
      <c r="E4448" s="156"/>
      <c r="F4448" s="156"/>
      <c r="G4448" s="156"/>
      <c r="H4448" s="156"/>
      <c r="I4448" s="156"/>
      <c r="J4448" s="157"/>
      <c r="K4448" s="132"/>
      <c r="L4448" s="133"/>
    </row>
    <row r="4449" spans="1:12" ht="12.75" customHeight="1" x14ac:dyDescent="0.2">
      <c r="A4449" s="158" t="s">
        <v>63</v>
      </c>
      <c r="B4449" s="55"/>
      <c r="C4449" s="596" t="s">
        <v>477</v>
      </c>
      <c r="D4449" s="596"/>
      <c r="E4449" s="596"/>
      <c r="F4449" s="596"/>
      <c r="G4449" s="596"/>
      <c r="H4449" s="596"/>
      <c r="I4449" s="596"/>
      <c r="J4449" s="597"/>
      <c r="K4449" s="132"/>
      <c r="L4449" s="133"/>
    </row>
    <row r="4450" spans="1:12" x14ac:dyDescent="0.2">
      <c r="A4450" s="158"/>
      <c r="B4450" s="55"/>
      <c r="C4450" s="596"/>
      <c r="D4450" s="596"/>
      <c r="E4450" s="596"/>
      <c r="F4450" s="596"/>
      <c r="G4450" s="596"/>
      <c r="H4450" s="596"/>
      <c r="I4450" s="596"/>
      <c r="J4450" s="597"/>
      <c r="K4450" s="132"/>
      <c r="L4450" s="133"/>
    </row>
    <row r="4451" spans="1:12" x14ac:dyDescent="0.2">
      <c r="A4451" s="304"/>
      <c r="B4451" s="55"/>
      <c r="C4451" s="596"/>
      <c r="D4451" s="596"/>
      <c r="E4451" s="596"/>
      <c r="F4451" s="596"/>
      <c r="G4451" s="596"/>
      <c r="H4451" s="596"/>
      <c r="I4451" s="596"/>
      <c r="J4451" s="597"/>
      <c r="K4451" s="132"/>
      <c r="L4451" s="133"/>
    </row>
    <row r="4452" spans="1:12" x14ac:dyDescent="0.2">
      <c r="A4452" s="158"/>
      <c r="B4452" s="55"/>
      <c r="C4452" s="175"/>
      <c r="D4452" s="175"/>
      <c r="E4452" s="175"/>
      <c r="F4452" s="175"/>
      <c r="G4452" s="175"/>
      <c r="H4452" s="175"/>
      <c r="I4452" s="175"/>
      <c r="J4452" s="176"/>
      <c r="K4452" s="132"/>
      <c r="L4452" s="133"/>
    </row>
    <row r="4453" spans="1:12" x14ac:dyDescent="0.2">
      <c r="A4453" s="158" t="s">
        <v>64</v>
      </c>
      <c r="B4453" s="55"/>
      <c r="C4453" s="662" t="s">
        <v>478</v>
      </c>
      <c r="D4453" s="662"/>
      <c r="E4453" s="662"/>
      <c r="F4453" s="662"/>
      <c r="G4453" s="662"/>
      <c r="H4453" s="662"/>
      <c r="I4453" s="662"/>
      <c r="J4453" s="663"/>
      <c r="K4453" s="132"/>
      <c r="L4453" s="133"/>
    </row>
    <row r="4454" spans="1:12" x14ac:dyDescent="0.2">
      <c r="A4454" s="158"/>
      <c r="B4454" s="55"/>
      <c r="C4454" s="71"/>
      <c r="D4454" s="71"/>
      <c r="E4454" s="71"/>
      <c r="F4454" s="71"/>
      <c r="G4454" s="71"/>
      <c r="H4454" s="71"/>
      <c r="I4454" s="71"/>
      <c r="J4454" s="174"/>
      <c r="K4454" s="132"/>
      <c r="L4454" s="133"/>
    </row>
    <row r="4455" spans="1:12" x14ac:dyDescent="0.2">
      <c r="A4455" s="158"/>
      <c r="B4455" s="55"/>
      <c r="C4455" s="71"/>
      <c r="D4455" s="71"/>
      <c r="E4455" s="71"/>
      <c r="F4455" s="71"/>
      <c r="G4455" s="71"/>
      <c r="H4455" s="71"/>
      <c r="I4455" s="71"/>
      <c r="J4455" s="174"/>
      <c r="K4455" s="132"/>
      <c r="L4455" s="133"/>
    </row>
    <row r="4456" spans="1:12" ht="12.75" customHeight="1" x14ac:dyDescent="0.2">
      <c r="A4456" s="139"/>
      <c r="B4456" s="55"/>
      <c r="C4456" s="175"/>
      <c r="D4456" s="175"/>
      <c r="E4456" s="175"/>
      <c r="F4456" s="175"/>
      <c r="G4456" s="175"/>
      <c r="H4456" s="175"/>
      <c r="I4456" s="175"/>
      <c r="J4456" s="176"/>
      <c r="K4456" s="132"/>
      <c r="L4456" s="133"/>
    </row>
    <row r="4457" spans="1:12" x14ac:dyDescent="0.2">
      <c r="A4457" s="158"/>
      <c r="B4457" s="55"/>
      <c r="C4457" s="71"/>
      <c r="D4457" s="71"/>
      <c r="E4457" s="71"/>
      <c r="F4457" s="71"/>
      <c r="G4457" s="71"/>
      <c r="H4457" s="71"/>
      <c r="I4457" s="71"/>
      <c r="J4457" s="174"/>
      <c r="K4457" s="132"/>
      <c r="L4457" s="133"/>
    </row>
    <row r="4458" spans="1:12" x14ac:dyDescent="0.2">
      <c r="A4458" s="158"/>
      <c r="B4458" s="55"/>
      <c r="C4458" s="71"/>
      <c r="D4458" s="71"/>
      <c r="E4458" s="71"/>
      <c r="F4458" s="71"/>
      <c r="G4458" s="71"/>
      <c r="H4458" s="71"/>
      <c r="I4458" s="71"/>
      <c r="J4458" s="174"/>
      <c r="K4458" s="132"/>
      <c r="L4458" s="133"/>
    </row>
    <row r="4459" spans="1:12" x14ac:dyDescent="0.2">
      <c r="A4459" s="158"/>
      <c r="B4459" s="55"/>
      <c r="C4459" s="71"/>
      <c r="D4459" s="71"/>
      <c r="E4459" s="71"/>
      <c r="F4459" s="71"/>
      <c r="G4459" s="71"/>
      <c r="H4459" s="71"/>
      <c r="I4459" s="71"/>
      <c r="J4459" s="174"/>
      <c r="K4459" s="132"/>
      <c r="L4459" s="133"/>
    </row>
    <row r="4460" spans="1:12" x14ac:dyDescent="0.2">
      <c r="A4460" s="158"/>
      <c r="B4460" s="55"/>
      <c r="C4460" s="71"/>
      <c r="D4460" s="71"/>
      <c r="E4460" s="71"/>
      <c r="F4460" s="71"/>
      <c r="G4460" s="71"/>
      <c r="H4460" s="71"/>
      <c r="I4460" s="71"/>
      <c r="J4460" s="174"/>
      <c r="K4460" s="132"/>
      <c r="L4460" s="133"/>
    </row>
    <row r="4461" spans="1:12" x14ac:dyDescent="0.2">
      <c r="A4461" s="158"/>
      <c r="B4461" s="55"/>
      <c r="C4461" s="71"/>
      <c r="D4461" s="71"/>
      <c r="E4461" s="71"/>
      <c r="F4461" s="71"/>
      <c r="G4461" s="71"/>
      <c r="H4461" s="71"/>
      <c r="I4461" s="71"/>
      <c r="J4461" s="174"/>
      <c r="K4461" s="132"/>
      <c r="L4461" s="133"/>
    </row>
    <row r="4462" spans="1:12" x14ac:dyDescent="0.2">
      <c r="A4462" s="158"/>
      <c r="B4462" s="55"/>
      <c r="C4462" s="71"/>
      <c r="D4462" s="71"/>
      <c r="E4462" s="71"/>
      <c r="F4462" s="71"/>
      <c r="G4462" s="71"/>
      <c r="H4462" s="71"/>
      <c r="I4462" s="71"/>
      <c r="J4462" s="174"/>
      <c r="K4462" s="132"/>
      <c r="L4462" s="133"/>
    </row>
    <row r="4463" spans="1:12" x14ac:dyDescent="0.2">
      <c r="A4463" s="158"/>
      <c r="B4463" s="55"/>
      <c r="C4463" s="71"/>
      <c r="D4463" s="71"/>
      <c r="E4463" s="71"/>
      <c r="F4463" s="71"/>
      <c r="G4463" s="71"/>
      <c r="H4463" s="71"/>
      <c r="I4463" s="71"/>
      <c r="J4463" s="174"/>
      <c r="K4463" s="132"/>
      <c r="L4463" s="133"/>
    </row>
    <row r="4464" spans="1:12" x14ac:dyDescent="0.2">
      <c r="A4464" s="158"/>
      <c r="B4464" s="55"/>
      <c r="C4464" s="175"/>
      <c r="D4464" s="175"/>
      <c r="E4464" s="172"/>
      <c r="F4464" s="172"/>
      <c r="G4464" s="172"/>
      <c r="H4464" s="172"/>
      <c r="I4464" s="172"/>
      <c r="J4464" s="173"/>
      <c r="K4464" s="132"/>
      <c r="L4464" s="133"/>
    </row>
    <row r="4465" spans="1:14" x14ac:dyDescent="0.2">
      <c r="A4465" s="158"/>
      <c r="B4465" s="55"/>
      <c r="C4465" s="175"/>
      <c r="D4465" s="175"/>
      <c r="E4465" s="172"/>
      <c r="F4465" s="172"/>
      <c r="G4465" s="172"/>
      <c r="H4465" s="172"/>
      <c r="I4465" s="172"/>
      <c r="J4465" s="173"/>
      <c r="K4465" s="132"/>
      <c r="L4465" s="133"/>
    </row>
    <row r="4466" spans="1:14" x14ac:dyDescent="0.2">
      <c r="A4466" s="158"/>
      <c r="B4466" s="55"/>
      <c r="C4466" s="175"/>
      <c r="D4466" s="175"/>
      <c r="E4466" s="172"/>
      <c r="F4466" s="172"/>
      <c r="G4466" s="172"/>
      <c r="H4466" s="172"/>
      <c r="I4466" s="172"/>
      <c r="J4466" s="173"/>
      <c r="K4466" s="132"/>
      <c r="L4466" s="133"/>
    </row>
    <row r="4467" spans="1:14" x14ac:dyDescent="0.2">
      <c r="A4467" s="158"/>
      <c r="B4467" s="55"/>
      <c r="C4467" s="175"/>
      <c r="D4467" s="175"/>
      <c r="E4467" s="175"/>
      <c r="F4467" s="175"/>
      <c r="G4467" s="175"/>
      <c r="H4467" s="175"/>
      <c r="I4467" s="175"/>
      <c r="J4467" s="176"/>
      <c r="K4467" s="132"/>
      <c r="L4467" s="133"/>
    </row>
    <row r="4468" spans="1:14" x14ac:dyDescent="0.2">
      <c r="A4468" s="158"/>
      <c r="B4468" s="55"/>
      <c r="C4468" s="175"/>
      <c r="D4468" s="175"/>
      <c r="E4468" s="175"/>
      <c r="F4468" s="175"/>
      <c r="G4468" s="175"/>
      <c r="H4468" s="175"/>
      <c r="I4468" s="175"/>
      <c r="J4468" s="176"/>
      <c r="K4468" s="132"/>
      <c r="L4468" s="133"/>
    </row>
    <row r="4469" spans="1:14" x14ac:dyDescent="0.2">
      <c r="A4469" s="158"/>
      <c r="B4469" s="55"/>
      <c r="C4469" s="175"/>
      <c r="D4469" s="175"/>
      <c r="E4469" s="175"/>
      <c r="F4469" s="175"/>
      <c r="G4469" s="175"/>
      <c r="H4469" s="175"/>
      <c r="I4469" s="175"/>
      <c r="J4469" s="176"/>
      <c r="K4469" s="132"/>
      <c r="L4469" s="133"/>
    </row>
    <row r="4470" spans="1:14" x14ac:dyDescent="0.2">
      <c r="A4470" s="161"/>
      <c r="B4470" s="2"/>
      <c r="C4470" s="175"/>
      <c r="D4470" s="175"/>
      <c r="E4470" s="175"/>
      <c r="F4470" s="175"/>
      <c r="G4470" s="175"/>
      <c r="H4470" s="175"/>
      <c r="I4470" s="175"/>
      <c r="J4470" s="176"/>
      <c r="K4470" s="132"/>
      <c r="L4470" s="133"/>
    </row>
    <row r="4471" spans="1:14" ht="13.5" thickBot="1" x14ac:dyDescent="0.25">
      <c r="A4471" s="149"/>
      <c r="B4471" s="167"/>
      <c r="C4471" s="151"/>
      <c r="D4471" s="151"/>
      <c r="E4471" s="151"/>
      <c r="F4471" s="151"/>
      <c r="G4471" s="151"/>
      <c r="H4471" s="151"/>
      <c r="I4471" s="151"/>
      <c r="J4471" s="168"/>
      <c r="K4471" s="132"/>
      <c r="L4471" s="133"/>
    </row>
    <row r="4472" spans="1:14" ht="15.75" x14ac:dyDescent="0.2">
      <c r="A4472" s="602" t="s">
        <v>4</v>
      </c>
      <c r="B4472" s="603"/>
      <c r="C4472" s="603" t="str">
        <f>'A IV.A'!$B$134</f>
        <v>PINTURAS - ITEM 11.0 DO TERMO DE REFERÊNCIA</v>
      </c>
      <c r="D4472" s="603"/>
      <c r="E4472" s="603"/>
      <c r="F4472" s="603"/>
      <c r="G4472" s="603"/>
      <c r="H4472" s="603"/>
      <c r="I4472" s="603"/>
      <c r="J4472" s="604"/>
      <c r="K4472" s="132"/>
      <c r="L4472" s="133"/>
    </row>
    <row r="4473" spans="1:14" x14ac:dyDescent="0.2">
      <c r="A4473" s="609" t="str">
        <f>'A IV.A'!$A$134</f>
        <v>6.0</v>
      </c>
      <c r="B4473" s="610"/>
      <c r="C4473" s="605"/>
      <c r="D4473" s="605"/>
      <c r="E4473" s="605"/>
      <c r="F4473" s="605"/>
      <c r="G4473" s="605"/>
      <c r="H4473" s="605"/>
      <c r="I4473" s="605"/>
      <c r="J4473" s="606"/>
      <c r="K4473" s="132"/>
      <c r="L4473" s="133"/>
    </row>
    <row r="4474" spans="1:14" ht="13.5" thickBot="1" x14ac:dyDescent="0.25">
      <c r="A4474" s="611" t="str">
        <f>'A IV.A'!$A$134</f>
        <v>6.0</v>
      </c>
      <c r="B4474" s="612"/>
      <c r="C4474" s="607"/>
      <c r="D4474" s="607"/>
      <c r="E4474" s="607"/>
      <c r="F4474" s="607"/>
      <c r="G4474" s="607"/>
      <c r="H4474" s="607"/>
      <c r="I4474" s="607"/>
      <c r="J4474" s="608"/>
      <c r="K4474" s="132"/>
      <c r="L4474" s="133"/>
    </row>
    <row r="4475" spans="1:14" ht="13.5" thickBot="1" x14ac:dyDescent="0.25">
      <c r="A4475" s="169"/>
      <c r="B4475" s="169"/>
      <c r="C4475" s="613"/>
      <c r="D4475" s="613"/>
      <c r="E4475" s="613"/>
      <c r="F4475" s="613"/>
      <c r="G4475" s="613"/>
      <c r="H4475" s="613"/>
      <c r="I4475" s="613"/>
      <c r="J4475" s="169"/>
      <c r="K4475" s="132"/>
      <c r="L4475" s="133"/>
    </row>
    <row r="4476" spans="1:14" ht="13.5" thickBot="1" x14ac:dyDescent="0.25">
      <c r="A4476" s="632" t="s">
        <v>60</v>
      </c>
      <c r="B4476" s="633"/>
      <c r="C4476" s="656" t="s">
        <v>61</v>
      </c>
      <c r="D4476" s="656"/>
      <c r="E4476" s="656"/>
      <c r="F4476" s="656"/>
      <c r="G4476" s="656"/>
      <c r="H4476" s="656"/>
      <c r="I4476" s="656"/>
      <c r="J4476" s="260" t="s">
        <v>0</v>
      </c>
      <c r="K4476" s="132"/>
      <c r="L4476" s="133"/>
    </row>
    <row r="4477" spans="1:14" x14ac:dyDescent="0.2">
      <c r="A4477" s="136"/>
      <c r="B4477" s="137"/>
      <c r="C4477" s="619"/>
      <c r="D4477" s="620"/>
      <c r="E4477" s="621"/>
      <c r="F4477" s="621"/>
      <c r="G4477" s="621"/>
      <c r="H4477" s="621"/>
      <c r="I4477" s="622"/>
      <c r="J4477" s="138"/>
      <c r="K4477" s="132"/>
      <c r="L4477" s="133"/>
    </row>
    <row r="4478" spans="1:14" ht="12.75" customHeight="1" x14ac:dyDescent="0.2">
      <c r="A4478" s="623" t="str">
        <f>'A IV.A'!$A$143</f>
        <v>6.6</v>
      </c>
      <c r="B4478" s="636"/>
      <c r="C4478" s="626" t="str">
        <f>'A IV.A'!$B$143</f>
        <v>PINTURA DE RESERV. ELEVADO DE CONCRETO - LÁTEX ACRÍLICO FOSCO COR BRANCA 2 DEMÃOS E FAIXAS AZUIS CONFORME PADRÃO SEMAE</v>
      </c>
      <c r="D4478" s="627"/>
      <c r="E4478" s="627"/>
      <c r="F4478" s="627"/>
      <c r="G4478" s="627"/>
      <c r="H4478" s="627"/>
      <c r="I4478" s="628"/>
      <c r="J4478" s="629" t="str">
        <f>'A IV.A'!$C$143</f>
        <v>M2</v>
      </c>
      <c r="K4478" s="657" t="str">
        <f>VLOOKUP(A4478,'A IV.A'!$A$14:$M$233,2,FALSE)</f>
        <v>PINTURA DE RESERV. ELEVADO DE CONCRETO - LÁTEX ACRÍLICO FOSCO COR BRANCA 2 DEMÃOS E FAIXAS AZUIS CONFORME PADRÃO SEMAE</v>
      </c>
      <c r="L4478" s="631" t="str">
        <f>IF(C4478=K4478,"sim","nao")</f>
        <v>sim</v>
      </c>
      <c r="M4478" s="631" t="str">
        <f>VLOOKUP(A4478,'A IV.A'!$A$14:$M$233,3,FALSE)</f>
        <v>M2</v>
      </c>
      <c r="N4478" s="631" t="str">
        <f>IF(J4478=M4478,"sim","nao")</f>
        <v>sim</v>
      </c>
    </row>
    <row r="4479" spans="1:14" x14ac:dyDescent="0.2">
      <c r="A4479" s="623"/>
      <c r="B4479" s="636"/>
      <c r="C4479" s="626"/>
      <c r="D4479" s="627"/>
      <c r="E4479" s="627"/>
      <c r="F4479" s="627"/>
      <c r="G4479" s="627"/>
      <c r="H4479" s="627"/>
      <c r="I4479" s="628"/>
      <c r="J4479" s="629"/>
      <c r="K4479" s="657"/>
      <c r="L4479" s="631"/>
      <c r="M4479" s="631"/>
      <c r="N4479" s="631"/>
    </row>
    <row r="4480" spans="1:14" x14ac:dyDescent="0.2">
      <c r="A4480" s="623"/>
      <c r="B4480" s="636"/>
      <c r="C4480" s="626"/>
      <c r="D4480" s="627"/>
      <c r="E4480" s="627"/>
      <c r="F4480" s="627"/>
      <c r="G4480" s="627"/>
      <c r="H4480" s="627"/>
      <c r="I4480" s="628"/>
      <c r="J4480" s="629"/>
      <c r="K4480" s="132"/>
      <c r="L4480" s="133"/>
    </row>
    <row r="4481" spans="1:14" x14ac:dyDescent="0.2">
      <c r="A4481" s="139"/>
      <c r="B4481" s="56"/>
      <c r="C4481" s="299"/>
      <c r="D4481" s="56"/>
      <c r="E4481" s="56"/>
      <c r="F4481" s="56"/>
      <c r="G4481" s="56"/>
      <c r="H4481" s="56"/>
      <c r="I4481" s="140"/>
      <c r="J4481" s="314"/>
      <c r="K4481" s="56"/>
      <c r="L4481" s="56"/>
      <c r="M4481" s="56"/>
      <c r="N4481" s="56"/>
    </row>
    <row r="4482" spans="1:14" x14ac:dyDescent="0.2">
      <c r="A4482" s="139"/>
      <c r="B4482" s="56"/>
      <c r="C4482" s="299"/>
      <c r="D4482" s="56"/>
      <c r="E4482" s="56"/>
      <c r="F4482" s="56"/>
      <c r="G4482" s="56"/>
      <c r="H4482" s="56"/>
      <c r="I4482" s="140"/>
      <c r="J4482" s="314"/>
      <c r="K4482" s="56"/>
      <c r="L4482" s="56"/>
      <c r="M4482" s="56"/>
      <c r="N4482" s="56"/>
    </row>
    <row r="4483" spans="1:14" ht="12.75" customHeight="1" x14ac:dyDescent="0.2">
      <c r="A4483" s="623" t="str">
        <f>'A IV.A'!$A$144</f>
        <v>6.7</v>
      </c>
      <c r="B4483" s="636"/>
      <c r="C4483" s="626" t="str">
        <f>'A IV.A'!$B$144</f>
        <v>PINTURA DE RESERV. APOIADO DE CONCRETO - LÁTEX ACRÍLICO FOSCO COR BRANCA 2 DEMÃOS E FAIXAS AZUIS CONFORME PADRÃO SEMAE</v>
      </c>
      <c r="D4483" s="627"/>
      <c r="E4483" s="627"/>
      <c r="F4483" s="627"/>
      <c r="G4483" s="627"/>
      <c r="H4483" s="627"/>
      <c r="I4483" s="628"/>
      <c r="J4483" s="629" t="str">
        <f>'A IV.A'!$C$144</f>
        <v>M2</v>
      </c>
      <c r="K4483" s="657" t="str">
        <f>VLOOKUP(A4483,'A IV.A'!$A$14:$M$233,2,FALSE)</f>
        <v>PINTURA DE RESERV. APOIADO DE CONCRETO - LÁTEX ACRÍLICO FOSCO COR BRANCA 2 DEMÃOS E FAIXAS AZUIS CONFORME PADRÃO SEMAE</v>
      </c>
      <c r="L4483" s="631" t="str">
        <f>IF(C4483=K4483,"sim","nao")</f>
        <v>sim</v>
      </c>
      <c r="M4483" s="631" t="str">
        <f>VLOOKUP(A4483,'A IV.A'!$A$14:$M$233,3,FALSE)</f>
        <v>M2</v>
      </c>
      <c r="N4483" s="631" t="str">
        <f>IF(J4483=M4483,"sim","nao")</f>
        <v>sim</v>
      </c>
    </row>
    <row r="4484" spans="1:14" x14ac:dyDescent="0.2">
      <c r="A4484" s="623"/>
      <c r="B4484" s="636"/>
      <c r="C4484" s="626"/>
      <c r="D4484" s="627"/>
      <c r="E4484" s="627"/>
      <c r="F4484" s="627"/>
      <c r="G4484" s="627"/>
      <c r="H4484" s="627"/>
      <c r="I4484" s="628"/>
      <c r="J4484" s="629"/>
      <c r="K4484" s="657"/>
      <c r="L4484" s="631"/>
      <c r="M4484" s="631"/>
      <c r="N4484" s="631"/>
    </row>
    <row r="4485" spans="1:14" x14ac:dyDescent="0.2">
      <c r="A4485" s="623"/>
      <c r="B4485" s="636"/>
      <c r="C4485" s="626"/>
      <c r="D4485" s="627"/>
      <c r="E4485" s="627"/>
      <c r="F4485" s="627"/>
      <c r="G4485" s="627"/>
      <c r="H4485" s="627"/>
      <c r="I4485" s="628"/>
      <c r="J4485" s="629"/>
      <c r="K4485" s="171"/>
      <c r="L4485" s="54"/>
      <c r="M4485" s="54"/>
      <c r="N4485" s="54"/>
    </row>
    <row r="4486" spans="1:14" x14ac:dyDescent="0.2">
      <c r="A4486" s="145"/>
      <c r="B4486" s="146"/>
      <c r="C4486" s="147"/>
      <c r="D4486" s="147"/>
      <c r="E4486" s="147"/>
      <c r="F4486" s="147"/>
      <c r="G4486" s="147"/>
      <c r="H4486" s="147"/>
      <c r="I4486" s="147"/>
      <c r="J4486" s="148"/>
      <c r="K4486" s="132"/>
      <c r="L4486" s="133"/>
    </row>
    <row r="4487" spans="1:14" x14ac:dyDescent="0.2">
      <c r="A4487" s="199"/>
      <c r="B4487" s="188"/>
      <c r="C4487" s="189"/>
      <c r="D4487" s="165"/>
      <c r="E4487" s="165"/>
      <c r="F4487" s="165"/>
      <c r="G4487" s="165"/>
      <c r="H4487" s="165"/>
      <c r="I4487" s="190"/>
      <c r="J4487" s="191"/>
      <c r="K4487" s="171"/>
      <c r="L4487" s="55"/>
      <c r="M4487" s="55"/>
      <c r="N4487" s="55"/>
    </row>
    <row r="4488" spans="1:14" x14ac:dyDescent="0.2">
      <c r="A4488" s="623"/>
      <c r="B4488" s="636"/>
      <c r="C4488" s="626"/>
      <c r="D4488" s="627"/>
      <c r="E4488" s="627"/>
      <c r="F4488" s="627"/>
      <c r="G4488" s="627"/>
      <c r="H4488" s="627"/>
      <c r="I4488" s="628"/>
      <c r="J4488" s="629"/>
      <c r="K4488" s="657"/>
      <c r="L4488" s="631"/>
      <c r="M4488" s="631"/>
      <c r="N4488" s="631"/>
    </row>
    <row r="4489" spans="1:14" x14ac:dyDescent="0.2">
      <c r="A4489" s="623"/>
      <c r="B4489" s="636"/>
      <c r="C4489" s="626"/>
      <c r="D4489" s="627"/>
      <c r="E4489" s="627"/>
      <c r="F4489" s="627"/>
      <c r="G4489" s="627"/>
      <c r="H4489" s="627"/>
      <c r="I4489" s="628"/>
      <c r="J4489" s="629"/>
      <c r="K4489" s="657"/>
      <c r="L4489" s="631"/>
      <c r="M4489" s="631"/>
      <c r="N4489" s="631"/>
    </row>
    <row r="4490" spans="1:14" x14ac:dyDescent="0.2">
      <c r="A4490" s="623"/>
      <c r="B4490" s="636"/>
      <c r="C4490" s="626"/>
      <c r="D4490" s="627"/>
      <c r="E4490" s="627"/>
      <c r="F4490" s="627"/>
      <c r="G4490" s="627"/>
      <c r="H4490" s="627"/>
      <c r="I4490" s="628"/>
      <c r="J4490" s="629"/>
      <c r="K4490" s="171"/>
      <c r="L4490" s="55"/>
      <c r="M4490" s="55"/>
      <c r="N4490" s="55"/>
    </row>
    <row r="4491" spans="1:14" x14ac:dyDescent="0.2">
      <c r="A4491" s="199"/>
      <c r="B4491" s="188"/>
      <c r="C4491" s="189"/>
      <c r="D4491" s="165"/>
      <c r="E4491" s="165"/>
      <c r="F4491" s="165"/>
      <c r="G4491" s="165"/>
      <c r="H4491" s="165"/>
      <c r="I4491" s="190"/>
      <c r="J4491" s="191"/>
      <c r="K4491" s="171"/>
      <c r="L4491" s="55"/>
      <c r="M4491" s="55"/>
      <c r="N4491" s="55"/>
    </row>
    <row r="4492" spans="1:14" x14ac:dyDescent="0.2">
      <c r="A4492" s="158"/>
      <c r="B4492" s="188"/>
      <c r="C4492" s="189"/>
      <c r="D4492" s="165"/>
      <c r="E4492" s="165"/>
      <c r="F4492" s="165"/>
      <c r="G4492" s="165"/>
      <c r="H4492" s="165"/>
      <c r="I4492" s="190"/>
      <c r="J4492" s="191"/>
      <c r="K4492" s="171"/>
      <c r="L4492" s="55"/>
      <c r="M4492" s="55"/>
      <c r="N4492" s="55"/>
    </row>
    <row r="4493" spans="1:14" x14ac:dyDescent="0.2">
      <c r="A4493" s="145"/>
      <c r="B4493" s="146"/>
      <c r="C4493" s="147"/>
      <c r="D4493" s="147"/>
      <c r="E4493" s="147"/>
      <c r="F4493" s="147"/>
      <c r="G4493" s="147"/>
      <c r="H4493" s="147"/>
      <c r="I4493" s="147"/>
      <c r="J4493" s="148"/>
      <c r="K4493" s="132"/>
      <c r="L4493" s="133"/>
    </row>
    <row r="4494" spans="1:14" x14ac:dyDescent="0.2">
      <c r="A4494" s="199"/>
      <c r="B4494" s="188"/>
      <c r="C4494" s="189"/>
      <c r="D4494" s="165"/>
      <c r="E4494" s="165"/>
      <c r="F4494" s="165"/>
      <c r="G4494" s="165"/>
      <c r="H4494" s="165"/>
      <c r="I4494" s="190"/>
      <c r="J4494" s="191"/>
      <c r="K4494" s="171"/>
      <c r="L4494" s="55"/>
      <c r="M4494" s="55"/>
      <c r="N4494" s="55"/>
    </row>
    <row r="4495" spans="1:14" x14ac:dyDescent="0.2">
      <c r="A4495" s="158"/>
      <c r="B4495" s="188"/>
      <c r="C4495" s="189"/>
      <c r="D4495" s="165"/>
      <c r="E4495" s="165"/>
      <c r="F4495" s="165"/>
      <c r="G4495" s="165"/>
      <c r="H4495" s="165"/>
      <c r="I4495" s="190"/>
      <c r="J4495" s="191"/>
      <c r="K4495" s="171"/>
      <c r="L4495" s="55"/>
      <c r="M4495" s="55"/>
      <c r="N4495" s="55"/>
    </row>
    <row r="4496" spans="1:14" x14ac:dyDescent="0.2">
      <c r="A4496" s="145"/>
      <c r="B4496" s="146"/>
      <c r="C4496" s="147"/>
      <c r="D4496" s="147"/>
      <c r="E4496" s="147"/>
      <c r="F4496" s="147"/>
      <c r="G4496" s="147"/>
      <c r="H4496" s="147"/>
      <c r="I4496" s="147"/>
      <c r="J4496" s="148"/>
      <c r="K4496" s="132"/>
      <c r="L4496" s="133"/>
    </row>
    <row r="4497" spans="1:12" ht="13.5" thickBot="1" x14ac:dyDescent="0.25">
      <c r="A4497" s="149"/>
      <c r="B4497" s="150"/>
      <c r="C4497" s="151"/>
      <c r="D4497" s="151"/>
      <c r="E4497" s="151"/>
      <c r="F4497" s="151"/>
      <c r="G4497" s="151"/>
      <c r="H4497" s="151"/>
      <c r="I4497" s="151"/>
      <c r="J4497" s="152"/>
      <c r="K4497" s="132"/>
      <c r="L4497" s="133"/>
    </row>
    <row r="4498" spans="1:12" ht="13.5" thickBot="1" x14ac:dyDescent="0.25">
      <c r="A4498" s="153"/>
      <c r="B4498" s="153"/>
      <c r="C4498" s="154"/>
      <c r="D4498" s="154"/>
      <c r="E4498" s="154"/>
      <c r="F4498" s="154"/>
      <c r="G4498" s="154"/>
      <c r="H4498" s="154"/>
      <c r="I4498" s="154"/>
      <c r="J4498" s="153"/>
      <c r="K4498" s="132"/>
      <c r="L4498" s="133"/>
    </row>
    <row r="4499" spans="1:12" ht="13.5" thickBot="1" x14ac:dyDescent="0.25">
      <c r="A4499" s="614" t="s">
        <v>62</v>
      </c>
      <c r="B4499" s="648"/>
      <c r="C4499" s="648"/>
      <c r="D4499" s="648"/>
      <c r="E4499" s="648"/>
      <c r="F4499" s="648"/>
      <c r="G4499" s="648"/>
      <c r="H4499" s="648"/>
      <c r="I4499" s="648"/>
      <c r="J4499" s="649"/>
      <c r="K4499" s="132"/>
      <c r="L4499" s="133"/>
    </row>
    <row r="4500" spans="1:12" x14ac:dyDescent="0.2">
      <c r="A4500" s="136"/>
      <c r="B4500" s="155"/>
      <c r="C4500" s="156"/>
      <c r="D4500" s="156"/>
      <c r="E4500" s="156"/>
      <c r="F4500" s="156"/>
      <c r="G4500" s="156"/>
      <c r="H4500" s="156"/>
      <c r="I4500" s="156"/>
      <c r="J4500" s="157"/>
      <c r="K4500" s="132"/>
      <c r="L4500" s="133"/>
    </row>
    <row r="4501" spans="1:12" ht="12.75" customHeight="1" x14ac:dyDescent="0.2">
      <c r="A4501" s="158" t="s">
        <v>63</v>
      </c>
      <c r="B4501" s="55"/>
      <c r="C4501" s="634" t="s">
        <v>1125</v>
      </c>
      <c r="D4501" s="634"/>
      <c r="E4501" s="634"/>
      <c r="F4501" s="634"/>
      <c r="G4501" s="634"/>
      <c r="H4501" s="634"/>
      <c r="I4501" s="634"/>
      <c r="J4501" s="635"/>
      <c r="K4501" s="132"/>
      <c r="L4501" s="133"/>
    </row>
    <row r="4502" spans="1:12" x14ac:dyDescent="0.2">
      <c r="A4502" s="158"/>
      <c r="B4502" s="55"/>
      <c r="C4502" s="634"/>
      <c r="D4502" s="634"/>
      <c r="E4502" s="634"/>
      <c r="F4502" s="634"/>
      <c r="G4502" s="634"/>
      <c r="H4502" s="634"/>
      <c r="I4502" s="634"/>
      <c r="J4502" s="635"/>
      <c r="K4502" s="132"/>
      <c r="L4502" s="133"/>
    </row>
    <row r="4503" spans="1:12" x14ac:dyDescent="0.2">
      <c r="A4503" s="158"/>
      <c r="B4503" s="55"/>
      <c r="C4503" s="634"/>
      <c r="D4503" s="634"/>
      <c r="E4503" s="634"/>
      <c r="F4503" s="634"/>
      <c r="G4503" s="634"/>
      <c r="H4503" s="634"/>
      <c r="I4503" s="634"/>
      <c r="J4503" s="635"/>
      <c r="K4503" s="132"/>
      <c r="L4503" s="133"/>
    </row>
    <row r="4504" spans="1:12" x14ac:dyDescent="0.2">
      <c r="A4504" s="158"/>
      <c r="B4504" s="55"/>
      <c r="C4504" s="634"/>
      <c r="D4504" s="634"/>
      <c r="E4504" s="634"/>
      <c r="F4504" s="634"/>
      <c r="G4504" s="634"/>
      <c r="H4504" s="634"/>
      <c r="I4504" s="634"/>
      <c r="J4504" s="635"/>
      <c r="K4504" s="132"/>
      <c r="L4504" s="133"/>
    </row>
    <row r="4505" spans="1:12" x14ac:dyDescent="0.2">
      <c r="A4505" s="158"/>
      <c r="B4505" s="55"/>
      <c r="C4505" s="634"/>
      <c r="D4505" s="634"/>
      <c r="E4505" s="634"/>
      <c r="F4505" s="634"/>
      <c r="G4505" s="634"/>
      <c r="H4505" s="634"/>
      <c r="I4505" s="634"/>
      <c r="J4505" s="635"/>
      <c r="K4505" s="132"/>
      <c r="L4505" s="133"/>
    </row>
    <row r="4506" spans="1:12" x14ac:dyDescent="0.2">
      <c r="A4506" s="158"/>
      <c r="B4506" s="55"/>
      <c r="C4506" s="634"/>
      <c r="D4506" s="634"/>
      <c r="E4506" s="634"/>
      <c r="F4506" s="634"/>
      <c r="G4506" s="634"/>
      <c r="H4506" s="634"/>
      <c r="I4506" s="634"/>
      <c r="J4506" s="635"/>
      <c r="K4506" s="132"/>
      <c r="L4506" s="133"/>
    </row>
    <row r="4507" spans="1:12" x14ac:dyDescent="0.2">
      <c r="A4507" s="177"/>
      <c r="B4507" s="74"/>
      <c r="C4507" s="634"/>
      <c r="D4507" s="634"/>
      <c r="E4507" s="634"/>
      <c r="F4507" s="634"/>
      <c r="G4507" s="634"/>
      <c r="H4507" s="634"/>
      <c r="I4507" s="634"/>
      <c r="J4507" s="635"/>
      <c r="K4507" s="132"/>
      <c r="L4507" s="133"/>
    </row>
    <row r="4508" spans="1:12" x14ac:dyDescent="0.2">
      <c r="C4508" s="634"/>
      <c r="D4508" s="634"/>
      <c r="E4508" s="634"/>
      <c r="F4508" s="634"/>
      <c r="G4508" s="634"/>
      <c r="H4508" s="634"/>
      <c r="I4508" s="634"/>
      <c r="J4508" s="635"/>
      <c r="K4508" s="132"/>
      <c r="L4508" s="133"/>
    </row>
    <row r="4509" spans="1:12" x14ac:dyDescent="0.2">
      <c r="A4509" s="671" t="s">
        <v>64</v>
      </c>
      <c r="B4509" s="672"/>
      <c r="C4509" s="596" t="s">
        <v>473</v>
      </c>
      <c r="D4509" s="596"/>
      <c r="E4509" s="596"/>
      <c r="F4509" s="596"/>
      <c r="G4509" s="596"/>
      <c r="H4509" s="596"/>
      <c r="I4509" s="596"/>
      <c r="J4509" s="597"/>
      <c r="K4509" s="132"/>
      <c r="L4509" s="133"/>
    </row>
    <row r="4510" spans="1:12" ht="12.75" customHeight="1" x14ac:dyDescent="0.2">
      <c r="A4510" s="161"/>
      <c r="B4510" s="2"/>
      <c r="C4510" s="175"/>
      <c r="D4510" s="175"/>
      <c r="E4510" s="175"/>
      <c r="F4510" s="175"/>
      <c r="G4510" s="175"/>
      <c r="H4510" s="175"/>
      <c r="I4510" s="175"/>
      <c r="J4510" s="176"/>
      <c r="K4510" s="132"/>
      <c r="L4510" s="133"/>
    </row>
    <row r="4511" spans="1:12" x14ac:dyDescent="0.2">
      <c r="A4511" s="139" t="s">
        <v>65</v>
      </c>
      <c r="B4511" s="56"/>
      <c r="C4511" s="652" t="s">
        <v>867</v>
      </c>
      <c r="D4511" s="652"/>
      <c r="E4511" s="652"/>
      <c r="F4511" s="652"/>
      <c r="G4511" s="652"/>
      <c r="H4511" s="652"/>
      <c r="I4511" s="652"/>
      <c r="J4511" s="653"/>
      <c r="K4511" s="132"/>
      <c r="L4511" s="133"/>
    </row>
    <row r="4512" spans="1:12" ht="12.75" customHeight="1" x14ac:dyDescent="0.2">
      <c r="A4512" s="158"/>
      <c r="B4512" s="55"/>
      <c r="C4512" s="652"/>
      <c r="D4512" s="652"/>
      <c r="E4512" s="652"/>
      <c r="F4512" s="652"/>
      <c r="G4512" s="652"/>
      <c r="H4512" s="652"/>
      <c r="I4512" s="652"/>
      <c r="J4512" s="653"/>
      <c r="K4512" s="132"/>
      <c r="L4512" s="133"/>
    </row>
    <row r="4513" spans="1:12" x14ac:dyDescent="0.2">
      <c r="A4513" s="158"/>
      <c r="B4513" s="55"/>
      <c r="C4513" s="662" t="s">
        <v>868</v>
      </c>
      <c r="D4513" s="662"/>
      <c r="E4513" s="662"/>
      <c r="F4513" s="662"/>
      <c r="G4513" s="662"/>
      <c r="H4513" s="662"/>
      <c r="I4513" s="662"/>
      <c r="J4513" s="663"/>
      <c r="K4513" s="132"/>
      <c r="L4513" s="133"/>
    </row>
    <row r="4514" spans="1:12" ht="12.75" customHeight="1" x14ac:dyDescent="0.2">
      <c r="A4514" s="158"/>
      <c r="B4514" s="55"/>
      <c r="C4514" s="596" t="s">
        <v>869</v>
      </c>
      <c r="D4514" s="596"/>
      <c r="E4514" s="596"/>
      <c r="F4514" s="596"/>
      <c r="G4514" s="596"/>
      <c r="H4514" s="596"/>
      <c r="I4514" s="596"/>
      <c r="J4514" s="597"/>
      <c r="K4514" s="132"/>
      <c r="L4514" s="133"/>
    </row>
    <row r="4515" spans="1:12" ht="12.75" customHeight="1" x14ac:dyDescent="0.2">
      <c r="A4515" s="158"/>
      <c r="B4515" s="55"/>
      <c r="C4515" s="596"/>
      <c r="D4515" s="596"/>
      <c r="E4515" s="596"/>
      <c r="F4515" s="596"/>
      <c r="G4515" s="596"/>
      <c r="H4515" s="596"/>
      <c r="I4515" s="596"/>
      <c r="J4515" s="597"/>
      <c r="K4515" s="132"/>
      <c r="L4515" s="133"/>
    </row>
    <row r="4516" spans="1:12" ht="12.75" customHeight="1" x14ac:dyDescent="0.2">
      <c r="C4516" s="683" t="s">
        <v>948</v>
      </c>
      <c r="D4516" s="683"/>
      <c r="E4516" s="683"/>
      <c r="F4516" s="683"/>
      <c r="G4516" s="683"/>
      <c r="H4516" s="683"/>
      <c r="I4516" s="683"/>
      <c r="J4516" s="684"/>
      <c r="K4516" s="132"/>
      <c r="L4516" s="133"/>
    </row>
    <row r="4517" spans="1:12" x14ac:dyDescent="0.2">
      <c r="A4517" s="158"/>
      <c r="B4517" s="55"/>
      <c r="C4517" s="683"/>
      <c r="D4517" s="683"/>
      <c r="E4517" s="683"/>
      <c r="F4517" s="683"/>
      <c r="G4517" s="683"/>
      <c r="H4517" s="683"/>
      <c r="I4517" s="683"/>
      <c r="J4517" s="684"/>
      <c r="K4517" s="132"/>
      <c r="L4517" s="133"/>
    </row>
    <row r="4518" spans="1:12" x14ac:dyDescent="0.2">
      <c r="A4518" s="158"/>
      <c r="B4518" s="55"/>
      <c r="C4518" s="683"/>
      <c r="D4518" s="683"/>
      <c r="E4518" s="683"/>
      <c r="F4518" s="683"/>
      <c r="G4518" s="683"/>
      <c r="H4518" s="683"/>
      <c r="I4518" s="683"/>
      <c r="J4518" s="684"/>
      <c r="K4518" s="132"/>
      <c r="L4518" s="133"/>
    </row>
    <row r="4519" spans="1:12" x14ac:dyDescent="0.2">
      <c r="A4519" s="158"/>
      <c r="B4519" s="55"/>
      <c r="C4519" s="652" t="s">
        <v>871</v>
      </c>
      <c r="D4519" s="652"/>
      <c r="E4519" s="652"/>
      <c r="F4519" s="652"/>
      <c r="G4519" s="652"/>
      <c r="H4519" s="652"/>
      <c r="I4519" s="652"/>
      <c r="J4519" s="653"/>
      <c r="K4519" s="132"/>
      <c r="L4519" s="133"/>
    </row>
    <row r="4520" spans="1:12" x14ac:dyDescent="0.2">
      <c r="A4520" s="158"/>
      <c r="B4520" s="55"/>
      <c r="C4520" s="652"/>
      <c r="D4520" s="652"/>
      <c r="E4520" s="652"/>
      <c r="F4520" s="652"/>
      <c r="G4520" s="652"/>
      <c r="H4520" s="652"/>
      <c r="I4520" s="652"/>
      <c r="J4520" s="653"/>
      <c r="K4520" s="132"/>
      <c r="L4520" s="133"/>
    </row>
    <row r="4521" spans="1:12" x14ac:dyDescent="0.2">
      <c r="A4521" s="158"/>
      <c r="B4521" s="55"/>
      <c r="C4521" s="652"/>
      <c r="D4521" s="652"/>
      <c r="E4521" s="652"/>
      <c r="F4521" s="652"/>
      <c r="G4521" s="652"/>
      <c r="H4521" s="652"/>
      <c r="I4521" s="652"/>
      <c r="J4521" s="653"/>
      <c r="K4521" s="132"/>
      <c r="L4521" s="133"/>
    </row>
    <row r="4522" spans="1:12" x14ac:dyDescent="0.2">
      <c r="A4522" s="158"/>
      <c r="B4522" s="55"/>
      <c r="C4522" s="652"/>
      <c r="D4522" s="652"/>
      <c r="E4522" s="652"/>
      <c r="F4522" s="652"/>
      <c r="G4522" s="652"/>
      <c r="H4522" s="652"/>
      <c r="I4522" s="652"/>
      <c r="J4522" s="653"/>
      <c r="K4522" s="132"/>
      <c r="L4522" s="133"/>
    </row>
    <row r="4523" spans="1:12" x14ac:dyDescent="0.2">
      <c r="A4523" s="158"/>
      <c r="B4523" s="55"/>
      <c r="C4523" s="652"/>
      <c r="D4523" s="652"/>
      <c r="E4523" s="652"/>
      <c r="F4523" s="652"/>
      <c r="G4523" s="652"/>
      <c r="H4523" s="652"/>
      <c r="I4523" s="652"/>
      <c r="J4523" s="653"/>
      <c r="K4523" s="132"/>
      <c r="L4523" s="133"/>
    </row>
    <row r="4524" spans="1:12" x14ac:dyDescent="0.2">
      <c r="A4524" s="158"/>
      <c r="B4524" s="55"/>
      <c r="C4524" s="664" t="s">
        <v>1040</v>
      </c>
      <c r="D4524" s="664"/>
      <c r="E4524" s="664"/>
      <c r="F4524" s="664"/>
      <c r="G4524" s="664"/>
      <c r="H4524" s="664"/>
      <c r="I4524" s="664"/>
      <c r="J4524" s="665"/>
      <c r="K4524" s="132"/>
      <c r="L4524" s="133"/>
    </row>
    <row r="4525" spans="1:12" ht="13.5" thickBot="1" x14ac:dyDescent="0.25">
      <c r="A4525" s="149"/>
      <c r="B4525" s="167"/>
      <c r="C4525" s="151"/>
      <c r="D4525" s="151"/>
      <c r="E4525" s="151"/>
      <c r="F4525" s="151"/>
      <c r="G4525" s="151"/>
      <c r="H4525" s="151"/>
      <c r="I4525" s="151"/>
      <c r="J4525" s="168"/>
      <c r="K4525" s="132"/>
      <c r="L4525" s="133"/>
    </row>
    <row r="4526" spans="1:12" ht="15.75" x14ac:dyDescent="0.2">
      <c r="A4526" s="602" t="s">
        <v>4</v>
      </c>
      <c r="B4526" s="603"/>
      <c r="C4526" s="603" t="str">
        <f>'A IV.A'!$B$134</f>
        <v>PINTURAS - ITEM 11.0 DO TERMO DE REFERÊNCIA</v>
      </c>
      <c r="D4526" s="603"/>
      <c r="E4526" s="603"/>
      <c r="F4526" s="603"/>
      <c r="G4526" s="603"/>
      <c r="H4526" s="603"/>
      <c r="I4526" s="603"/>
      <c r="J4526" s="604"/>
      <c r="K4526" s="132"/>
      <c r="L4526" s="133"/>
    </row>
    <row r="4527" spans="1:12" x14ac:dyDescent="0.2">
      <c r="A4527" s="609" t="str">
        <f>'A IV.A'!$A$134</f>
        <v>6.0</v>
      </c>
      <c r="B4527" s="610"/>
      <c r="C4527" s="605"/>
      <c r="D4527" s="605"/>
      <c r="E4527" s="605"/>
      <c r="F4527" s="605"/>
      <c r="G4527" s="605"/>
      <c r="H4527" s="605"/>
      <c r="I4527" s="605"/>
      <c r="J4527" s="606"/>
      <c r="K4527" s="132"/>
      <c r="L4527" s="133"/>
    </row>
    <row r="4528" spans="1:12" ht="13.5" thickBot="1" x14ac:dyDescent="0.25">
      <c r="A4528" s="611" t="str">
        <f>'A IV.A'!$A$134</f>
        <v>6.0</v>
      </c>
      <c r="B4528" s="612"/>
      <c r="C4528" s="607"/>
      <c r="D4528" s="607"/>
      <c r="E4528" s="607"/>
      <c r="F4528" s="607"/>
      <c r="G4528" s="607"/>
      <c r="H4528" s="607"/>
      <c r="I4528" s="607"/>
      <c r="J4528" s="608"/>
      <c r="K4528" s="132"/>
      <c r="L4528" s="133"/>
    </row>
    <row r="4529" spans="1:14" ht="13.5" thickBot="1" x14ac:dyDescent="0.25">
      <c r="A4529" s="169"/>
      <c r="B4529" s="169"/>
      <c r="C4529" s="613"/>
      <c r="D4529" s="613"/>
      <c r="E4529" s="613"/>
      <c r="F4529" s="613"/>
      <c r="G4529" s="613"/>
      <c r="H4529" s="613"/>
      <c r="I4529" s="613"/>
      <c r="J4529" s="169"/>
      <c r="K4529" s="132"/>
      <c r="L4529" s="133"/>
    </row>
    <row r="4530" spans="1:14" ht="13.5" thickBot="1" x14ac:dyDescent="0.25">
      <c r="A4530" s="632" t="s">
        <v>60</v>
      </c>
      <c r="B4530" s="633"/>
      <c r="C4530" s="656" t="s">
        <v>61</v>
      </c>
      <c r="D4530" s="656"/>
      <c r="E4530" s="656"/>
      <c r="F4530" s="656"/>
      <c r="G4530" s="656"/>
      <c r="H4530" s="656"/>
      <c r="I4530" s="656"/>
      <c r="J4530" s="260" t="s">
        <v>0</v>
      </c>
      <c r="K4530" s="132"/>
      <c r="L4530" s="133"/>
    </row>
    <row r="4531" spans="1:14" x14ac:dyDescent="0.2">
      <c r="A4531" s="136"/>
      <c r="B4531" s="137"/>
      <c r="C4531" s="619"/>
      <c r="D4531" s="620"/>
      <c r="E4531" s="621"/>
      <c r="F4531" s="621"/>
      <c r="G4531" s="621"/>
      <c r="H4531" s="621"/>
      <c r="I4531" s="622"/>
      <c r="J4531" s="138"/>
      <c r="K4531" s="132"/>
      <c r="L4531" s="133"/>
    </row>
    <row r="4532" spans="1:14" x14ac:dyDescent="0.2">
      <c r="A4532" s="623" t="str">
        <f>'A IV.A'!$A$145</f>
        <v>6.8</v>
      </c>
      <c r="B4532" s="624"/>
      <c r="C4532" s="626" t="str">
        <f>'A IV.A'!$B$145</f>
        <v>PINTURA EM ESMALTE SINTÉTICO SOBRE FUNDO ANTICORROSIVO - 02 DEMÃOS</v>
      </c>
      <c r="D4532" s="627"/>
      <c r="E4532" s="627"/>
      <c r="F4532" s="627"/>
      <c r="G4532" s="627"/>
      <c r="H4532" s="627"/>
      <c r="I4532" s="628"/>
      <c r="J4532" s="629" t="str">
        <f>'A IV.A'!$C$145</f>
        <v>M2</v>
      </c>
      <c r="K4532" s="630" t="str">
        <f>VLOOKUP(A4532,'A IV.A'!$A$14:$M$233,2,FALSE)</f>
        <v>PINTURA EM ESMALTE SINTÉTICO SOBRE FUNDO ANTICORROSIVO - 02 DEMÃOS</v>
      </c>
      <c r="L4532" s="631" t="str">
        <f>IF(C4532=K4532,"sim","nao")</f>
        <v>sim</v>
      </c>
      <c r="M4532" s="631" t="str">
        <f>VLOOKUP(A4532,'A IV.A'!$A$14:$M$233,3,FALSE)</f>
        <v>M2</v>
      </c>
      <c r="N4532" s="631" t="str">
        <f>IF(J4532=M4532,"sim","nao")</f>
        <v>sim</v>
      </c>
    </row>
    <row r="4533" spans="1:14" x14ac:dyDescent="0.2">
      <c r="A4533" s="625"/>
      <c r="B4533" s="624"/>
      <c r="C4533" s="626"/>
      <c r="D4533" s="627"/>
      <c r="E4533" s="627"/>
      <c r="F4533" s="627"/>
      <c r="G4533" s="627"/>
      <c r="H4533" s="627"/>
      <c r="I4533" s="628"/>
      <c r="J4533" s="629"/>
      <c r="K4533" s="630"/>
      <c r="L4533" s="631"/>
      <c r="M4533" s="631"/>
      <c r="N4533" s="631"/>
    </row>
    <row r="4534" spans="1:14" x14ac:dyDescent="0.2">
      <c r="A4534" s="139"/>
      <c r="B4534" s="140"/>
      <c r="C4534" s="141"/>
      <c r="D4534" s="142"/>
      <c r="E4534" s="142"/>
      <c r="F4534" s="142"/>
      <c r="G4534" s="142"/>
      <c r="H4534" s="142"/>
      <c r="I4534" s="143"/>
      <c r="J4534" s="144"/>
      <c r="K4534" s="132"/>
      <c r="L4534" s="133"/>
    </row>
    <row r="4535" spans="1:14" x14ac:dyDescent="0.2">
      <c r="A4535" s="623" t="str">
        <f>'A IV.A'!$A$146</f>
        <v>6.9</v>
      </c>
      <c r="B4535" s="624"/>
      <c r="C4535" s="626" t="str">
        <f>'A IV.A'!$B$146</f>
        <v>PINTURA DE TUBULAÇÕES ELEVADAS EM ESMALTE SINTÉTICO AZUL FRANÇA SOBRE FUNDO ANTICORROSIVO 2 DEMÃOS</v>
      </c>
      <c r="D4535" s="627"/>
      <c r="E4535" s="627"/>
      <c r="F4535" s="627"/>
      <c r="G4535" s="627"/>
      <c r="H4535" s="627"/>
      <c r="I4535" s="628"/>
      <c r="J4535" s="629" t="str">
        <f>'A IV.A'!$C$146</f>
        <v>M2</v>
      </c>
      <c r="K4535" s="630" t="str">
        <f>VLOOKUP(A4535,'A IV.A'!$A$14:$M$233,2,FALSE)</f>
        <v>PINTURA DE TUBULAÇÕES ELEVADAS EM ESMALTE SINTÉTICO AZUL FRANÇA SOBRE FUNDO ANTICORROSIVO 2 DEMÃOS</v>
      </c>
      <c r="L4535" s="631" t="str">
        <f>IF(C4535=K4535,"sim","nao")</f>
        <v>sim</v>
      </c>
      <c r="M4535" s="631" t="str">
        <f>VLOOKUP(A4535,'A IV.A'!$A$14:$M$233,3,FALSE)</f>
        <v>M2</v>
      </c>
      <c r="N4535" s="631" t="str">
        <f>IF(J4535=M4535,"sim","nao")</f>
        <v>sim</v>
      </c>
    </row>
    <row r="4536" spans="1:14" x14ac:dyDescent="0.2">
      <c r="A4536" s="625"/>
      <c r="B4536" s="624"/>
      <c r="C4536" s="626"/>
      <c r="D4536" s="627"/>
      <c r="E4536" s="627"/>
      <c r="F4536" s="627"/>
      <c r="G4536" s="627"/>
      <c r="H4536" s="627"/>
      <c r="I4536" s="628"/>
      <c r="J4536" s="629"/>
      <c r="K4536" s="630"/>
      <c r="L4536" s="631"/>
      <c r="M4536" s="631"/>
      <c r="N4536" s="631"/>
    </row>
    <row r="4537" spans="1:14" x14ac:dyDescent="0.2">
      <c r="A4537" s="145"/>
      <c r="B4537" s="146"/>
      <c r="C4537" s="147"/>
      <c r="D4537" s="147"/>
      <c r="E4537" s="147"/>
      <c r="F4537" s="147"/>
      <c r="G4537" s="147"/>
      <c r="H4537" s="147"/>
      <c r="I4537" s="147"/>
      <c r="J4537" s="148"/>
      <c r="K4537" s="132"/>
      <c r="L4537" s="133"/>
    </row>
    <row r="4538" spans="1:14" x14ac:dyDescent="0.2">
      <c r="A4538" s="199"/>
      <c r="B4538" s="188"/>
      <c r="C4538" s="189"/>
      <c r="D4538" s="165"/>
      <c r="E4538" s="165"/>
      <c r="F4538" s="165"/>
      <c r="G4538" s="165"/>
      <c r="H4538" s="165"/>
      <c r="I4538" s="190"/>
      <c r="J4538" s="191"/>
      <c r="K4538" s="192"/>
      <c r="L4538" s="55"/>
      <c r="M4538" s="55"/>
      <c r="N4538" s="55"/>
    </row>
    <row r="4539" spans="1:14" x14ac:dyDescent="0.2">
      <c r="A4539" s="158"/>
      <c r="B4539" s="188"/>
      <c r="C4539" s="189"/>
      <c r="D4539" s="165"/>
      <c r="E4539" s="165"/>
      <c r="F4539" s="165"/>
      <c r="G4539" s="165"/>
      <c r="H4539" s="165"/>
      <c r="I4539" s="190"/>
      <c r="J4539" s="191"/>
      <c r="K4539" s="192"/>
      <c r="L4539" s="55"/>
      <c r="M4539" s="55"/>
      <c r="N4539" s="55"/>
    </row>
    <row r="4540" spans="1:14" x14ac:dyDescent="0.2">
      <c r="A4540" s="145"/>
      <c r="B4540" s="146"/>
      <c r="C4540" s="147"/>
      <c r="D4540" s="147"/>
      <c r="E4540" s="147"/>
      <c r="F4540" s="147"/>
      <c r="G4540" s="147"/>
      <c r="H4540" s="147"/>
      <c r="I4540" s="147"/>
      <c r="J4540" s="148"/>
      <c r="K4540" s="132"/>
      <c r="L4540" s="133"/>
    </row>
    <row r="4541" spans="1:14" x14ac:dyDescent="0.2">
      <c r="A4541" s="158"/>
      <c r="B4541" s="188"/>
      <c r="C4541" s="189"/>
      <c r="D4541" s="165"/>
      <c r="E4541" s="165"/>
      <c r="F4541" s="165"/>
      <c r="G4541" s="165"/>
      <c r="H4541" s="165"/>
      <c r="I4541" s="190"/>
      <c r="J4541" s="191"/>
      <c r="K4541" s="192"/>
      <c r="L4541" s="55"/>
      <c r="M4541" s="55"/>
      <c r="N4541" s="55"/>
    </row>
    <row r="4542" spans="1:14" x14ac:dyDescent="0.2">
      <c r="A4542" s="145"/>
      <c r="B4542" s="146"/>
      <c r="C4542" s="147"/>
      <c r="D4542" s="147"/>
      <c r="E4542" s="147"/>
      <c r="F4542" s="147"/>
      <c r="G4542" s="147"/>
      <c r="H4542" s="147"/>
      <c r="I4542" s="147"/>
      <c r="J4542" s="148"/>
      <c r="K4542" s="132"/>
      <c r="L4542" s="133"/>
    </row>
    <row r="4543" spans="1:14" x14ac:dyDescent="0.2">
      <c r="A4543" s="199"/>
      <c r="B4543" s="188"/>
      <c r="C4543" s="189"/>
      <c r="D4543" s="165"/>
      <c r="E4543" s="165"/>
      <c r="F4543" s="165"/>
      <c r="G4543" s="165"/>
      <c r="H4543" s="165"/>
      <c r="I4543" s="190"/>
      <c r="J4543" s="191"/>
      <c r="K4543" s="192"/>
      <c r="L4543" s="55"/>
      <c r="M4543" s="55"/>
      <c r="N4543" s="55"/>
    </row>
    <row r="4544" spans="1:14" x14ac:dyDescent="0.2">
      <c r="A4544" s="158"/>
      <c r="B4544" s="188"/>
      <c r="C4544" s="189"/>
      <c r="D4544" s="165"/>
      <c r="E4544" s="165"/>
      <c r="F4544" s="165"/>
      <c r="G4544" s="165"/>
      <c r="H4544" s="165"/>
      <c r="I4544" s="190"/>
      <c r="J4544" s="191"/>
      <c r="K4544" s="192"/>
      <c r="L4544" s="55"/>
      <c r="M4544" s="55"/>
      <c r="N4544" s="55"/>
    </row>
    <row r="4545" spans="1:14" x14ac:dyDescent="0.2">
      <c r="A4545" s="145"/>
      <c r="B4545" s="146"/>
      <c r="C4545" s="147"/>
      <c r="D4545" s="147"/>
      <c r="E4545" s="147"/>
      <c r="F4545" s="147"/>
      <c r="G4545" s="147"/>
      <c r="H4545" s="147"/>
      <c r="I4545" s="147"/>
      <c r="J4545" s="148"/>
      <c r="K4545" s="132"/>
      <c r="L4545" s="133"/>
    </row>
    <row r="4546" spans="1:14" x14ac:dyDescent="0.2">
      <c r="A4546" s="199"/>
      <c r="B4546" s="188"/>
      <c r="C4546" s="189"/>
      <c r="D4546" s="165"/>
      <c r="E4546" s="165"/>
      <c r="F4546" s="165"/>
      <c r="G4546" s="165"/>
      <c r="H4546" s="165"/>
      <c r="I4546" s="190"/>
      <c r="J4546" s="191"/>
      <c r="K4546" s="192"/>
      <c r="L4546" s="55"/>
      <c r="M4546" s="55"/>
      <c r="N4546" s="55"/>
    </row>
    <row r="4547" spans="1:14" x14ac:dyDescent="0.2">
      <c r="A4547" s="158"/>
      <c r="B4547" s="188"/>
      <c r="C4547" s="189"/>
      <c r="D4547" s="165"/>
      <c r="E4547" s="165"/>
      <c r="F4547" s="165"/>
      <c r="G4547" s="165"/>
      <c r="H4547" s="165"/>
      <c r="I4547" s="190"/>
      <c r="J4547" s="191"/>
      <c r="K4547" s="192"/>
      <c r="L4547" s="55"/>
      <c r="M4547" s="55"/>
      <c r="N4547" s="55"/>
    </row>
    <row r="4548" spans="1:14" x14ac:dyDescent="0.2">
      <c r="A4548" s="145"/>
      <c r="B4548" s="146"/>
      <c r="C4548" s="147"/>
      <c r="D4548" s="147"/>
      <c r="E4548" s="147"/>
      <c r="F4548" s="147"/>
      <c r="G4548" s="147"/>
      <c r="H4548" s="147"/>
      <c r="I4548" s="147"/>
      <c r="J4548" s="148"/>
      <c r="K4548" s="132"/>
      <c r="L4548" s="133"/>
    </row>
    <row r="4549" spans="1:14" ht="13.5" thickBot="1" x14ac:dyDescent="0.25">
      <c r="A4549" s="149"/>
      <c r="B4549" s="150"/>
      <c r="C4549" s="151"/>
      <c r="D4549" s="151"/>
      <c r="E4549" s="151"/>
      <c r="F4549" s="151"/>
      <c r="G4549" s="151"/>
      <c r="H4549" s="151"/>
      <c r="I4549" s="151"/>
      <c r="J4549" s="152"/>
      <c r="K4549" s="132"/>
      <c r="L4549" s="133"/>
    </row>
    <row r="4550" spans="1:14" ht="13.5" thickBot="1" x14ac:dyDescent="0.25">
      <c r="A4550" s="153"/>
      <c r="B4550" s="153"/>
      <c r="C4550" s="154"/>
      <c r="D4550" s="154"/>
      <c r="E4550" s="154"/>
      <c r="F4550" s="154"/>
      <c r="G4550" s="154"/>
      <c r="H4550" s="154"/>
      <c r="I4550" s="154"/>
      <c r="J4550" s="153"/>
      <c r="K4550" s="132"/>
      <c r="L4550" s="133"/>
    </row>
    <row r="4551" spans="1:14" ht="13.5" thickBot="1" x14ac:dyDescent="0.25">
      <c r="A4551" s="614" t="s">
        <v>62</v>
      </c>
      <c r="B4551" s="648"/>
      <c r="C4551" s="648"/>
      <c r="D4551" s="648"/>
      <c r="E4551" s="648"/>
      <c r="F4551" s="648"/>
      <c r="G4551" s="648"/>
      <c r="H4551" s="648"/>
      <c r="I4551" s="648"/>
      <c r="J4551" s="649"/>
      <c r="K4551" s="132"/>
      <c r="L4551" s="133"/>
    </row>
    <row r="4552" spans="1:14" x14ac:dyDescent="0.2">
      <c r="A4552" s="136"/>
      <c r="B4552" s="155"/>
      <c r="C4552" s="156"/>
      <c r="D4552" s="156"/>
      <c r="E4552" s="156"/>
      <c r="F4552" s="156"/>
      <c r="G4552" s="156"/>
      <c r="H4552" s="156"/>
      <c r="I4552" s="156"/>
      <c r="J4552" s="157"/>
      <c r="K4552" s="132"/>
      <c r="L4552" s="133"/>
    </row>
    <row r="4553" spans="1:14" ht="12.75" customHeight="1" x14ac:dyDescent="0.2">
      <c r="A4553" s="158" t="s">
        <v>63</v>
      </c>
      <c r="B4553" s="55"/>
      <c r="C4553" s="652" t="s">
        <v>483</v>
      </c>
      <c r="D4553" s="652"/>
      <c r="E4553" s="652"/>
      <c r="F4553" s="652"/>
      <c r="G4553" s="652"/>
      <c r="H4553" s="652"/>
      <c r="I4553" s="652"/>
      <c r="J4553" s="653"/>
      <c r="K4553" s="132"/>
      <c r="L4553" s="133"/>
    </row>
    <row r="4554" spans="1:14" x14ac:dyDescent="0.2">
      <c r="A4554" s="158"/>
      <c r="B4554" s="55"/>
      <c r="C4554" s="652"/>
      <c r="D4554" s="652"/>
      <c r="E4554" s="652"/>
      <c r="F4554" s="652"/>
      <c r="G4554" s="652"/>
      <c r="H4554" s="652"/>
      <c r="I4554" s="652"/>
      <c r="J4554" s="653"/>
      <c r="K4554" s="132"/>
      <c r="L4554" s="133"/>
    </row>
    <row r="4555" spans="1:14" x14ac:dyDescent="0.2">
      <c r="A4555" s="158"/>
      <c r="B4555" s="55"/>
      <c r="C4555" s="652"/>
      <c r="D4555" s="652"/>
      <c r="E4555" s="652"/>
      <c r="F4555" s="652"/>
      <c r="G4555" s="652"/>
      <c r="H4555" s="652"/>
      <c r="I4555" s="652"/>
      <c r="J4555" s="653"/>
      <c r="K4555" s="132"/>
      <c r="L4555" s="133"/>
    </row>
    <row r="4556" spans="1:14" x14ac:dyDescent="0.2">
      <c r="A4556" s="158"/>
      <c r="B4556" s="55"/>
      <c r="C4556" s="652"/>
      <c r="D4556" s="652"/>
      <c r="E4556" s="652"/>
      <c r="F4556" s="652"/>
      <c r="G4556" s="652"/>
      <c r="H4556" s="652"/>
      <c r="I4556" s="652"/>
      <c r="J4556" s="653"/>
      <c r="K4556" s="132"/>
      <c r="L4556" s="133"/>
    </row>
    <row r="4557" spans="1:14" x14ac:dyDescent="0.2">
      <c r="A4557" s="158"/>
      <c r="B4557" s="55"/>
      <c r="C4557" s="71"/>
      <c r="D4557" s="71"/>
      <c r="E4557" s="71"/>
      <c r="F4557" s="71"/>
      <c r="G4557" s="71"/>
      <c r="H4557" s="71"/>
      <c r="I4557" s="71"/>
      <c r="J4557" s="174"/>
      <c r="K4557" s="132"/>
      <c r="L4557" s="133"/>
    </row>
    <row r="4558" spans="1:14" x14ac:dyDescent="0.2">
      <c r="A4558" s="158" t="s">
        <v>64</v>
      </c>
      <c r="B4558" s="55"/>
      <c r="C4558" s="634" t="s">
        <v>481</v>
      </c>
      <c r="D4558" s="634"/>
      <c r="E4558" s="634"/>
      <c r="F4558" s="634"/>
      <c r="G4558" s="634"/>
      <c r="H4558" s="634"/>
      <c r="I4558" s="634"/>
      <c r="J4558" s="635"/>
      <c r="K4558" s="132"/>
      <c r="L4558" s="133"/>
    </row>
    <row r="4559" spans="1:14" x14ac:dyDescent="0.2">
      <c r="A4559" s="158"/>
      <c r="B4559" s="55"/>
      <c r="C4559" s="596" t="s">
        <v>888</v>
      </c>
      <c r="D4559" s="596"/>
      <c r="E4559" s="596"/>
      <c r="F4559" s="596"/>
      <c r="G4559" s="596"/>
      <c r="H4559" s="596"/>
      <c r="I4559" s="596"/>
      <c r="J4559" s="597"/>
      <c r="K4559" s="132"/>
      <c r="L4559" s="133"/>
    </row>
    <row r="4560" spans="1:14" x14ac:dyDescent="0.2">
      <c r="A4560" s="158"/>
      <c r="B4560" s="55"/>
      <c r="C4560" s="596"/>
      <c r="D4560" s="596"/>
      <c r="E4560" s="596"/>
      <c r="F4560" s="596"/>
      <c r="G4560" s="596"/>
      <c r="H4560" s="596"/>
      <c r="I4560" s="596"/>
      <c r="J4560" s="597"/>
      <c r="K4560" s="132"/>
      <c r="L4560" s="133"/>
    </row>
    <row r="4561" spans="1:15" x14ac:dyDescent="0.2">
      <c r="A4561" s="158"/>
      <c r="B4561" s="55"/>
      <c r="C4561" s="596"/>
      <c r="D4561" s="596"/>
      <c r="E4561" s="596"/>
      <c r="F4561" s="596"/>
      <c r="G4561" s="596"/>
      <c r="H4561" s="596"/>
      <c r="I4561" s="596"/>
      <c r="J4561" s="597"/>
      <c r="K4561" s="132"/>
      <c r="L4561" s="133"/>
    </row>
    <row r="4562" spans="1:15" ht="12.75" customHeight="1" x14ac:dyDescent="0.2">
      <c r="A4562" s="158"/>
      <c r="B4562" s="55"/>
      <c r="C4562" s="596" t="s">
        <v>872</v>
      </c>
      <c r="D4562" s="596"/>
      <c r="E4562" s="596"/>
      <c r="F4562" s="596"/>
      <c r="G4562" s="596"/>
      <c r="H4562" s="596"/>
      <c r="I4562" s="596"/>
      <c r="J4562" s="597"/>
      <c r="K4562" s="132"/>
      <c r="L4562" s="133"/>
      <c r="N4562" s="358"/>
      <c r="O4562" s="358"/>
    </row>
    <row r="4563" spans="1:15" ht="12.75" customHeight="1" x14ac:dyDescent="0.2">
      <c r="A4563" s="158"/>
      <c r="B4563" s="55"/>
      <c r="C4563" s="596"/>
      <c r="D4563" s="596"/>
      <c r="E4563" s="596"/>
      <c r="F4563" s="596"/>
      <c r="G4563" s="596"/>
      <c r="H4563" s="596"/>
      <c r="I4563" s="596"/>
      <c r="J4563" s="597"/>
      <c r="K4563" s="132"/>
      <c r="L4563" s="133"/>
      <c r="N4563" s="358"/>
      <c r="O4563" s="358"/>
    </row>
    <row r="4564" spans="1:15" x14ac:dyDescent="0.2">
      <c r="A4564" s="158"/>
      <c r="B4564" s="55"/>
      <c r="C4564" s="596" t="s">
        <v>873</v>
      </c>
      <c r="D4564" s="596"/>
      <c r="E4564" s="596"/>
      <c r="F4564" s="596"/>
      <c r="G4564" s="596"/>
      <c r="H4564" s="596"/>
      <c r="I4564" s="596"/>
      <c r="J4564" s="597"/>
      <c r="K4564" s="132"/>
      <c r="L4564" s="133"/>
    </row>
    <row r="4565" spans="1:15" x14ac:dyDescent="0.2">
      <c r="A4565" s="158"/>
      <c r="B4565" s="55"/>
      <c r="C4565" s="596"/>
      <c r="D4565" s="596"/>
      <c r="E4565" s="596"/>
      <c r="F4565" s="596"/>
      <c r="G4565" s="596"/>
      <c r="H4565" s="596"/>
      <c r="I4565" s="596"/>
      <c r="J4565" s="597"/>
      <c r="K4565" s="132"/>
      <c r="L4565" s="133"/>
    </row>
    <row r="4566" spans="1:15" ht="12.75" customHeight="1" x14ac:dyDescent="0.2">
      <c r="A4566" s="158"/>
      <c r="B4566" s="55"/>
      <c r="C4566" s="652" t="s">
        <v>1051</v>
      </c>
      <c r="D4566" s="652"/>
      <c r="E4566" s="652"/>
      <c r="F4566" s="652"/>
      <c r="G4566" s="652"/>
      <c r="H4566" s="652"/>
      <c r="I4566" s="652"/>
      <c r="J4566" s="653"/>
    </row>
    <row r="4567" spans="1:15" ht="12.75" customHeight="1" thickBot="1" x14ac:dyDescent="0.25">
      <c r="C4567" s="652"/>
      <c r="D4567" s="652"/>
      <c r="E4567" s="652"/>
      <c r="F4567" s="652"/>
      <c r="G4567" s="652"/>
      <c r="H4567" s="652"/>
      <c r="I4567" s="652"/>
      <c r="J4567" s="653"/>
    </row>
    <row r="4568" spans="1:15" ht="23.25" thickBot="1" x14ac:dyDescent="0.25">
      <c r="C4568" s="660" t="s">
        <v>405</v>
      </c>
      <c r="D4568" s="661"/>
      <c r="E4568" s="359" t="s">
        <v>406</v>
      </c>
      <c r="F4568" s="360" t="s">
        <v>405</v>
      </c>
      <c r="G4568" s="359" t="s">
        <v>406</v>
      </c>
      <c r="H4568" s="360" t="s">
        <v>405</v>
      </c>
      <c r="I4568" s="359" t="s">
        <v>406</v>
      </c>
      <c r="J4568" s="174"/>
      <c r="K4568" s="132"/>
      <c r="L4568" s="133"/>
    </row>
    <row r="4569" spans="1:15" x14ac:dyDescent="0.2">
      <c r="C4569" s="681" t="s">
        <v>407</v>
      </c>
      <c r="D4569" s="682"/>
      <c r="E4569" s="361">
        <v>2.54</v>
      </c>
      <c r="F4569" s="362" t="s">
        <v>413</v>
      </c>
      <c r="G4569" s="361">
        <v>1.81</v>
      </c>
      <c r="H4569" s="362" t="s">
        <v>876</v>
      </c>
      <c r="I4569" s="363">
        <v>1.1000000000000001</v>
      </c>
      <c r="J4569" s="160"/>
      <c r="K4569" s="132"/>
      <c r="L4569" s="133"/>
    </row>
    <row r="4570" spans="1:15" ht="25.5" x14ac:dyDescent="0.2">
      <c r="C4570" s="666" t="s">
        <v>408</v>
      </c>
      <c r="D4570" s="667"/>
      <c r="E4570" s="364">
        <v>2.42</v>
      </c>
      <c r="F4570" s="365" t="s">
        <v>414</v>
      </c>
      <c r="G4570" s="364">
        <v>1.69</v>
      </c>
      <c r="H4570" s="365" t="s">
        <v>877</v>
      </c>
      <c r="I4570" s="366">
        <v>1</v>
      </c>
      <c r="J4570" s="160"/>
      <c r="K4570" s="132"/>
      <c r="L4570" s="133"/>
    </row>
    <row r="4571" spans="1:15" x14ac:dyDescent="0.2">
      <c r="A4571" s="158"/>
      <c r="B4571" s="55"/>
      <c r="C4571" s="658" t="s">
        <v>409</v>
      </c>
      <c r="D4571" s="659"/>
      <c r="E4571" s="367">
        <v>2.29</v>
      </c>
      <c r="F4571" s="368" t="s">
        <v>415</v>
      </c>
      <c r="G4571" s="367">
        <v>1.57</v>
      </c>
      <c r="H4571" s="368"/>
      <c r="I4571" s="369"/>
      <c r="J4571" s="173"/>
      <c r="K4571" s="132"/>
      <c r="L4571" s="133"/>
    </row>
    <row r="4572" spans="1:15" x14ac:dyDescent="0.2">
      <c r="A4572" s="158"/>
      <c r="B4572" s="55"/>
      <c r="C4572" s="658" t="s">
        <v>410</v>
      </c>
      <c r="D4572" s="659"/>
      <c r="E4572" s="367">
        <v>2.17</v>
      </c>
      <c r="F4572" s="368" t="s">
        <v>416</v>
      </c>
      <c r="G4572" s="367">
        <v>1.45</v>
      </c>
      <c r="H4572" s="368"/>
      <c r="I4572" s="369"/>
      <c r="J4572" s="173"/>
      <c r="K4572" s="132"/>
      <c r="L4572" s="133"/>
    </row>
    <row r="4573" spans="1:15" x14ac:dyDescent="0.2">
      <c r="A4573" s="158"/>
      <c r="B4573" s="55"/>
      <c r="C4573" s="658" t="s">
        <v>411</v>
      </c>
      <c r="D4573" s="659"/>
      <c r="E4573" s="367">
        <v>2.0499999999999998</v>
      </c>
      <c r="F4573" s="368" t="s">
        <v>417</v>
      </c>
      <c r="G4573" s="367">
        <v>1.33</v>
      </c>
      <c r="H4573" s="368"/>
      <c r="I4573" s="369"/>
      <c r="J4573" s="173"/>
      <c r="K4573" s="132"/>
      <c r="L4573" s="133"/>
    </row>
    <row r="4574" spans="1:15" ht="12.75" customHeight="1" thickBot="1" x14ac:dyDescent="0.25">
      <c r="A4574" s="158"/>
      <c r="B4574" s="55"/>
      <c r="C4574" s="728" t="s">
        <v>412</v>
      </c>
      <c r="D4574" s="729"/>
      <c r="E4574" s="370">
        <v>1.93</v>
      </c>
      <c r="F4574" s="371" t="s">
        <v>418</v>
      </c>
      <c r="G4574" s="370">
        <v>1.21</v>
      </c>
      <c r="H4574" s="371"/>
      <c r="I4574" s="372"/>
      <c r="J4574" s="166"/>
      <c r="K4574" s="132"/>
      <c r="L4574" s="133"/>
    </row>
    <row r="4575" spans="1:15" x14ac:dyDescent="0.2">
      <c r="A4575" s="158"/>
      <c r="B4575" s="55"/>
      <c r="C4575" s="664" t="s">
        <v>874</v>
      </c>
      <c r="D4575" s="664"/>
      <c r="E4575" s="664"/>
      <c r="F4575" s="664"/>
      <c r="G4575" s="664"/>
      <c r="H4575" s="664"/>
      <c r="I4575" s="664"/>
      <c r="J4575" s="665"/>
      <c r="K4575" s="132"/>
      <c r="L4575" s="133"/>
    </row>
    <row r="4576" spans="1:15" x14ac:dyDescent="0.2">
      <c r="A4576" s="158"/>
      <c r="B4576" s="55"/>
      <c r="C4576" s="664"/>
      <c r="D4576" s="664"/>
      <c r="E4576" s="664"/>
      <c r="F4576" s="664"/>
      <c r="G4576" s="664"/>
      <c r="H4576" s="664"/>
      <c r="I4576" s="664"/>
      <c r="J4576" s="665"/>
      <c r="K4576" s="132"/>
      <c r="L4576" s="133"/>
    </row>
    <row r="4577" spans="1:14" x14ac:dyDescent="0.2">
      <c r="A4577" s="158"/>
      <c r="B4577" s="55"/>
      <c r="C4577" s="664" t="s">
        <v>875</v>
      </c>
      <c r="D4577" s="664"/>
      <c r="E4577" s="664"/>
      <c r="F4577" s="664"/>
      <c r="G4577" s="664"/>
      <c r="H4577" s="664"/>
      <c r="I4577" s="664"/>
      <c r="J4577" s="665"/>
      <c r="K4577" s="132"/>
      <c r="L4577" s="133"/>
    </row>
    <row r="4578" spans="1:14" x14ac:dyDescent="0.2">
      <c r="A4578" s="158"/>
      <c r="B4578" s="55"/>
      <c r="C4578" s="664"/>
      <c r="D4578" s="664"/>
      <c r="E4578" s="664"/>
      <c r="F4578" s="664"/>
      <c r="G4578" s="664"/>
      <c r="H4578" s="664"/>
      <c r="I4578" s="664"/>
      <c r="J4578" s="665"/>
      <c r="K4578" s="132"/>
      <c r="L4578" s="133"/>
    </row>
    <row r="4579" spans="1:14" ht="13.5" thickBot="1" x14ac:dyDescent="0.25">
      <c r="A4579" s="183"/>
      <c r="B4579" s="184"/>
      <c r="C4579" s="316"/>
      <c r="D4579" s="316"/>
      <c r="E4579" s="316"/>
      <c r="F4579" s="316"/>
      <c r="G4579" s="316"/>
      <c r="H4579" s="316"/>
      <c r="I4579" s="316"/>
      <c r="J4579" s="317"/>
      <c r="K4579" s="132"/>
      <c r="L4579" s="133"/>
    </row>
    <row r="4580" spans="1:14" ht="15.75" x14ac:dyDescent="0.2">
      <c r="A4580" s="679" t="s">
        <v>4</v>
      </c>
      <c r="B4580" s="650"/>
      <c r="C4580" s="650" t="str">
        <f>'A IV.A'!$B$134</f>
        <v>PINTURAS - ITEM 11.0 DO TERMO DE REFERÊNCIA</v>
      </c>
      <c r="D4580" s="650"/>
      <c r="E4580" s="650"/>
      <c r="F4580" s="650"/>
      <c r="G4580" s="650"/>
      <c r="H4580" s="650"/>
      <c r="I4580" s="650"/>
      <c r="J4580" s="651"/>
      <c r="K4580" s="132"/>
      <c r="L4580" s="133"/>
    </row>
    <row r="4581" spans="1:14" x14ac:dyDescent="0.2">
      <c r="A4581" s="609" t="str">
        <f>'A IV.A'!$A$134</f>
        <v>6.0</v>
      </c>
      <c r="B4581" s="610"/>
      <c r="C4581" s="605"/>
      <c r="D4581" s="605"/>
      <c r="E4581" s="605"/>
      <c r="F4581" s="605"/>
      <c r="G4581" s="605"/>
      <c r="H4581" s="605"/>
      <c r="I4581" s="605"/>
      <c r="J4581" s="606"/>
      <c r="K4581" s="132"/>
      <c r="L4581" s="133"/>
    </row>
    <row r="4582" spans="1:14" ht="13.5" thickBot="1" x14ac:dyDescent="0.25">
      <c r="A4582" s="611" t="str">
        <f>'A IV.A'!$A$134</f>
        <v>6.0</v>
      </c>
      <c r="B4582" s="612"/>
      <c r="C4582" s="607"/>
      <c r="D4582" s="607"/>
      <c r="E4582" s="607"/>
      <c r="F4582" s="607"/>
      <c r="G4582" s="607"/>
      <c r="H4582" s="607"/>
      <c r="I4582" s="607"/>
      <c r="J4582" s="608"/>
      <c r="K4582" s="132"/>
      <c r="L4582" s="133"/>
    </row>
    <row r="4583" spans="1:14" ht="13.5" thickBot="1" x14ac:dyDescent="0.25">
      <c r="A4583" s="169"/>
      <c r="B4583" s="169"/>
      <c r="C4583" s="613"/>
      <c r="D4583" s="613"/>
      <c r="E4583" s="613"/>
      <c r="F4583" s="613"/>
      <c r="G4583" s="613"/>
      <c r="H4583" s="613"/>
      <c r="I4583" s="613"/>
      <c r="J4583" s="169"/>
      <c r="K4583" s="132"/>
      <c r="L4583" s="133"/>
    </row>
    <row r="4584" spans="1:14" ht="13.5" thickBot="1" x14ac:dyDescent="0.25">
      <c r="A4584" s="632" t="s">
        <v>60</v>
      </c>
      <c r="B4584" s="633"/>
      <c r="C4584" s="656" t="s">
        <v>61</v>
      </c>
      <c r="D4584" s="656"/>
      <c r="E4584" s="656"/>
      <c r="F4584" s="656"/>
      <c r="G4584" s="656"/>
      <c r="H4584" s="656"/>
      <c r="I4584" s="656"/>
      <c r="J4584" s="260" t="s">
        <v>0</v>
      </c>
      <c r="K4584" s="132"/>
      <c r="L4584" s="133"/>
    </row>
    <row r="4585" spans="1:14" x14ac:dyDescent="0.2">
      <c r="A4585" s="136"/>
      <c r="B4585" s="137"/>
      <c r="C4585" s="619"/>
      <c r="D4585" s="620"/>
      <c r="E4585" s="621"/>
      <c r="F4585" s="621"/>
      <c r="G4585" s="621"/>
      <c r="H4585" s="621"/>
      <c r="I4585" s="622"/>
      <c r="J4585" s="138"/>
      <c r="K4585" s="132"/>
      <c r="L4585" s="133"/>
    </row>
    <row r="4586" spans="1:14" x14ac:dyDescent="0.2">
      <c r="A4586" s="623" t="str">
        <f>'A IV.A'!$A$147</f>
        <v>6.10</v>
      </c>
      <c r="B4586" s="624"/>
      <c r="C4586" s="626" t="str">
        <f>'A IV.A'!$B$147</f>
        <v>PINTURA ESMALTE SINTÉTICO SOBRE FUNDO ANTICORROSIVO EM ESCADA/GRADIL, 2 DEMÃOS</v>
      </c>
      <c r="D4586" s="627"/>
      <c r="E4586" s="627"/>
      <c r="F4586" s="627"/>
      <c r="G4586" s="627"/>
      <c r="H4586" s="627"/>
      <c r="I4586" s="628"/>
      <c r="J4586" s="668" t="str">
        <f>'A IV.A'!$C$147</f>
        <v>M</v>
      </c>
      <c r="K4586" s="630" t="str">
        <f>VLOOKUP(A4586,'A IV.A'!$A$14:$M$233,2,FALSE)</f>
        <v>PINTURA ESMALTE SINTÉTICO SOBRE FUNDO ANTICORROSIVO EM ESCADA/GRADIL, 2 DEMÃOS</v>
      </c>
      <c r="L4586" s="631" t="str">
        <f>IF(C4586=K4586,"sim","nao")</f>
        <v>sim</v>
      </c>
      <c r="M4586" s="631" t="str">
        <f>VLOOKUP(A4586,'A IV.A'!$A$14:$M$233,3,FALSE)</f>
        <v>M</v>
      </c>
      <c r="N4586" s="631" t="str">
        <f>IF(J4586=M4586,"sim","nao")</f>
        <v>sim</v>
      </c>
    </row>
    <row r="4587" spans="1:14" x14ac:dyDescent="0.2">
      <c r="A4587" s="625"/>
      <c r="B4587" s="624"/>
      <c r="C4587" s="626"/>
      <c r="D4587" s="627"/>
      <c r="E4587" s="627"/>
      <c r="F4587" s="627"/>
      <c r="G4587" s="627"/>
      <c r="H4587" s="627"/>
      <c r="I4587" s="628"/>
      <c r="J4587" s="629"/>
      <c r="K4587" s="630"/>
      <c r="L4587" s="631"/>
      <c r="M4587" s="631"/>
      <c r="N4587" s="631"/>
    </row>
    <row r="4588" spans="1:14" x14ac:dyDescent="0.2">
      <c r="A4588" s="139"/>
      <c r="B4588" s="140"/>
      <c r="C4588" s="141"/>
      <c r="D4588" s="142"/>
      <c r="E4588" s="142"/>
      <c r="F4588" s="142"/>
      <c r="G4588" s="142"/>
      <c r="H4588" s="142"/>
      <c r="I4588" s="143"/>
      <c r="J4588" s="144"/>
      <c r="K4588" s="132"/>
      <c r="L4588" s="133"/>
    </row>
    <row r="4589" spans="1:14" x14ac:dyDescent="0.2">
      <c r="A4589" s="145"/>
      <c r="B4589" s="146"/>
      <c r="C4589" s="147"/>
      <c r="D4589" s="147"/>
      <c r="E4589" s="147"/>
      <c r="F4589" s="147"/>
      <c r="G4589" s="147"/>
      <c r="H4589" s="147"/>
      <c r="I4589" s="147"/>
      <c r="J4589" s="148"/>
      <c r="K4589" s="630"/>
      <c r="L4589" s="631"/>
      <c r="M4589" s="631"/>
      <c r="N4589" s="631"/>
    </row>
    <row r="4590" spans="1:14" x14ac:dyDescent="0.2">
      <c r="A4590" s="145"/>
      <c r="B4590" s="146"/>
      <c r="C4590" s="147"/>
      <c r="D4590" s="147"/>
      <c r="E4590" s="147"/>
      <c r="F4590" s="147"/>
      <c r="G4590" s="147"/>
      <c r="H4590" s="147"/>
      <c r="I4590" s="147"/>
      <c r="J4590" s="148"/>
      <c r="K4590" s="630"/>
      <c r="L4590" s="631"/>
      <c r="M4590" s="631"/>
      <c r="N4590" s="631"/>
    </row>
    <row r="4591" spans="1:14" x14ac:dyDescent="0.2">
      <c r="A4591" s="145"/>
      <c r="B4591" s="146"/>
      <c r="C4591" s="147"/>
      <c r="D4591" s="147"/>
      <c r="E4591" s="147"/>
      <c r="F4591" s="147"/>
      <c r="G4591" s="147"/>
      <c r="H4591" s="147"/>
      <c r="I4591" s="147"/>
      <c r="J4591" s="148"/>
      <c r="K4591" s="132"/>
      <c r="L4591" s="133"/>
    </row>
    <row r="4592" spans="1:14" x14ac:dyDescent="0.2">
      <c r="A4592" s="199"/>
      <c r="B4592" s="188"/>
      <c r="C4592" s="189"/>
      <c r="D4592" s="165"/>
      <c r="E4592" s="165"/>
      <c r="F4592" s="165"/>
      <c r="G4592" s="165"/>
      <c r="H4592" s="165"/>
      <c r="I4592" s="190"/>
      <c r="J4592" s="191"/>
      <c r="K4592" s="192"/>
      <c r="L4592" s="55"/>
      <c r="M4592" s="55"/>
      <c r="N4592" s="55"/>
    </row>
    <row r="4593" spans="1:14" x14ac:dyDescent="0.2">
      <c r="A4593" s="158"/>
      <c r="B4593" s="188"/>
      <c r="C4593" s="189"/>
      <c r="D4593" s="165"/>
      <c r="E4593" s="165"/>
      <c r="F4593" s="165"/>
      <c r="G4593" s="165"/>
      <c r="H4593" s="165"/>
      <c r="I4593" s="190"/>
      <c r="J4593" s="191"/>
      <c r="K4593" s="192"/>
      <c r="L4593" s="55"/>
      <c r="M4593" s="55"/>
      <c r="N4593" s="55"/>
    </row>
    <row r="4594" spans="1:14" x14ac:dyDescent="0.2">
      <c r="A4594" s="145"/>
      <c r="B4594" s="146"/>
      <c r="C4594" s="147"/>
      <c r="D4594" s="147"/>
      <c r="E4594" s="147"/>
      <c r="F4594" s="147"/>
      <c r="G4594" s="147"/>
      <c r="H4594" s="147"/>
      <c r="I4594" s="147"/>
      <c r="J4594" s="148"/>
      <c r="K4594" s="132"/>
      <c r="L4594" s="133"/>
    </row>
    <row r="4595" spans="1:14" x14ac:dyDescent="0.2">
      <c r="A4595" s="199"/>
      <c r="B4595" s="188"/>
      <c r="C4595" s="189"/>
      <c r="D4595" s="165"/>
      <c r="E4595" s="165"/>
      <c r="F4595" s="165"/>
      <c r="G4595" s="165"/>
      <c r="H4595" s="165"/>
      <c r="I4595" s="190"/>
      <c r="J4595" s="191"/>
      <c r="K4595" s="192"/>
      <c r="L4595" s="55"/>
      <c r="M4595" s="55"/>
      <c r="N4595" s="55"/>
    </row>
    <row r="4596" spans="1:14" x14ac:dyDescent="0.2">
      <c r="A4596" s="158"/>
      <c r="B4596" s="188"/>
      <c r="C4596" s="189"/>
      <c r="D4596" s="165"/>
      <c r="E4596" s="165"/>
      <c r="F4596" s="165"/>
      <c r="G4596" s="165"/>
      <c r="H4596" s="165"/>
      <c r="I4596" s="190"/>
      <c r="J4596" s="191"/>
      <c r="K4596" s="192"/>
      <c r="L4596" s="55"/>
      <c r="M4596" s="55"/>
      <c r="N4596" s="55"/>
    </row>
    <row r="4597" spans="1:14" x14ac:dyDescent="0.2">
      <c r="A4597" s="145"/>
      <c r="B4597" s="146"/>
      <c r="C4597" s="147"/>
      <c r="D4597" s="147"/>
      <c r="E4597" s="147"/>
      <c r="F4597" s="147"/>
      <c r="G4597" s="147"/>
      <c r="H4597" s="147"/>
      <c r="I4597" s="147"/>
      <c r="J4597" s="148"/>
      <c r="K4597" s="132"/>
      <c r="L4597" s="133"/>
    </row>
    <row r="4598" spans="1:14" x14ac:dyDescent="0.2">
      <c r="A4598" s="199"/>
      <c r="B4598" s="188"/>
      <c r="C4598" s="189"/>
      <c r="D4598" s="165"/>
      <c r="E4598" s="165"/>
      <c r="F4598" s="165"/>
      <c r="G4598" s="165"/>
      <c r="H4598" s="165"/>
      <c r="I4598" s="190"/>
      <c r="J4598" s="191"/>
      <c r="K4598" s="192"/>
      <c r="L4598" s="55"/>
      <c r="M4598" s="55"/>
      <c r="N4598" s="55"/>
    </row>
    <row r="4599" spans="1:14" x14ac:dyDescent="0.2">
      <c r="A4599" s="158"/>
      <c r="B4599" s="188"/>
      <c r="C4599" s="189"/>
      <c r="D4599" s="165"/>
      <c r="E4599" s="165"/>
      <c r="F4599" s="165"/>
      <c r="G4599" s="165"/>
      <c r="H4599" s="165"/>
      <c r="I4599" s="190"/>
      <c r="J4599" s="191"/>
      <c r="K4599" s="192"/>
      <c r="L4599" s="55"/>
      <c r="M4599" s="55"/>
      <c r="N4599" s="55"/>
    </row>
    <row r="4600" spans="1:14" x14ac:dyDescent="0.2">
      <c r="A4600" s="145"/>
      <c r="B4600" s="146"/>
      <c r="C4600" s="147"/>
      <c r="D4600" s="147"/>
      <c r="E4600" s="147"/>
      <c r="F4600" s="147"/>
      <c r="G4600" s="147"/>
      <c r="H4600" s="147"/>
      <c r="I4600" s="147"/>
      <c r="J4600" s="148"/>
      <c r="K4600" s="132"/>
      <c r="L4600" s="133"/>
    </row>
    <row r="4601" spans="1:14" x14ac:dyDescent="0.2">
      <c r="A4601" s="199"/>
      <c r="B4601" s="188"/>
      <c r="C4601" s="189"/>
      <c r="D4601" s="165"/>
      <c r="E4601" s="165"/>
      <c r="F4601" s="165"/>
      <c r="G4601" s="165"/>
      <c r="H4601" s="165"/>
      <c r="I4601" s="190"/>
      <c r="J4601" s="191"/>
      <c r="K4601" s="192"/>
      <c r="L4601" s="55"/>
      <c r="M4601" s="55"/>
      <c r="N4601" s="55"/>
    </row>
    <row r="4602" spans="1:14" x14ac:dyDescent="0.2">
      <c r="A4602" s="158"/>
      <c r="B4602" s="188"/>
      <c r="C4602" s="189"/>
      <c r="D4602" s="165"/>
      <c r="E4602" s="165"/>
      <c r="F4602" s="165"/>
      <c r="G4602" s="165"/>
      <c r="H4602" s="165"/>
      <c r="I4602" s="190"/>
      <c r="J4602" s="191"/>
      <c r="K4602" s="192"/>
      <c r="L4602" s="55"/>
      <c r="M4602" s="55"/>
      <c r="N4602" s="55"/>
    </row>
    <row r="4603" spans="1:14" x14ac:dyDescent="0.2">
      <c r="A4603" s="145"/>
      <c r="B4603" s="146"/>
      <c r="C4603" s="147"/>
      <c r="D4603" s="147"/>
      <c r="E4603" s="147"/>
      <c r="F4603" s="147"/>
      <c r="G4603" s="147"/>
      <c r="H4603" s="147"/>
      <c r="I4603" s="147"/>
      <c r="J4603" s="148"/>
      <c r="K4603" s="132"/>
      <c r="L4603" s="133"/>
    </row>
    <row r="4604" spans="1:14" x14ac:dyDescent="0.2">
      <c r="A4604" s="199"/>
      <c r="B4604" s="188"/>
      <c r="C4604" s="189"/>
      <c r="D4604" s="165"/>
      <c r="E4604" s="165"/>
      <c r="F4604" s="165"/>
      <c r="G4604" s="165"/>
      <c r="H4604" s="165"/>
      <c r="I4604" s="190"/>
      <c r="J4604" s="191"/>
      <c r="K4604" s="192"/>
      <c r="L4604" s="55"/>
      <c r="M4604" s="55"/>
      <c r="N4604" s="55"/>
    </row>
    <row r="4605" spans="1:14" x14ac:dyDescent="0.2">
      <c r="A4605" s="158"/>
      <c r="B4605" s="188"/>
      <c r="C4605" s="189"/>
      <c r="D4605" s="165"/>
      <c r="E4605" s="165"/>
      <c r="F4605" s="165"/>
      <c r="G4605" s="165"/>
      <c r="H4605" s="165"/>
      <c r="I4605" s="190"/>
      <c r="J4605" s="191"/>
      <c r="K4605" s="192"/>
      <c r="L4605" s="55"/>
      <c r="M4605" s="55"/>
      <c r="N4605" s="55"/>
    </row>
    <row r="4606" spans="1:14" x14ac:dyDescent="0.2">
      <c r="A4606" s="145"/>
      <c r="B4606" s="146"/>
      <c r="C4606" s="147"/>
      <c r="D4606" s="147"/>
      <c r="E4606" s="147"/>
      <c r="F4606" s="147"/>
      <c r="G4606" s="147"/>
      <c r="H4606" s="147"/>
      <c r="I4606" s="147"/>
      <c r="J4606" s="148"/>
      <c r="K4606" s="132"/>
      <c r="L4606" s="133"/>
    </row>
    <row r="4607" spans="1:14" ht="13.5" thickBot="1" x14ac:dyDescent="0.25">
      <c r="A4607" s="149"/>
      <c r="B4607" s="150"/>
      <c r="C4607" s="151"/>
      <c r="D4607" s="151"/>
      <c r="E4607" s="151"/>
      <c r="F4607" s="151"/>
      <c r="G4607" s="151"/>
      <c r="H4607" s="151"/>
      <c r="I4607" s="151"/>
      <c r="J4607" s="152"/>
      <c r="K4607" s="132"/>
      <c r="L4607" s="133"/>
    </row>
    <row r="4608" spans="1:14" ht="13.5" thickBot="1" x14ac:dyDescent="0.25">
      <c r="A4608" s="153"/>
      <c r="B4608" s="153"/>
      <c r="C4608" s="154"/>
      <c r="D4608" s="154"/>
      <c r="E4608" s="154"/>
      <c r="F4608" s="154"/>
      <c r="G4608" s="154"/>
      <c r="H4608" s="154"/>
      <c r="I4608" s="154"/>
      <c r="J4608" s="153"/>
      <c r="K4608" s="132"/>
      <c r="L4608" s="133"/>
    </row>
    <row r="4609" spans="1:12" ht="13.5" thickBot="1" x14ac:dyDescent="0.25">
      <c r="A4609" s="614" t="s">
        <v>62</v>
      </c>
      <c r="B4609" s="648"/>
      <c r="C4609" s="648"/>
      <c r="D4609" s="648"/>
      <c r="E4609" s="648"/>
      <c r="F4609" s="648"/>
      <c r="G4609" s="648"/>
      <c r="H4609" s="648"/>
      <c r="I4609" s="648"/>
      <c r="J4609" s="649"/>
      <c r="K4609" s="132"/>
      <c r="L4609" s="133"/>
    </row>
    <row r="4610" spans="1:12" x14ac:dyDescent="0.2">
      <c r="A4610" s="136"/>
      <c r="B4610" s="155"/>
      <c r="C4610" s="156"/>
      <c r="D4610" s="156"/>
      <c r="E4610" s="156"/>
      <c r="F4610" s="156"/>
      <c r="G4610" s="156"/>
      <c r="H4610" s="156"/>
      <c r="I4610" s="156"/>
      <c r="J4610" s="157"/>
      <c r="K4610" s="132"/>
      <c r="L4610" s="133"/>
    </row>
    <row r="4611" spans="1:12" ht="12.75" customHeight="1" x14ac:dyDescent="0.2">
      <c r="A4611" s="158" t="s">
        <v>63</v>
      </c>
      <c r="B4611" s="55"/>
      <c r="C4611" s="596" t="s">
        <v>656</v>
      </c>
      <c r="D4611" s="596"/>
      <c r="E4611" s="596"/>
      <c r="F4611" s="596"/>
      <c r="G4611" s="596"/>
      <c r="H4611" s="596"/>
      <c r="I4611" s="596"/>
      <c r="J4611" s="597"/>
      <c r="K4611" s="132"/>
      <c r="L4611" s="133"/>
    </row>
    <row r="4612" spans="1:12" x14ac:dyDescent="0.2">
      <c r="A4612" s="158"/>
      <c r="B4612" s="55"/>
      <c r="C4612" s="596"/>
      <c r="D4612" s="596"/>
      <c r="E4612" s="596"/>
      <c r="F4612" s="596"/>
      <c r="G4612" s="596"/>
      <c r="H4612" s="596"/>
      <c r="I4612" s="596"/>
      <c r="J4612" s="597"/>
      <c r="K4612" s="132"/>
      <c r="L4612" s="133"/>
    </row>
    <row r="4613" spans="1:12" x14ac:dyDescent="0.2">
      <c r="A4613" s="158"/>
      <c r="B4613" s="55"/>
      <c r="C4613" s="596"/>
      <c r="D4613" s="596"/>
      <c r="E4613" s="596"/>
      <c r="F4613" s="596"/>
      <c r="G4613" s="596"/>
      <c r="H4613" s="596"/>
      <c r="I4613" s="596"/>
      <c r="J4613" s="597"/>
      <c r="K4613" s="132"/>
      <c r="L4613" s="133"/>
    </row>
    <row r="4614" spans="1:12" x14ac:dyDescent="0.2">
      <c r="A4614" s="177"/>
      <c r="B4614" s="74"/>
      <c r="C4614" s="211"/>
      <c r="D4614" s="211"/>
      <c r="E4614" s="211"/>
      <c r="F4614" s="211"/>
      <c r="G4614" s="211"/>
      <c r="H4614" s="211"/>
      <c r="I4614" s="211"/>
      <c r="J4614" s="212"/>
      <c r="K4614" s="132"/>
      <c r="L4614" s="133"/>
    </row>
    <row r="4615" spans="1:12" ht="12.75" customHeight="1" x14ac:dyDescent="0.2">
      <c r="A4615" s="680" t="s">
        <v>64</v>
      </c>
      <c r="B4615" s="652"/>
      <c r="C4615" s="596" t="s">
        <v>749</v>
      </c>
      <c r="D4615" s="596"/>
      <c r="E4615" s="596"/>
      <c r="F4615" s="596"/>
      <c r="G4615" s="596"/>
      <c r="H4615" s="596"/>
      <c r="I4615" s="596"/>
      <c r="J4615" s="597"/>
      <c r="K4615" s="132"/>
      <c r="L4615" s="133"/>
    </row>
    <row r="4616" spans="1:12" x14ac:dyDescent="0.2">
      <c r="A4616" s="203"/>
      <c r="B4616" s="159"/>
      <c r="C4616" s="596"/>
      <c r="D4616" s="596"/>
      <c r="E4616" s="596"/>
      <c r="F4616" s="596"/>
      <c r="G4616" s="596"/>
      <c r="H4616" s="596"/>
      <c r="I4616" s="596"/>
      <c r="J4616" s="597"/>
      <c r="K4616" s="132"/>
      <c r="L4616" s="133"/>
    </row>
    <row r="4617" spans="1:12" ht="12.75" customHeight="1" x14ac:dyDescent="0.2">
      <c r="A4617" s="203" t="s">
        <v>157</v>
      </c>
      <c r="B4617" s="159"/>
      <c r="C4617" s="596" t="s">
        <v>878</v>
      </c>
      <c r="D4617" s="596"/>
      <c r="E4617" s="596"/>
      <c r="F4617" s="596"/>
      <c r="G4617" s="596"/>
      <c r="H4617" s="596"/>
      <c r="I4617" s="596"/>
      <c r="J4617" s="597"/>
      <c r="K4617" s="132"/>
      <c r="L4617" s="133"/>
    </row>
    <row r="4618" spans="1:12" x14ac:dyDescent="0.2">
      <c r="A4618" s="203"/>
      <c r="B4618" s="159"/>
      <c r="C4618" s="596"/>
      <c r="D4618" s="596"/>
      <c r="E4618" s="596"/>
      <c r="F4618" s="596"/>
      <c r="G4618" s="596"/>
      <c r="H4618" s="596"/>
      <c r="I4618" s="596"/>
      <c r="J4618" s="597"/>
      <c r="K4618" s="132"/>
      <c r="L4618" s="133"/>
    </row>
    <row r="4619" spans="1:12" x14ac:dyDescent="0.2">
      <c r="A4619" s="203"/>
      <c r="B4619" s="159"/>
      <c r="C4619" s="596"/>
      <c r="D4619" s="596"/>
      <c r="E4619" s="596"/>
      <c r="F4619" s="596"/>
      <c r="G4619" s="596"/>
      <c r="H4619" s="596"/>
      <c r="I4619" s="596"/>
      <c r="J4619" s="597"/>
      <c r="K4619" s="132"/>
      <c r="L4619" s="133"/>
    </row>
    <row r="4620" spans="1:12" x14ac:dyDescent="0.2">
      <c r="A4620" s="203"/>
      <c r="B4620" s="159"/>
      <c r="C4620" s="652" t="s">
        <v>879</v>
      </c>
      <c r="D4620" s="652"/>
      <c r="E4620" s="652"/>
      <c r="F4620" s="652"/>
      <c r="G4620" s="652"/>
      <c r="H4620" s="652"/>
      <c r="I4620" s="652"/>
      <c r="J4620" s="653"/>
      <c r="K4620" s="132"/>
      <c r="L4620" s="133"/>
    </row>
    <row r="4621" spans="1:12" x14ac:dyDescent="0.2">
      <c r="A4621" s="158"/>
      <c r="B4621" s="55"/>
      <c r="C4621" s="652"/>
      <c r="D4621" s="652"/>
      <c r="E4621" s="652"/>
      <c r="F4621" s="652"/>
      <c r="G4621" s="652"/>
      <c r="H4621" s="652"/>
      <c r="I4621" s="652"/>
      <c r="J4621" s="653"/>
      <c r="K4621" s="132"/>
      <c r="L4621" s="133"/>
    </row>
    <row r="4622" spans="1:12" x14ac:dyDescent="0.2">
      <c r="A4622" s="158"/>
      <c r="B4622" s="55"/>
      <c r="C4622" s="71"/>
      <c r="D4622" s="71"/>
      <c r="E4622" s="71"/>
      <c r="F4622" s="71"/>
      <c r="G4622" s="71"/>
      <c r="H4622" s="71"/>
      <c r="I4622" s="71"/>
      <c r="J4622" s="174"/>
      <c r="K4622" s="132"/>
      <c r="L4622" s="133"/>
    </row>
    <row r="4623" spans="1:12" x14ac:dyDescent="0.2">
      <c r="A4623" s="158"/>
      <c r="B4623" s="55"/>
      <c r="C4623" s="71"/>
      <c r="D4623" s="71"/>
      <c r="E4623" s="71"/>
      <c r="F4623" s="71"/>
      <c r="G4623" s="71"/>
      <c r="H4623" s="71"/>
      <c r="I4623" s="71"/>
      <c r="J4623" s="174"/>
      <c r="K4623" s="132"/>
      <c r="L4623" s="133"/>
    </row>
    <row r="4624" spans="1:12" x14ac:dyDescent="0.2">
      <c r="A4624" s="158"/>
      <c r="B4624" s="55"/>
      <c r="C4624" s="71"/>
      <c r="D4624" s="71"/>
      <c r="E4624" s="71"/>
      <c r="F4624" s="71"/>
      <c r="G4624" s="71"/>
      <c r="H4624" s="71"/>
      <c r="I4624" s="71"/>
      <c r="J4624" s="174"/>
      <c r="K4624" s="132"/>
      <c r="L4624" s="133"/>
    </row>
    <row r="4625" spans="1:14" x14ac:dyDescent="0.2">
      <c r="A4625" s="203"/>
      <c r="B4625" s="159"/>
      <c r="C4625" s="175"/>
      <c r="D4625" s="175"/>
      <c r="E4625" s="175"/>
      <c r="F4625" s="175"/>
      <c r="G4625" s="175"/>
      <c r="H4625" s="175"/>
      <c r="I4625" s="175"/>
      <c r="J4625" s="176"/>
      <c r="K4625" s="132"/>
      <c r="L4625" s="133"/>
    </row>
    <row r="4626" spans="1:14" x14ac:dyDescent="0.2">
      <c r="A4626" s="158"/>
      <c r="B4626" s="55"/>
      <c r="C4626" s="175"/>
      <c r="D4626" s="175"/>
      <c r="E4626" s="175"/>
      <c r="F4626" s="175"/>
      <c r="G4626" s="175"/>
      <c r="H4626" s="175"/>
      <c r="I4626" s="175"/>
      <c r="J4626" s="176"/>
      <c r="K4626" s="132"/>
      <c r="L4626" s="133"/>
    </row>
    <row r="4627" spans="1:14" x14ac:dyDescent="0.2">
      <c r="A4627" s="158"/>
      <c r="B4627" s="55"/>
      <c r="C4627" s="175"/>
      <c r="D4627" s="175"/>
      <c r="E4627" s="175"/>
      <c r="F4627" s="175"/>
      <c r="G4627" s="175"/>
      <c r="H4627" s="175"/>
      <c r="I4627" s="175"/>
      <c r="J4627" s="176"/>
      <c r="K4627" s="132"/>
      <c r="L4627" s="133"/>
    </row>
    <row r="4628" spans="1:14" x14ac:dyDescent="0.2">
      <c r="A4628" s="158"/>
      <c r="B4628" s="55"/>
      <c r="C4628" s="71"/>
      <c r="D4628" s="71"/>
      <c r="E4628" s="71"/>
      <c r="F4628" s="71"/>
      <c r="G4628" s="71"/>
      <c r="H4628" s="71"/>
      <c r="I4628" s="71"/>
      <c r="J4628" s="174"/>
      <c r="K4628" s="132"/>
      <c r="L4628" s="133"/>
    </row>
    <row r="4629" spans="1:14" x14ac:dyDescent="0.2">
      <c r="A4629" s="158"/>
      <c r="B4629" s="55"/>
      <c r="C4629" s="71"/>
      <c r="D4629" s="71"/>
      <c r="E4629" s="71"/>
      <c r="F4629" s="71"/>
      <c r="G4629" s="71"/>
      <c r="H4629" s="71"/>
      <c r="I4629" s="71"/>
      <c r="J4629" s="174"/>
      <c r="K4629" s="132"/>
      <c r="L4629" s="133"/>
    </row>
    <row r="4630" spans="1:14" x14ac:dyDescent="0.2">
      <c r="A4630" s="158"/>
      <c r="B4630" s="55"/>
      <c r="C4630" s="71"/>
      <c r="D4630" s="71"/>
      <c r="E4630" s="71"/>
      <c r="F4630" s="71"/>
      <c r="G4630" s="71"/>
      <c r="H4630" s="71"/>
      <c r="I4630" s="71"/>
      <c r="J4630" s="174"/>
      <c r="K4630" s="132"/>
      <c r="L4630" s="133"/>
    </row>
    <row r="4631" spans="1:14" x14ac:dyDescent="0.2">
      <c r="A4631" s="158"/>
      <c r="B4631" s="55"/>
      <c r="C4631" s="71"/>
      <c r="D4631" s="71"/>
      <c r="E4631" s="71"/>
      <c r="F4631" s="71"/>
      <c r="G4631" s="71"/>
      <c r="H4631" s="71"/>
      <c r="I4631" s="71"/>
      <c r="J4631" s="174"/>
      <c r="K4631" s="132"/>
      <c r="L4631" s="133"/>
    </row>
    <row r="4632" spans="1:14" x14ac:dyDescent="0.2">
      <c r="A4632" s="158"/>
      <c r="B4632" s="55"/>
      <c r="C4632" s="71"/>
      <c r="D4632" s="71"/>
      <c r="E4632" s="71"/>
      <c r="F4632" s="71"/>
      <c r="G4632" s="71"/>
      <c r="H4632" s="71"/>
      <c r="I4632" s="71"/>
      <c r="J4632" s="174"/>
      <c r="K4632" s="132"/>
      <c r="L4632" s="133"/>
    </row>
    <row r="4633" spans="1:14" ht="13.5" thickBot="1" x14ac:dyDescent="0.25">
      <c r="A4633" s="149"/>
      <c r="B4633" s="167"/>
      <c r="C4633" s="151"/>
      <c r="D4633" s="151"/>
      <c r="E4633" s="151"/>
      <c r="F4633" s="151"/>
      <c r="G4633" s="151"/>
      <c r="H4633" s="151"/>
      <c r="I4633" s="151"/>
      <c r="J4633" s="168"/>
      <c r="K4633" s="132"/>
      <c r="L4633" s="133"/>
    </row>
    <row r="4634" spans="1:14" ht="15.75" x14ac:dyDescent="0.2">
      <c r="A4634" s="602" t="s">
        <v>4</v>
      </c>
      <c r="B4634" s="603"/>
      <c r="C4634" s="603" t="str">
        <f>'A IV.A'!$B$134</f>
        <v>PINTURAS - ITEM 11.0 DO TERMO DE REFERÊNCIA</v>
      </c>
      <c r="D4634" s="603"/>
      <c r="E4634" s="603"/>
      <c r="F4634" s="603"/>
      <c r="G4634" s="603"/>
      <c r="H4634" s="603"/>
      <c r="I4634" s="603"/>
      <c r="J4634" s="604"/>
      <c r="K4634" s="132"/>
      <c r="L4634" s="133"/>
    </row>
    <row r="4635" spans="1:14" x14ac:dyDescent="0.2">
      <c r="A4635" s="609" t="str">
        <f>'A IV.A'!$A$134</f>
        <v>6.0</v>
      </c>
      <c r="B4635" s="610"/>
      <c r="C4635" s="605"/>
      <c r="D4635" s="605"/>
      <c r="E4635" s="605"/>
      <c r="F4635" s="605"/>
      <c r="G4635" s="605"/>
      <c r="H4635" s="605"/>
      <c r="I4635" s="605"/>
      <c r="J4635" s="606"/>
      <c r="K4635" s="132"/>
      <c r="L4635" s="133"/>
    </row>
    <row r="4636" spans="1:14" ht="13.5" thickBot="1" x14ac:dyDescent="0.25">
      <c r="A4636" s="611" t="str">
        <f>'A IV.A'!$A$134</f>
        <v>6.0</v>
      </c>
      <c r="B4636" s="612"/>
      <c r="C4636" s="607"/>
      <c r="D4636" s="607"/>
      <c r="E4636" s="607"/>
      <c r="F4636" s="607"/>
      <c r="G4636" s="607"/>
      <c r="H4636" s="607"/>
      <c r="I4636" s="607"/>
      <c r="J4636" s="608"/>
      <c r="K4636" s="132"/>
      <c r="L4636" s="133"/>
    </row>
    <row r="4637" spans="1:14" ht="13.5" thickBot="1" x14ac:dyDescent="0.25">
      <c r="A4637" s="169"/>
      <c r="B4637" s="169"/>
      <c r="C4637" s="613"/>
      <c r="D4637" s="613"/>
      <c r="E4637" s="613"/>
      <c r="F4637" s="613"/>
      <c r="G4637" s="613"/>
      <c r="H4637" s="613"/>
      <c r="I4637" s="613"/>
      <c r="J4637" s="169"/>
      <c r="K4637" s="132"/>
      <c r="L4637" s="133"/>
    </row>
    <row r="4638" spans="1:14" ht="13.5" thickBot="1" x14ac:dyDescent="0.25">
      <c r="A4638" s="632" t="s">
        <v>60</v>
      </c>
      <c r="B4638" s="633"/>
      <c r="C4638" s="656" t="s">
        <v>61</v>
      </c>
      <c r="D4638" s="656"/>
      <c r="E4638" s="656"/>
      <c r="F4638" s="656"/>
      <c r="G4638" s="656"/>
      <c r="H4638" s="656"/>
      <c r="I4638" s="656"/>
      <c r="J4638" s="260" t="s">
        <v>0</v>
      </c>
      <c r="K4638" s="132"/>
      <c r="L4638" s="133"/>
    </row>
    <row r="4639" spans="1:14" x14ac:dyDescent="0.2">
      <c r="A4639" s="136"/>
      <c r="B4639" s="137"/>
      <c r="C4639" s="619"/>
      <c r="D4639" s="620"/>
      <c r="E4639" s="621"/>
      <c r="F4639" s="621"/>
      <c r="G4639" s="621"/>
      <c r="H4639" s="621"/>
      <c r="I4639" s="622"/>
      <c r="J4639" s="138"/>
      <c r="K4639" s="132"/>
      <c r="L4639" s="133"/>
    </row>
    <row r="4640" spans="1:14" x14ac:dyDescent="0.2">
      <c r="A4640" s="623" t="str">
        <f>'A IV.A'!$A$148</f>
        <v>6.11</v>
      </c>
      <c r="B4640" s="624"/>
      <c r="C4640" s="626" t="str">
        <f>'A IV.A'!$B$148</f>
        <v>PINTURA HIDROFUGANTE A BASE DE SILICONE, INCOLOR, 1 DEMÃO</v>
      </c>
      <c r="D4640" s="627"/>
      <c r="E4640" s="627"/>
      <c r="F4640" s="627"/>
      <c r="G4640" s="627"/>
      <c r="H4640" s="627"/>
      <c r="I4640" s="628"/>
      <c r="J4640" s="629" t="str">
        <f>'A IV.A'!$C$148</f>
        <v>M2</v>
      </c>
      <c r="K4640" s="630" t="str">
        <f>VLOOKUP(A4640,'A IV.A'!$A$14:$M$233,2,FALSE)</f>
        <v>PINTURA HIDROFUGANTE A BASE DE SILICONE, INCOLOR, 1 DEMÃO</v>
      </c>
      <c r="L4640" s="631" t="str">
        <f>IF(C4640=K4640,"sim","nao")</f>
        <v>sim</v>
      </c>
      <c r="M4640" s="631" t="str">
        <f>VLOOKUP(A4640,'A IV.A'!$A$14:$M$233,3,FALSE)</f>
        <v>M2</v>
      </c>
      <c r="N4640" s="631" t="str">
        <f>IF(J4640=M4640,"sim","nao")</f>
        <v>sim</v>
      </c>
    </row>
    <row r="4641" spans="1:14" x14ac:dyDescent="0.2">
      <c r="A4641" s="625"/>
      <c r="B4641" s="624"/>
      <c r="C4641" s="626"/>
      <c r="D4641" s="627"/>
      <c r="E4641" s="627"/>
      <c r="F4641" s="627"/>
      <c r="G4641" s="627"/>
      <c r="H4641" s="627"/>
      <c r="I4641" s="628"/>
      <c r="J4641" s="629"/>
      <c r="K4641" s="630"/>
      <c r="L4641" s="631"/>
      <c r="M4641" s="631"/>
      <c r="N4641" s="631"/>
    </row>
    <row r="4642" spans="1:14" x14ac:dyDescent="0.2">
      <c r="A4642" s="139"/>
      <c r="B4642" s="140"/>
      <c r="C4642" s="141"/>
      <c r="D4642" s="142"/>
      <c r="E4642" s="142"/>
      <c r="F4642" s="142"/>
      <c r="G4642" s="142"/>
      <c r="H4642" s="142"/>
      <c r="I4642" s="143"/>
      <c r="J4642" s="144"/>
      <c r="K4642" s="132"/>
      <c r="L4642" s="133"/>
    </row>
    <row r="4643" spans="1:14" x14ac:dyDescent="0.2">
      <c r="A4643" s="199"/>
      <c r="B4643" s="188"/>
      <c r="C4643" s="189"/>
      <c r="D4643" s="165"/>
      <c r="E4643" s="165"/>
      <c r="F4643" s="165"/>
      <c r="G4643" s="165"/>
      <c r="H4643" s="165"/>
      <c r="I4643" s="190"/>
      <c r="J4643" s="191"/>
      <c r="K4643" s="192"/>
      <c r="L4643" s="55"/>
      <c r="M4643" s="55"/>
      <c r="N4643" s="55"/>
    </row>
    <row r="4644" spans="1:14" x14ac:dyDescent="0.2">
      <c r="A4644" s="158"/>
      <c r="B4644" s="188"/>
      <c r="C4644" s="189"/>
      <c r="D4644" s="165"/>
      <c r="E4644" s="165"/>
      <c r="F4644" s="165"/>
      <c r="G4644" s="165"/>
      <c r="H4644" s="165"/>
      <c r="I4644" s="190"/>
      <c r="J4644" s="191"/>
      <c r="K4644" s="192"/>
      <c r="L4644" s="55"/>
      <c r="M4644" s="55"/>
      <c r="N4644" s="55"/>
    </row>
    <row r="4645" spans="1:14" x14ac:dyDescent="0.2">
      <c r="A4645" s="145"/>
      <c r="B4645" s="146"/>
      <c r="C4645" s="147"/>
      <c r="D4645" s="147"/>
      <c r="E4645" s="147"/>
      <c r="F4645" s="147"/>
      <c r="G4645" s="147"/>
      <c r="H4645" s="147"/>
      <c r="I4645" s="147"/>
      <c r="J4645" s="148"/>
      <c r="K4645" s="132"/>
      <c r="L4645" s="133"/>
    </row>
    <row r="4646" spans="1:14" x14ac:dyDescent="0.2">
      <c r="A4646" s="199"/>
      <c r="B4646" s="188"/>
      <c r="C4646" s="189"/>
      <c r="D4646" s="165"/>
      <c r="E4646" s="165"/>
      <c r="F4646" s="165"/>
      <c r="G4646" s="165"/>
      <c r="H4646" s="165"/>
      <c r="I4646" s="190"/>
      <c r="J4646" s="191"/>
      <c r="K4646" s="192"/>
      <c r="L4646" s="55"/>
      <c r="M4646" s="55"/>
      <c r="N4646" s="55"/>
    </row>
    <row r="4647" spans="1:14" x14ac:dyDescent="0.2">
      <c r="A4647" s="158"/>
      <c r="B4647" s="188"/>
      <c r="C4647" s="189"/>
      <c r="D4647" s="165"/>
      <c r="E4647" s="165"/>
      <c r="F4647" s="165"/>
      <c r="G4647" s="165"/>
      <c r="H4647" s="165"/>
      <c r="I4647" s="190"/>
      <c r="J4647" s="191"/>
      <c r="K4647" s="192"/>
      <c r="L4647" s="55"/>
      <c r="M4647" s="55"/>
      <c r="N4647" s="55"/>
    </row>
    <row r="4648" spans="1:14" x14ac:dyDescent="0.2">
      <c r="A4648" s="145"/>
      <c r="B4648" s="146"/>
      <c r="C4648" s="147"/>
      <c r="D4648" s="147"/>
      <c r="E4648" s="147"/>
      <c r="F4648" s="147"/>
      <c r="G4648" s="147"/>
      <c r="H4648" s="147"/>
      <c r="I4648" s="147"/>
      <c r="J4648" s="148"/>
      <c r="K4648" s="132"/>
      <c r="L4648" s="133"/>
    </row>
    <row r="4649" spans="1:14" x14ac:dyDescent="0.2">
      <c r="A4649" s="199"/>
      <c r="B4649" s="188"/>
      <c r="C4649" s="189"/>
      <c r="D4649" s="165"/>
      <c r="E4649" s="165"/>
      <c r="F4649" s="165"/>
      <c r="G4649" s="165"/>
      <c r="H4649" s="165"/>
      <c r="I4649" s="190"/>
      <c r="J4649" s="191"/>
      <c r="K4649" s="192"/>
      <c r="L4649" s="55"/>
      <c r="M4649" s="55"/>
      <c r="N4649" s="55"/>
    </row>
    <row r="4650" spans="1:14" x14ac:dyDescent="0.2">
      <c r="A4650" s="158"/>
      <c r="B4650" s="188"/>
      <c r="C4650" s="189"/>
      <c r="D4650" s="165"/>
      <c r="E4650" s="165"/>
      <c r="F4650" s="165"/>
      <c r="G4650" s="165"/>
      <c r="H4650" s="165"/>
      <c r="I4650" s="190"/>
      <c r="J4650" s="191"/>
      <c r="K4650" s="192"/>
      <c r="L4650" s="55"/>
      <c r="M4650" s="55"/>
      <c r="N4650" s="55"/>
    </row>
    <row r="4651" spans="1:14" x14ac:dyDescent="0.2">
      <c r="A4651" s="145"/>
      <c r="B4651" s="146"/>
      <c r="C4651" s="147"/>
      <c r="D4651" s="147"/>
      <c r="E4651" s="147"/>
      <c r="F4651" s="147"/>
      <c r="G4651" s="147"/>
      <c r="H4651" s="147"/>
      <c r="I4651" s="147"/>
      <c r="J4651" s="148"/>
      <c r="K4651" s="132"/>
      <c r="L4651" s="133"/>
    </row>
    <row r="4652" spans="1:14" x14ac:dyDescent="0.2">
      <c r="A4652" s="199"/>
      <c r="B4652" s="188"/>
      <c r="C4652" s="189"/>
      <c r="D4652" s="165"/>
      <c r="E4652" s="165"/>
      <c r="F4652" s="165"/>
      <c r="G4652" s="165"/>
      <c r="H4652" s="165"/>
      <c r="I4652" s="190"/>
      <c r="J4652" s="191"/>
      <c r="K4652" s="192"/>
      <c r="L4652" s="55"/>
      <c r="M4652" s="55"/>
      <c r="N4652" s="55"/>
    </row>
    <row r="4653" spans="1:14" x14ac:dyDescent="0.2">
      <c r="A4653" s="158"/>
      <c r="B4653" s="188"/>
      <c r="C4653" s="189"/>
      <c r="D4653" s="165"/>
      <c r="E4653" s="165"/>
      <c r="F4653" s="165"/>
      <c r="G4653" s="165"/>
      <c r="H4653" s="165"/>
      <c r="I4653" s="190"/>
      <c r="J4653" s="191"/>
      <c r="K4653" s="192"/>
      <c r="L4653" s="55"/>
      <c r="M4653" s="55"/>
      <c r="N4653" s="55"/>
    </row>
    <row r="4654" spans="1:14" x14ac:dyDescent="0.2">
      <c r="A4654" s="145"/>
      <c r="B4654" s="146"/>
      <c r="C4654" s="147"/>
      <c r="D4654" s="147"/>
      <c r="E4654" s="147"/>
      <c r="F4654" s="147"/>
      <c r="G4654" s="147"/>
      <c r="H4654" s="147"/>
      <c r="I4654" s="147"/>
      <c r="J4654" s="148"/>
      <c r="K4654" s="132"/>
      <c r="L4654" s="133"/>
    </row>
    <row r="4655" spans="1:14" x14ac:dyDescent="0.2">
      <c r="A4655" s="199"/>
      <c r="B4655" s="188"/>
      <c r="C4655" s="189"/>
      <c r="D4655" s="165"/>
      <c r="E4655" s="165"/>
      <c r="F4655" s="165"/>
      <c r="G4655" s="165"/>
      <c r="H4655" s="165"/>
      <c r="I4655" s="190"/>
      <c r="J4655" s="191"/>
      <c r="K4655" s="192"/>
      <c r="L4655" s="55"/>
      <c r="M4655" s="55"/>
      <c r="N4655" s="55"/>
    </row>
    <row r="4656" spans="1:14" x14ac:dyDescent="0.2">
      <c r="A4656" s="158"/>
      <c r="B4656" s="188"/>
      <c r="C4656" s="189"/>
      <c r="D4656" s="165"/>
      <c r="E4656" s="165"/>
      <c r="F4656" s="165"/>
      <c r="G4656" s="165"/>
      <c r="H4656" s="165"/>
      <c r="I4656" s="190"/>
      <c r="J4656" s="191"/>
      <c r="K4656" s="192"/>
      <c r="L4656" s="55"/>
      <c r="M4656" s="55"/>
      <c r="N4656" s="55"/>
    </row>
    <row r="4657" spans="1:14" x14ac:dyDescent="0.2">
      <c r="A4657" s="145"/>
      <c r="B4657" s="146"/>
      <c r="C4657" s="147"/>
      <c r="D4657" s="147"/>
      <c r="E4657" s="147"/>
      <c r="F4657" s="147"/>
      <c r="G4657" s="147"/>
      <c r="H4657" s="147"/>
      <c r="I4657" s="147"/>
      <c r="J4657" s="148"/>
      <c r="K4657" s="132"/>
      <c r="L4657" s="133"/>
    </row>
    <row r="4658" spans="1:14" x14ac:dyDescent="0.2">
      <c r="A4658" s="199"/>
      <c r="B4658" s="188"/>
      <c r="C4658" s="189"/>
      <c r="D4658" s="165"/>
      <c r="E4658" s="165"/>
      <c r="F4658" s="165"/>
      <c r="G4658" s="165"/>
      <c r="H4658" s="165"/>
      <c r="I4658" s="190"/>
      <c r="J4658" s="191"/>
      <c r="K4658" s="192"/>
      <c r="L4658" s="55"/>
      <c r="M4658" s="55"/>
      <c r="N4658" s="55"/>
    </row>
    <row r="4659" spans="1:14" x14ac:dyDescent="0.2">
      <c r="A4659" s="158"/>
      <c r="B4659" s="188"/>
      <c r="C4659" s="189"/>
      <c r="D4659" s="165"/>
      <c r="E4659" s="165"/>
      <c r="F4659" s="165"/>
      <c r="G4659" s="165"/>
      <c r="H4659" s="165"/>
      <c r="I4659" s="190"/>
      <c r="J4659" s="191"/>
      <c r="K4659" s="192"/>
      <c r="L4659" s="55"/>
      <c r="M4659" s="55"/>
      <c r="N4659" s="55"/>
    </row>
    <row r="4660" spans="1:14" x14ac:dyDescent="0.2">
      <c r="A4660" s="145"/>
      <c r="B4660" s="146"/>
      <c r="C4660" s="147"/>
      <c r="D4660" s="147"/>
      <c r="E4660" s="147"/>
      <c r="F4660" s="147"/>
      <c r="G4660" s="147"/>
      <c r="H4660" s="147"/>
      <c r="I4660" s="147"/>
      <c r="J4660" s="148"/>
      <c r="K4660" s="132"/>
      <c r="L4660" s="133"/>
    </row>
    <row r="4661" spans="1:14" ht="13.5" thickBot="1" x14ac:dyDescent="0.25">
      <c r="A4661" s="149"/>
      <c r="B4661" s="150"/>
      <c r="C4661" s="151"/>
      <c r="D4661" s="151"/>
      <c r="E4661" s="151"/>
      <c r="F4661" s="151"/>
      <c r="G4661" s="151"/>
      <c r="H4661" s="151"/>
      <c r="I4661" s="151"/>
      <c r="J4661" s="152"/>
      <c r="K4661" s="132"/>
      <c r="L4661" s="133"/>
    </row>
    <row r="4662" spans="1:14" ht="13.5" thickBot="1" x14ac:dyDescent="0.25">
      <c r="A4662" s="153"/>
      <c r="B4662" s="153"/>
      <c r="C4662" s="154"/>
      <c r="D4662" s="154"/>
      <c r="E4662" s="154"/>
      <c r="F4662" s="154"/>
      <c r="G4662" s="154"/>
      <c r="H4662" s="154"/>
      <c r="I4662" s="154"/>
      <c r="J4662" s="153"/>
      <c r="K4662" s="132"/>
      <c r="L4662" s="133"/>
    </row>
    <row r="4663" spans="1:14" ht="13.5" thickBot="1" x14ac:dyDescent="0.25">
      <c r="A4663" s="614" t="s">
        <v>62</v>
      </c>
      <c r="B4663" s="648"/>
      <c r="C4663" s="648"/>
      <c r="D4663" s="648"/>
      <c r="E4663" s="648"/>
      <c r="F4663" s="648"/>
      <c r="G4663" s="648"/>
      <c r="H4663" s="648"/>
      <c r="I4663" s="648"/>
      <c r="J4663" s="649"/>
      <c r="K4663" s="132"/>
      <c r="L4663" s="133"/>
    </row>
    <row r="4664" spans="1:14" x14ac:dyDescent="0.2">
      <c r="A4664" s="136"/>
      <c r="B4664" s="155"/>
      <c r="C4664" s="156"/>
      <c r="D4664" s="156"/>
      <c r="E4664" s="156"/>
      <c r="F4664" s="156"/>
      <c r="G4664" s="156"/>
      <c r="H4664" s="156"/>
      <c r="I4664" s="156"/>
      <c r="J4664" s="157"/>
      <c r="K4664" s="132"/>
      <c r="L4664" s="133"/>
    </row>
    <row r="4665" spans="1:14" ht="12.75" customHeight="1" x14ac:dyDescent="0.2">
      <c r="A4665" s="158" t="s">
        <v>63</v>
      </c>
      <c r="B4665" s="55"/>
      <c r="C4665" s="652" t="s">
        <v>146</v>
      </c>
      <c r="D4665" s="652"/>
      <c r="E4665" s="652"/>
      <c r="F4665" s="652"/>
      <c r="G4665" s="652"/>
      <c r="H4665" s="652"/>
      <c r="I4665" s="652"/>
      <c r="J4665" s="653"/>
      <c r="K4665" s="132"/>
      <c r="L4665" s="133"/>
    </row>
    <row r="4666" spans="1:14" x14ac:dyDescent="0.2">
      <c r="A4666" s="158"/>
      <c r="B4666" s="55"/>
      <c r="C4666" s="652"/>
      <c r="D4666" s="652"/>
      <c r="E4666" s="652"/>
      <c r="F4666" s="652"/>
      <c r="G4666" s="652"/>
      <c r="H4666" s="652"/>
      <c r="I4666" s="652"/>
      <c r="J4666" s="653"/>
      <c r="K4666" s="132"/>
      <c r="L4666" s="133"/>
    </row>
    <row r="4667" spans="1:14" x14ac:dyDescent="0.2">
      <c r="A4667" s="158"/>
      <c r="B4667" s="55"/>
      <c r="C4667" s="652"/>
      <c r="D4667" s="652"/>
      <c r="E4667" s="652"/>
      <c r="F4667" s="652"/>
      <c r="G4667" s="652"/>
      <c r="H4667" s="652"/>
      <c r="I4667" s="652"/>
      <c r="J4667" s="653"/>
      <c r="K4667" s="132"/>
      <c r="L4667" s="133"/>
    </row>
    <row r="4668" spans="1:14" ht="12.75" customHeight="1" x14ac:dyDescent="0.2">
      <c r="A4668" s="158"/>
      <c r="B4668" s="55"/>
      <c r="C4668" s="652"/>
      <c r="D4668" s="652"/>
      <c r="E4668" s="652"/>
      <c r="F4668" s="652"/>
      <c r="G4668" s="652"/>
      <c r="H4668" s="652"/>
      <c r="I4668" s="652"/>
      <c r="J4668" s="653"/>
      <c r="K4668" s="132"/>
      <c r="L4668" s="133"/>
    </row>
    <row r="4669" spans="1:14" ht="12.75" customHeight="1" x14ac:dyDescent="0.2">
      <c r="A4669" s="210"/>
      <c r="B4669" s="318"/>
      <c r="C4669" s="596" t="s">
        <v>485</v>
      </c>
      <c r="D4669" s="596"/>
      <c r="E4669" s="596"/>
      <c r="F4669" s="596"/>
      <c r="G4669" s="596"/>
      <c r="H4669" s="596"/>
      <c r="I4669" s="596"/>
      <c r="J4669" s="597"/>
      <c r="K4669" s="132"/>
      <c r="L4669" s="133"/>
    </row>
    <row r="4670" spans="1:14" x14ac:dyDescent="0.2">
      <c r="C4670" s="596"/>
      <c r="D4670" s="596"/>
      <c r="E4670" s="596"/>
      <c r="F4670" s="596"/>
      <c r="G4670" s="596"/>
      <c r="H4670" s="596"/>
      <c r="I4670" s="596"/>
      <c r="J4670" s="597"/>
      <c r="K4670" s="132"/>
      <c r="L4670" s="133"/>
    </row>
    <row r="4671" spans="1:14" x14ac:dyDescent="0.2">
      <c r="A4671" s="158"/>
      <c r="B4671" s="55"/>
      <c r="C4671" s="71"/>
      <c r="D4671" s="71"/>
      <c r="E4671" s="71"/>
      <c r="F4671" s="71"/>
      <c r="G4671" s="71"/>
      <c r="H4671" s="71"/>
      <c r="I4671" s="71"/>
      <c r="J4671" s="174"/>
      <c r="K4671" s="132"/>
      <c r="L4671" s="133"/>
    </row>
    <row r="4672" spans="1:14" x14ac:dyDescent="0.2">
      <c r="A4672" s="671" t="s">
        <v>64</v>
      </c>
      <c r="B4672" s="672"/>
      <c r="C4672" s="596" t="s">
        <v>484</v>
      </c>
      <c r="D4672" s="596"/>
      <c r="E4672" s="596"/>
      <c r="F4672" s="596"/>
      <c r="G4672" s="596"/>
      <c r="H4672" s="596"/>
      <c r="I4672" s="596"/>
      <c r="J4672" s="597"/>
      <c r="K4672" s="132"/>
      <c r="L4672" s="133"/>
    </row>
    <row r="4673" spans="1:12" x14ac:dyDescent="0.2">
      <c r="J4673" s="315"/>
      <c r="K4673" s="132"/>
      <c r="L4673" s="133"/>
    </row>
    <row r="4674" spans="1:12" x14ac:dyDescent="0.2">
      <c r="A4674" s="158"/>
      <c r="B4674" s="55"/>
      <c r="C4674" s="71"/>
      <c r="D4674" s="71"/>
      <c r="E4674" s="71"/>
      <c r="F4674" s="71"/>
      <c r="G4674" s="71"/>
      <c r="H4674" s="71"/>
      <c r="I4674" s="71"/>
      <c r="J4674" s="174"/>
      <c r="K4674" s="132"/>
      <c r="L4674" s="133"/>
    </row>
    <row r="4675" spans="1:12" x14ac:dyDescent="0.2">
      <c r="A4675" s="158"/>
      <c r="B4675" s="55"/>
      <c r="C4675" s="71"/>
      <c r="D4675" s="71"/>
      <c r="E4675" s="71"/>
      <c r="F4675" s="71"/>
      <c r="G4675" s="71"/>
      <c r="H4675" s="71"/>
      <c r="I4675" s="71"/>
      <c r="J4675" s="174"/>
      <c r="K4675" s="132"/>
      <c r="L4675" s="133"/>
    </row>
    <row r="4676" spans="1:12" x14ac:dyDescent="0.2">
      <c r="A4676" s="158"/>
      <c r="B4676" s="55"/>
      <c r="C4676" s="175"/>
      <c r="D4676" s="175"/>
      <c r="E4676" s="175"/>
      <c r="F4676" s="175"/>
      <c r="G4676" s="175"/>
      <c r="H4676" s="175"/>
      <c r="I4676" s="175"/>
      <c r="J4676" s="176"/>
      <c r="K4676" s="132"/>
      <c r="L4676" s="133"/>
    </row>
    <row r="4677" spans="1:12" x14ac:dyDescent="0.2">
      <c r="A4677" s="158"/>
      <c r="B4677" s="55"/>
      <c r="C4677" s="71"/>
      <c r="D4677" s="71"/>
      <c r="E4677" s="71"/>
      <c r="F4677" s="71"/>
      <c r="G4677" s="71"/>
      <c r="H4677" s="71"/>
      <c r="I4677" s="71"/>
      <c r="J4677" s="174"/>
      <c r="K4677" s="132"/>
      <c r="L4677" s="133"/>
    </row>
    <row r="4678" spans="1:12" x14ac:dyDescent="0.2">
      <c r="A4678" s="158"/>
      <c r="B4678" s="55"/>
      <c r="C4678" s="71"/>
      <c r="D4678" s="71"/>
      <c r="E4678" s="71"/>
      <c r="F4678" s="71"/>
      <c r="G4678" s="71"/>
      <c r="H4678" s="71"/>
      <c r="I4678" s="71"/>
      <c r="J4678" s="174"/>
      <c r="K4678" s="132"/>
      <c r="L4678" s="133"/>
    </row>
    <row r="4679" spans="1:12" x14ac:dyDescent="0.2">
      <c r="A4679" s="158"/>
      <c r="B4679" s="55"/>
      <c r="C4679" s="71"/>
      <c r="D4679" s="71"/>
      <c r="E4679" s="71"/>
      <c r="F4679" s="71"/>
      <c r="G4679" s="71"/>
      <c r="H4679" s="71"/>
      <c r="I4679" s="71"/>
      <c r="J4679" s="174"/>
      <c r="K4679" s="132"/>
      <c r="L4679" s="133"/>
    </row>
    <row r="4680" spans="1:12" x14ac:dyDescent="0.2">
      <c r="A4680" s="158"/>
      <c r="B4680" s="55"/>
      <c r="C4680" s="71"/>
      <c r="D4680" s="71"/>
      <c r="E4680" s="71"/>
      <c r="F4680" s="71"/>
      <c r="G4680" s="71"/>
      <c r="H4680" s="71"/>
      <c r="I4680" s="71"/>
      <c r="J4680" s="174"/>
      <c r="K4680" s="132"/>
      <c r="L4680" s="133"/>
    </row>
    <row r="4681" spans="1:12" x14ac:dyDescent="0.2">
      <c r="A4681" s="158"/>
      <c r="B4681" s="55"/>
      <c r="C4681" s="71"/>
      <c r="D4681" s="71"/>
      <c r="E4681" s="71"/>
      <c r="F4681" s="71"/>
      <c r="G4681" s="71"/>
      <c r="H4681" s="71"/>
      <c r="I4681" s="71"/>
      <c r="J4681" s="174"/>
      <c r="K4681" s="132"/>
      <c r="L4681" s="133"/>
    </row>
    <row r="4682" spans="1:12" x14ac:dyDescent="0.2">
      <c r="A4682" s="158"/>
      <c r="B4682" s="55"/>
      <c r="C4682" s="175"/>
      <c r="D4682" s="175"/>
      <c r="E4682" s="172"/>
      <c r="F4682" s="172"/>
      <c r="G4682" s="172"/>
      <c r="H4682" s="172"/>
      <c r="I4682" s="172"/>
      <c r="J4682" s="173"/>
      <c r="K4682" s="132"/>
      <c r="L4682" s="133"/>
    </row>
    <row r="4683" spans="1:12" x14ac:dyDescent="0.2">
      <c r="A4683" s="158"/>
      <c r="B4683" s="55"/>
      <c r="C4683" s="175"/>
      <c r="D4683" s="175"/>
      <c r="E4683" s="172"/>
      <c r="F4683" s="172"/>
      <c r="G4683" s="172"/>
      <c r="H4683" s="172"/>
      <c r="I4683" s="172"/>
      <c r="J4683" s="173"/>
      <c r="K4683" s="132"/>
      <c r="L4683" s="133"/>
    </row>
    <row r="4684" spans="1:12" x14ac:dyDescent="0.2">
      <c r="A4684" s="158"/>
      <c r="B4684" s="55"/>
      <c r="C4684" s="175"/>
      <c r="D4684" s="175"/>
      <c r="E4684" s="172"/>
      <c r="F4684" s="172"/>
      <c r="G4684" s="172"/>
      <c r="H4684" s="172"/>
      <c r="I4684" s="172"/>
      <c r="J4684" s="173"/>
      <c r="K4684" s="132"/>
      <c r="L4684" s="133"/>
    </row>
    <row r="4685" spans="1:12" x14ac:dyDescent="0.2">
      <c r="A4685" s="158"/>
      <c r="B4685" s="55"/>
      <c r="C4685" s="175"/>
      <c r="D4685" s="175"/>
      <c r="E4685" s="175"/>
      <c r="F4685" s="175"/>
      <c r="G4685" s="175"/>
      <c r="H4685" s="175"/>
      <c r="I4685" s="175"/>
      <c r="J4685" s="176"/>
      <c r="K4685" s="132"/>
      <c r="L4685" s="133"/>
    </row>
    <row r="4686" spans="1:12" ht="13.5" thickBot="1" x14ac:dyDescent="0.25">
      <c r="A4686" s="149"/>
      <c r="B4686" s="167"/>
      <c r="C4686" s="151"/>
      <c r="D4686" s="151"/>
      <c r="E4686" s="151"/>
      <c r="F4686" s="151"/>
      <c r="G4686" s="151"/>
      <c r="H4686" s="151"/>
      <c r="I4686" s="151"/>
      <c r="J4686" s="168"/>
      <c r="K4686" s="132"/>
      <c r="L4686" s="133"/>
    </row>
    <row r="4687" spans="1:12" ht="15.75" x14ac:dyDescent="0.2">
      <c r="A4687" s="602" t="s">
        <v>4</v>
      </c>
      <c r="B4687" s="603"/>
      <c r="C4687" s="603" t="str">
        <f>'A IV.A'!$B$134</f>
        <v>PINTURAS - ITEM 11.0 DO TERMO DE REFERÊNCIA</v>
      </c>
      <c r="D4687" s="603"/>
      <c r="E4687" s="603"/>
      <c r="F4687" s="603"/>
      <c r="G4687" s="603"/>
      <c r="H4687" s="603"/>
      <c r="I4687" s="603"/>
      <c r="J4687" s="604"/>
      <c r="K4687" s="132"/>
      <c r="L4687" s="133"/>
    </row>
    <row r="4688" spans="1:12" x14ac:dyDescent="0.2">
      <c r="A4688" s="609" t="str">
        <f>'A IV.A'!$A$134</f>
        <v>6.0</v>
      </c>
      <c r="B4688" s="610"/>
      <c r="C4688" s="605"/>
      <c r="D4688" s="605"/>
      <c r="E4688" s="605"/>
      <c r="F4688" s="605"/>
      <c r="G4688" s="605"/>
      <c r="H4688" s="605"/>
      <c r="I4688" s="605"/>
      <c r="J4688" s="606"/>
      <c r="K4688" s="132"/>
      <c r="L4688" s="133"/>
    </row>
    <row r="4689" spans="1:14" ht="13.5" thickBot="1" x14ac:dyDescent="0.25">
      <c r="A4689" s="611" t="str">
        <f>'A IV.A'!$A$134</f>
        <v>6.0</v>
      </c>
      <c r="B4689" s="612"/>
      <c r="C4689" s="607"/>
      <c r="D4689" s="607"/>
      <c r="E4689" s="607"/>
      <c r="F4689" s="607"/>
      <c r="G4689" s="607"/>
      <c r="H4689" s="607"/>
      <c r="I4689" s="607"/>
      <c r="J4689" s="608"/>
      <c r="K4689" s="132"/>
      <c r="L4689" s="133"/>
    </row>
    <row r="4690" spans="1:14" ht="13.5" thickBot="1" x14ac:dyDescent="0.25">
      <c r="A4690" s="169"/>
      <c r="B4690" s="169"/>
      <c r="C4690" s="613"/>
      <c r="D4690" s="613"/>
      <c r="E4690" s="613"/>
      <c r="F4690" s="613"/>
      <c r="G4690" s="613"/>
      <c r="H4690" s="613"/>
      <c r="I4690" s="613"/>
      <c r="J4690" s="169"/>
      <c r="K4690" s="132"/>
      <c r="L4690" s="133"/>
    </row>
    <row r="4691" spans="1:14" ht="13.5" thickBot="1" x14ac:dyDescent="0.25">
      <c r="A4691" s="632" t="s">
        <v>60</v>
      </c>
      <c r="B4691" s="633"/>
      <c r="C4691" s="656" t="s">
        <v>61</v>
      </c>
      <c r="D4691" s="656"/>
      <c r="E4691" s="656"/>
      <c r="F4691" s="656"/>
      <c r="G4691" s="656"/>
      <c r="H4691" s="656"/>
      <c r="I4691" s="656"/>
      <c r="J4691" s="260" t="s">
        <v>0</v>
      </c>
      <c r="K4691" s="132"/>
      <c r="L4691" s="133"/>
    </row>
    <row r="4692" spans="1:14" x14ac:dyDescent="0.2">
      <c r="A4692" s="136"/>
      <c r="B4692" s="137"/>
      <c r="C4692" s="619"/>
      <c r="D4692" s="620"/>
      <c r="E4692" s="621"/>
      <c r="F4692" s="621"/>
      <c r="G4692" s="621"/>
      <c r="H4692" s="621"/>
      <c r="I4692" s="622"/>
      <c r="J4692" s="138"/>
      <c r="K4692" s="132"/>
      <c r="L4692" s="133"/>
    </row>
    <row r="4693" spans="1:14" ht="12.75" customHeight="1" x14ac:dyDescent="0.2">
      <c r="A4693" s="623" t="str">
        <f>'A IV.A'!$A$149</f>
        <v>6.12</v>
      </c>
      <c r="B4693" s="624"/>
      <c r="C4693" s="626" t="str">
        <f>'A IV.A'!$B$149</f>
        <v>PINTURA COM TINTA EPOXI, DUAS DEMÃOS</v>
      </c>
      <c r="D4693" s="627"/>
      <c r="E4693" s="627"/>
      <c r="F4693" s="627"/>
      <c r="G4693" s="627"/>
      <c r="H4693" s="627"/>
      <c r="I4693" s="628"/>
      <c r="J4693" s="629" t="str">
        <f>'A IV.A'!$C$149</f>
        <v>M2</v>
      </c>
      <c r="K4693" s="657" t="str">
        <f>VLOOKUP(A4693,'A IV.A'!$A$14:$M$233,2,FALSE)</f>
        <v>PINTURA COM TINTA EPOXI, DUAS DEMÃOS</v>
      </c>
      <c r="L4693" s="631" t="str">
        <f>IF(C4693=K4693,"sim","nao")</f>
        <v>sim</v>
      </c>
      <c r="M4693" s="631" t="str">
        <f>VLOOKUP(A4693,'A IV.A'!$A$14:$M$233,3,FALSE)</f>
        <v>M2</v>
      </c>
      <c r="N4693" s="631" t="str">
        <f>IF(J4693=M4693,"sim","nao")</f>
        <v>sim</v>
      </c>
    </row>
    <row r="4694" spans="1:14" ht="12.75" customHeight="1" x14ac:dyDescent="0.2">
      <c r="A4694" s="625"/>
      <c r="B4694" s="624"/>
      <c r="C4694" s="626"/>
      <c r="D4694" s="627"/>
      <c r="E4694" s="627"/>
      <c r="F4694" s="627"/>
      <c r="G4694" s="627"/>
      <c r="H4694" s="627"/>
      <c r="I4694" s="628"/>
      <c r="J4694" s="629"/>
      <c r="K4694" s="657"/>
      <c r="L4694" s="631"/>
      <c r="M4694" s="631"/>
      <c r="N4694" s="631"/>
    </row>
    <row r="4695" spans="1:14" x14ac:dyDescent="0.2">
      <c r="A4695" s="199"/>
      <c r="B4695" s="313"/>
      <c r="C4695" s="189"/>
      <c r="D4695" s="165"/>
      <c r="E4695" s="165"/>
      <c r="F4695" s="165"/>
      <c r="G4695" s="165"/>
      <c r="H4695" s="165"/>
      <c r="I4695" s="190"/>
      <c r="J4695" s="191"/>
      <c r="K4695" s="132"/>
      <c r="L4695" s="133"/>
    </row>
    <row r="4696" spans="1:14" x14ac:dyDescent="0.2">
      <c r="C4696" s="301"/>
      <c r="I4696" s="300"/>
      <c r="J4696" s="315"/>
    </row>
    <row r="4697" spans="1:14" x14ac:dyDescent="0.2">
      <c r="C4697" s="301"/>
      <c r="I4697" s="300"/>
      <c r="J4697" s="315"/>
    </row>
    <row r="4698" spans="1:14" x14ac:dyDescent="0.2">
      <c r="A4698" s="199"/>
      <c r="B4698" s="188"/>
      <c r="C4698" s="189"/>
      <c r="D4698" s="165"/>
      <c r="E4698" s="165"/>
      <c r="F4698" s="165"/>
      <c r="G4698" s="165"/>
      <c r="H4698" s="165"/>
      <c r="I4698" s="190"/>
      <c r="J4698" s="191"/>
      <c r="K4698" s="657"/>
      <c r="L4698" s="631"/>
      <c r="M4698" s="631"/>
      <c r="N4698" s="631"/>
    </row>
    <row r="4699" spans="1:14" x14ac:dyDescent="0.2">
      <c r="A4699" s="158"/>
      <c r="B4699" s="188"/>
      <c r="C4699" s="189"/>
      <c r="D4699" s="165"/>
      <c r="E4699" s="165"/>
      <c r="F4699" s="165"/>
      <c r="G4699" s="165"/>
      <c r="H4699" s="165"/>
      <c r="I4699" s="190"/>
      <c r="J4699" s="191"/>
      <c r="K4699" s="657"/>
      <c r="L4699" s="631"/>
      <c r="M4699" s="631"/>
      <c r="N4699" s="631"/>
    </row>
    <row r="4700" spans="1:14" x14ac:dyDescent="0.2">
      <c r="A4700" s="158"/>
      <c r="B4700" s="188"/>
      <c r="C4700" s="189"/>
      <c r="D4700" s="165"/>
      <c r="E4700" s="165"/>
      <c r="F4700" s="165"/>
      <c r="G4700" s="165"/>
      <c r="H4700" s="165"/>
      <c r="I4700" s="190"/>
      <c r="J4700" s="191"/>
      <c r="K4700" s="171"/>
      <c r="L4700" s="55"/>
      <c r="M4700" s="55"/>
      <c r="N4700" s="55"/>
    </row>
    <row r="4701" spans="1:14" x14ac:dyDescent="0.2">
      <c r="A4701" s="145"/>
      <c r="B4701" s="146"/>
      <c r="C4701" s="147"/>
      <c r="D4701" s="147"/>
      <c r="E4701" s="147"/>
      <c r="F4701" s="147"/>
      <c r="G4701" s="147"/>
      <c r="H4701" s="147"/>
      <c r="I4701" s="147"/>
      <c r="J4701" s="148"/>
      <c r="K4701" s="132"/>
      <c r="L4701" s="133"/>
    </row>
    <row r="4702" spans="1:14" x14ac:dyDescent="0.2">
      <c r="A4702" s="199"/>
      <c r="B4702" s="188"/>
      <c r="C4702" s="189"/>
      <c r="D4702" s="165"/>
      <c r="E4702" s="165"/>
      <c r="F4702" s="165"/>
      <c r="G4702" s="165"/>
      <c r="H4702" s="165"/>
      <c r="I4702" s="190"/>
      <c r="J4702" s="191"/>
      <c r="K4702" s="171"/>
      <c r="L4702" s="55"/>
      <c r="M4702" s="55"/>
      <c r="N4702" s="55"/>
    </row>
    <row r="4703" spans="1:14" x14ac:dyDescent="0.2">
      <c r="A4703" s="158"/>
      <c r="B4703" s="188"/>
      <c r="C4703" s="189"/>
      <c r="D4703" s="165"/>
      <c r="E4703" s="165"/>
      <c r="F4703" s="165"/>
      <c r="G4703" s="165"/>
      <c r="H4703" s="165"/>
      <c r="I4703" s="190"/>
      <c r="J4703" s="191"/>
      <c r="K4703" s="171"/>
      <c r="L4703" s="55"/>
      <c r="M4703" s="55"/>
      <c r="N4703" s="55"/>
    </row>
    <row r="4704" spans="1:14" x14ac:dyDescent="0.2">
      <c r="A4704" s="145"/>
      <c r="B4704" s="146"/>
      <c r="C4704" s="147"/>
      <c r="D4704" s="147"/>
      <c r="E4704" s="147"/>
      <c r="F4704" s="147"/>
      <c r="G4704" s="147"/>
      <c r="H4704" s="147"/>
      <c r="I4704" s="147"/>
      <c r="J4704" s="148"/>
      <c r="K4704" s="132"/>
      <c r="L4704" s="133"/>
    </row>
    <row r="4705" spans="1:14" x14ac:dyDescent="0.2">
      <c r="A4705" s="199"/>
      <c r="B4705" s="188"/>
      <c r="C4705" s="189"/>
      <c r="D4705" s="165"/>
      <c r="E4705" s="165"/>
      <c r="F4705" s="165"/>
      <c r="G4705" s="165"/>
      <c r="H4705" s="165"/>
      <c r="I4705" s="190"/>
      <c r="J4705" s="191"/>
      <c r="K4705" s="171"/>
      <c r="L4705" s="55"/>
      <c r="M4705" s="55"/>
      <c r="N4705" s="55"/>
    </row>
    <row r="4706" spans="1:14" x14ac:dyDescent="0.2">
      <c r="A4706" s="158"/>
      <c r="B4706" s="188"/>
      <c r="C4706" s="189"/>
      <c r="D4706" s="165"/>
      <c r="E4706" s="165"/>
      <c r="F4706" s="165"/>
      <c r="G4706" s="165"/>
      <c r="H4706" s="165"/>
      <c r="I4706" s="190"/>
      <c r="J4706" s="191"/>
      <c r="K4706" s="171"/>
      <c r="L4706" s="55"/>
      <c r="M4706" s="55"/>
      <c r="N4706" s="55"/>
    </row>
    <row r="4707" spans="1:14" x14ac:dyDescent="0.2">
      <c r="A4707" s="145"/>
      <c r="B4707" s="146"/>
      <c r="C4707" s="147"/>
      <c r="D4707" s="147"/>
      <c r="E4707" s="147"/>
      <c r="F4707" s="147"/>
      <c r="G4707" s="147"/>
      <c r="H4707" s="147"/>
      <c r="I4707" s="147"/>
      <c r="J4707" s="148"/>
      <c r="K4707" s="132"/>
      <c r="L4707" s="133"/>
    </row>
    <row r="4708" spans="1:14" x14ac:dyDescent="0.2">
      <c r="A4708" s="199"/>
      <c r="B4708" s="188"/>
      <c r="C4708" s="189"/>
      <c r="D4708" s="165"/>
      <c r="E4708" s="165"/>
      <c r="F4708" s="165"/>
      <c r="G4708" s="165"/>
      <c r="H4708" s="165"/>
      <c r="I4708" s="190"/>
      <c r="J4708" s="191"/>
      <c r="K4708" s="171"/>
      <c r="L4708" s="55"/>
      <c r="M4708" s="55"/>
      <c r="N4708" s="55"/>
    </row>
    <row r="4709" spans="1:14" x14ac:dyDescent="0.2">
      <c r="A4709" s="158"/>
      <c r="B4709" s="188"/>
      <c r="C4709" s="189"/>
      <c r="D4709" s="165"/>
      <c r="E4709" s="165"/>
      <c r="F4709" s="165"/>
      <c r="G4709" s="165"/>
      <c r="H4709" s="165"/>
      <c r="I4709" s="190"/>
      <c r="J4709" s="191"/>
      <c r="K4709" s="171"/>
      <c r="L4709" s="55"/>
      <c r="M4709" s="55"/>
      <c r="N4709" s="55"/>
    </row>
    <row r="4710" spans="1:14" x14ac:dyDescent="0.2">
      <c r="A4710" s="145"/>
      <c r="B4710" s="146"/>
      <c r="C4710" s="147"/>
      <c r="D4710" s="147"/>
      <c r="E4710" s="147"/>
      <c r="F4710" s="147"/>
      <c r="G4710" s="147"/>
      <c r="H4710" s="147"/>
      <c r="I4710" s="147"/>
      <c r="J4710" s="148"/>
      <c r="K4710" s="132"/>
      <c r="L4710" s="133"/>
    </row>
    <row r="4711" spans="1:14" x14ac:dyDescent="0.2">
      <c r="A4711" s="199"/>
      <c r="B4711" s="188"/>
      <c r="C4711" s="189"/>
      <c r="D4711" s="165"/>
      <c r="E4711" s="165"/>
      <c r="F4711" s="165"/>
      <c r="G4711" s="165"/>
      <c r="H4711" s="165"/>
      <c r="I4711" s="190"/>
      <c r="J4711" s="191"/>
      <c r="K4711" s="171"/>
      <c r="L4711" s="55"/>
      <c r="M4711" s="55"/>
      <c r="N4711" s="55"/>
    </row>
    <row r="4712" spans="1:14" x14ac:dyDescent="0.2">
      <c r="A4712" s="158"/>
      <c r="B4712" s="188"/>
      <c r="C4712" s="189"/>
      <c r="D4712" s="165"/>
      <c r="E4712" s="165"/>
      <c r="F4712" s="165"/>
      <c r="G4712" s="165"/>
      <c r="H4712" s="165"/>
      <c r="I4712" s="190"/>
      <c r="J4712" s="191"/>
      <c r="K4712" s="171"/>
      <c r="L4712" s="55"/>
      <c r="M4712" s="55"/>
      <c r="N4712" s="55"/>
    </row>
    <row r="4713" spans="1:14" x14ac:dyDescent="0.2">
      <c r="A4713" s="145"/>
      <c r="B4713" s="146"/>
      <c r="C4713" s="147"/>
      <c r="D4713" s="147"/>
      <c r="E4713" s="147"/>
      <c r="F4713" s="147"/>
      <c r="G4713" s="147"/>
      <c r="H4713" s="147"/>
      <c r="I4713" s="147"/>
      <c r="J4713" s="148"/>
      <c r="K4713" s="132"/>
      <c r="L4713" s="133"/>
    </row>
    <row r="4714" spans="1:14" ht="13.5" thickBot="1" x14ac:dyDescent="0.25">
      <c r="A4714" s="149"/>
      <c r="B4714" s="150"/>
      <c r="C4714" s="151"/>
      <c r="D4714" s="151"/>
      <c r="E4714" s="151"/>
      <c r="F4714" s="151"/>
      <c r="G4714" s="151"/>
      <c r="H4714" s="151"/>
      <c r="I4714" s="151"/>
      <c r="J4714" s="152"/>
      <c r="K4714" s="132"/>
      <c r="L4714" s="133"/>
    </row>
    <row r="4715" spans="1:14" ht="13.5" thickBot="1" x14ac:dyDescent="0.25">
      <c r="A4715" s="153"/>
      <c r="B4715" s="153"/>
      <c r="C4715" s="154"/>
      <c r="D4715" s="154"/>
      <c r="E4715" s="154"/>
      <c r="F4715" s="154"/>
      <c r="G4715" s="154"/>
      <c r="H4715" s="154"/>
      <c r="I4715" s="154"/>
      <c r="J4715" s="153"/>
      <c r="K4715" s="132"/>
      <c r="L4715" s="133"/>
    </row>
    <row r="4716" spans="1:14" ht="13.5" thickBot="1" x14ac:dyDescent="0.25">
      <c r="A4716" s="614" t="s">
        <v>62</v>
      </c>
      <c r="B4716" s="648"/>
      <c r="C4716" s="648"/>
      <c r="D4716" s="648"/>
      <c r="E4716" s="648"/>
      <c r="F4716" s="648"/>
      <c r="G4716" s="648"/>
      <c r="H4716" s="648"/>
      <c r="I4716" s="648"/>
      <c r="J4716" s="649"/>
      <c r="K4716" s="132"/>
      <c r="L4716" s="133"/>
    </row>
    <row r="4717" spans="1:14" x14ac:dyDescent="0.2">
      <c r="A4717" s="136"/>
      <c r="B4717" s="155"/>
      <c r="C4717" s="156"/>
      <c r="D4717" s="156"/>
      <c r="E4717" s="156"/>
      <c r="F4717" s="156"/>
      <c r="G4717" s="156"/>
      <c r="H4717" s="156"/>
      <c r="I4717" s="156"/>
      <c r="J4717" s="157"/>
      <c r="K4717" s="132"/>
      <c r="L4717" s="133"/>
    </row>
    <row r="4718" spans="1:14" ht="12.75" customHeight="1" x14ac:dyDescent="0.2">
      <c r="A4718" s="158" t="s">
        <v>63</v>
      </c>
      <c r="B4718" s="55"/>
      <c r="C4718" s="652" t="s">
        <v>1028</v>
      </c>
      <c r="D4718" s="652"/>
      <c r="E4718" s="652"/>
      <c r="F4718" s="652"/>
      <c r="G4718" s="652"/>
      <c r="H4718" s="652"/>
      <c r="I4718" s="652"/>
      <c r="J4718" s="653"/>
      <c r="K4718" s="132"/>
      <c r="L4718" s="133"/>
    </row>
    <row r="4719" spans="1:14" x14ac:dyDescent="0.2">
      <c r="A4719" s="158"/>
      <c r="B4719" s="55"/>
      <c r="C4719" s="652"/>
      <c r="D4719" s="652"/>
      <c r="E4719" s="652"/>
      <c r="F4719" s="652"/>
      <c r="G4719" s="652"/>
      <c r="H4719" s="652"/>
      <c r="I4719" s="652"/>
      <c r="J4719" s="653"/>
      <c r="K4719" s="132"/>
      <c r="L4719" s="133"/>
    </row>
    <row r="4720" spans="1:14" x14ac:dyDescent="0.2">
      <c r="A4720" s="158"/>
      <c r="B4720" s="55"/>
      <c r="C4720" s="652"/>
      <c r="D4720" s="652"/>
      <c r="E4720" s="652"/>
      <c r="F4720" s="652"/>
      <c r="G4720" s="652"/>
      <c r="H4720" s="652"/>
      <c r="I4720" s="652"/>
      <c r="J4720" s="653"/>
      <c r="K4720" s="132"/>
      <c r="L4720" s="133"/>
    </row>
    <row r="4721" spans="1:12" x14ac:dyDescent="0.2">
      <c r="A4721" s="158"/>
      <c r="B4721" s="55"/>
      <c r="C4721" s="652"/>
      <c r="D4721" s="652"/>
      <c r="E4721" s="652"/>
      <c r="F4721" s="652"/>
      <c r="G4721" s="652"/>
      <c r="H4721" s="652"/>
      <c r="I4721" s="652"/>
      <c r="J4721" s="653"/>
      <c r="K4721" s="132"/>
      <c r="L4721" s="133"/>
    </row>
    <row r="4722" spans="1:12" x14ac:dyDescent="0.2">
      <c r="A4722" s="598"/>
      <c r="B4722" s="638"/>
      <c r="C4722" s="652"/>
      <c r="D4722" s="652"/>
      <c r="E4722" s="673"/>
      <c r="F4722" s="673"/>
      <c r="G4722" s="673"/>
      <c r="H4722" s="673"/>
      <c r="I4722" s="673"/>
      <c r="J4722" s="674"/>
      <c r="K4722" s="132"/>
      <c r="L4722" s="133"/>
    </row>
    <row r="4723" spans="1:12" x14ac:dyDescent="0.2">
      <c r="A4723" s="598" t="s">
        <v>64</v>
      </c>
      <c r="B4723" s="638"/>
      <c r="C4723" s="652" t="s">
        <v>473</v>
      </c>
      <c r="D4723" s="652"/>
      <c r="E4723" s="673"/>
      <c r="F4723" s="673"/>
      <c r="G4723" s="673"/>
      <c r="H4723" s="673"/>
      <c r="I4723" s="673"/>
      <c r="J4723" s="674"/>
      <c r="K4723" s="132"/>
      <c r="L4723" s="133"/>
    </row>
    <row r="4724" spans="1:12" x14ac:dyDescent="0.2">
      <c r="A4724" s="158"/>
      <c r="B4724" s="55"/>
      <c r="C4724" s="71"/>
      <c r="D4724" s="71"/>
      <c r="E4724" s="71"/>
      <c r="F4724" s="71"/>
      <c r="G4724" s="71"/>
      <c r="H4724" s="71"/>
      <c r="I4724" s="71"/>
      <c r="J4724" s="174"/>
      <c r="K4724" s="132"/>
      <c r="L4724" s="133"/>
    </row>
    <row r="4725" spans="1:12" ht="12.75" customHeight="1" x14ac:dyDescent="0.2">
      <c r="A4725" s="598" t="s">
        <v>65</v>
      </c>
      <c r="B4725" s="638"/>
      <c r="C4725" s="652" t="s">
        <v>863</v>
      </c>
      <c r="D4725" s="652"/>
      <c r="E4725" s="652"/>
      <c r="F4725" s="652"/>
      <c r="G4725" s="652"/>
      <c r="H4725" s="652"/>
      <c r="I4725" s="652"/>
      <c r="J4725" s="653"/>
      <c r="K4725" s="132"/>
      <c r="L4725" s="133"/>
    </row>
    <row r="4726" spans="1:12" x14ac:dyDescent="0.2">
      <c r="A4726" s="158"/>
      <c r="B4726" s="55"/>
      <c r="C4726" s="652"/>
      <c r="D4726" s="652"/>
      <c r="E4726" s="652"/>
      <c r="F4726" s="652"/>
      <c r="G4726" s="652"/>
      <c r="H4726" s="652"/>
      <c r="I4726" s="652"/>
      <c r="J4726" s="653"/>
      <c r="K4726" s="132"/>
      <c r="L4726" s="133"/>
    </row>
    <row r="4727" spans="1:12" x14ac:dyDescent="0.2">
      <c r="A4727" s="158"/>
      <c r="B4727" s="55"/>
      <c r="C4727" s="652"/>
      <c r="D4727" s="652"/>
      <c r="E4727" s="652"/>
      <c r="F4727" s="652"/>
      <c r="G4727" s="652"/>
      <c r="H4727" s="652"/>
      <c r="I4727" s="652"/>
      <c r="J4727" s="653"/>
      <c r="K4727" s="132"/>
      <c r="L4727" s="133"/>
    </row>
    <row r="4728" spans="1:12" x14ac:dyDescent="0.2">
      <c r="A4728" s="158"/>
      <c r="B4728" s="55"/>
      <c r="C4728" s="71"/>
      <c r="D4728" s="71"/>
      <c r="E4728" s="71"/>
      <c r="F4728" s="71"/>
      <c r="G4728" s="71"/>
      <c r="H4728" s="71"/>
      <c r="I4728" s="71"/>
      <c r="J4728" s="174"/>
      <c r="K4728" s="132"/>
      <c r="L4728" s="133"/>
    </row>
    <row r="4729" spans="1:12" x14ac:dyDescent="0.2">
      <c r="A4729" s="158"/>
      <c r="B4729" s="55"/>
      <c r="C4729" s="71"/>
      <c r="D4729" s="71"/>
      <c r="E4729" s="71"/>
      <c r="F4729" s="71"/>
      <c r="G4729" s="71"/>
      <c r="H4729" s="71"/>
      <c r="I4729" s="71"/>
      <c r="J4729" s="174"/>
      <c r="K4729" s="132"/>
      <c r="L4729" s="133"/>
    </row>
    <row r="4730" spans="1:12" x14ac:dyDescent="0.2">
      <c r="A4730" s="158"/>
      <c r="B4730" s="55"/>
      <c r="C4730" s="71"/>
      <c r="D4730" s="71"/>
      <c r="E4730" s="71"/>
      <c r="F4730" s="71"/>
      <c r="G4730" s="71"/>
      <c r="H4730" s="71"/>
      <c r="I4730" s="71"/>
      <c r="J4730" s="174"/>
      <c r="K4730" s="132"/>
      <c r="L4730" s="133"/>
    </row>
    <row r="4731" spans="1:12" x14ac:dyDescent="0.2">
      <c r="A4731" s="158"/>
      <c r="B4731" s="55"/>
      <c r="C4731" s="71"/>
      <c r="D4731" s="71"/>
      <c r="E4731" s="71"/>
      <c r="F4731" s="71"/>
      <c r="G4731" s="71"/>
      <c r="H4731" s="71"/>
      <c r="I4731" s="71"/>
      <c r="J4731" s="174"/>
      <c r="K4731" s="132"/>
      <c r="L4731" s="133"/>
    </row>
    <row r="4732" spans="1:12" x14ac:dyDescent="0.2">
      <c r="A4732" s="158"/>
      <c r="B4732" s="55"/>
      <c r="C4732" s="71"/>
      <c r="D4732" s="71"/>
      <c r="E4732" s="71"/>
      <c r="F4732" s="71"/>
      <c r="G4732" s="71"/>
      <c r="H4732" s="71"/>
      <c r="I4732" s="71"/>
      <c r="J4732" s="174"/>
      <c r="K4732" s="132"/>
      <c r="L4732" s="133"/>
    </row>
    <row r="4733" spans="1:12" x14ac:dyDescent="0.2">
      <c r="A4733" s="158"/>
      <c r="B4733" s="55"/>
      <c r="C4733" s="71"/>
      <c r="D4733" s="71"/>
      <c r="E4733" s="71"/>
      <c r="F4733" s="71"/>
      <c r="G4733" s="71"/>
      <c r="H4733" s="71"/>
      <c r="I4733" s="71"/>
      <c r="J4733" s="174"/>
      <c r="K4733" s="132"/>
      <c r="L4733" s="133"/>
    </row>
    <row r="4734" spans="1:12" x14ac:dyDescent="0.2">
      <c r="A4734" s="158"/>
      <c r="B4734" s="55"/>
      <c r="C4734" s="175"/>
      <c r="D4734" s="175"/>
      <c r="E4734" s="172"/>
      <c r="F4734" s="172"/>
      <c r="G4734" s="172"/>
      <c r="H4734" s="172"/>
      <c r="I4734" s="172"/>
      <c r="J4734" s="173"/>
      <c r="K4734" s="132"/>
      <c r="L4734" s="133"/>
    </row>
    <row r="4735" spans="1:12" x14ac:dyDescent="0.2">
      <c r="A4735" s="158"/>
      <c r="B4735" s="55"/>
      <c r="C4735" s="175"/>
      <c r="D4735" s="175"/>
      <c r="E4735" s="172"/>
      <c r="F4735" s="172"/>
      <c r="G4735" s="172"/>
      <c r="H4735" s="172"/>
      <c r="I4735" s="172"/>
      <c r="J4735" s="173"/>
      <c r="K4735" s="132"/>
      <c r="L4735" s="133"/>
    </row>
    <row r="4736" spans="1:12" x14ac:dyDescent="0.2">
      <c r="A4736" s="158"/>
      <c r="B4736" s="55"/>
      <c r="C4736" s="175"/>
      <c r="D4736" s="175"/>
      <c r="E4736" s="172"/>
      <c r="F4736" s="172"/>
      <c r="G4736" s="172"/>
      <c r="H4736" s="172"/>
      <c r="I4736" s="172"/>
      <c r="J4736" s="173"/>
      <c r="K4736" s="132"/>
      <c r="L4736" s="133"/>
    </row>
    <row r="4737" spans="1:14" x14ac:dyDescent="0.2">
      <c r="A4737" s="158"/>
      <c r="B4737" s="55"/>
      <c r="C4737" s="175"/>
      <c r="D4737" s="175"/>
      <c r="E4737" s="175"/>
      <c r="F4737" s="175"/>
      <c r="G4737" s="175"/>
      <c r="H4737" s="175"/>
      <c r="I4737" s="175"/>
      <c r="J4737" s="176"/>
      <c r="K4737" s="132"/>
      <c r="L4737" s="133"/>
    </row>
    <row r="4738" spans="1:14" x14ac:dyDescent="0.2">
      <c r="A4738" s="158"/>
      <c r="B4738" s="55"/>
      <c r="C4738" s="175"/>
      <c r="D4738" s="175"/>
      <c r="E4738" s="175"/>
      <c r="F4738" s="175"/>
      <c r="G4738" s="175"/>
      <c r="H4738" s="175"/>
      <c r="I4738" s="175"/>
      <c r="J4738" s="176"/>
      <c r="K4738" s="132"/>
      <c r="L4738" s="133"/>
    </row>
    <row r="4739" spans="1:14" ht="13.5" thickBot="1" x14ac:dyDescent="0.25">
      <c r="A4739" s="149"/>
      <c r="B4739" s="167"/>
      <c r="C4739" s="151"/>
      <c r="D4739" s="151"/>
      <c r="E4739" s="151"/>
      <c r="F4739" s="151"/>
      <c r="G4739" s="151"/>
      <c r="H4739" s="151"/>
      <c r="I4739" s="151"/>
      <c r="J4739" s="168"/>
      <c r="K4739" s="132"/>
      <c r="L4739" s="133"/>
    </row>
    <row r="4740" spans="1:14" ht="15.75" x14ac:dyDescent="0.2">
      <c r="A4740" s="602" t="s">
        <v>4</v>
      </c>
      <c r="B4740" s="603"/>
      <c r="C4740" s="603" t="str">
        <f>'A IV.A'!$B$134</f>
        <v>PINTURAS - ITEM 11.0 DO TERMO DE REFERÊNCIA</v>
      </c>
      <c r="D4740" s="603"/>
      <c r="E4740" s="603"/>
      <c r="F4740" s="603"/>
      <c r="G4740" s="603"/>
      <c r="H4740" s="603"/>
      <c r="I4740" s="603"/>
      <c r="J4740" s="604"/>
      <c r="K4740" s="132"/>
      <c r="L4740" s="133"/>
    </row>
    <row r="4741" spans="1:14" x14ac:dyDescent="0.2">
      <c r="A4741" s="609" t="str">
        <f>'A IV.A'!$A$134</f>
        <v>6.0</v>
      </c>
      <c r="B4741" s="610"/>
      <c r="C4741" s="605"/>
      <c r="D4741" s="605"/>
      <c r="E4741" s="605"/>
      <c r="F4741" s="605"/>
      <c r="G4741" s="605"/>
      <c r="H4741" s="605"/>
      <c r="I4741" s="605"/>
      <c r="J4741" s="606"/>
      <c r="K4741" s="132"/>
      <c r="L4741" s="133"/>
    </row>
    <row r="4742" spans="1:14" ht="13.5" thickBot="1" x14ac:dyDescent="0.25">
      <c r="A4742" s="611" t="str">
        <f>'A IV.A'!$A$134</f>
        <v>6.0</v>
      </c>
      <c r="B4742" s="612"/>
      <c r="C4742" s="607"/>
      <c r="D4742" s="607"/>
      <c r="E4742" s="607"/>
      <c r="F4742" s="607"/>
      <c r="G4742" s="607"/>
      <c r="H4742" s="607"/>
      <c r="I4742" s="607"/>
      <c r="J4742" s="608"/>
      <c r="K4742" s="132"/>
      <c r="L4742" s="133"/>
    </row>
    <row r="4743" spans="1:14" ht="13.5" thickBot="1" x14ac:dyDescent="0.25">
      <c r="A4743" s="169"/>
      <c r="B4743" s="169"/>
      <c r="C4743" s="613"/>
      <c r="D4743" s="613"/>
      <c r="E4743" s="613"/>
      <c r="F4743" s="613"/>
      <c r="G4743" s="613"/>
      <c r="H4743" s="613"/>
      <c r="I4743" s="613"/>
      <c r="J4743" s="169"/>
      <c r="K4743" s="132"/>
      <c r="L4743" s="133"/>
    </row>
    <row r="4744" spans="1:14" ht="13.5" thickBot="1" x14ac:dyDescent="0.25">
      <c r="A4744" s="632" t="s">
        <v>60</v>
      </c>
      <c r="B4744" s="633"/>
      <c r="C4744" s="656" t="s">
        <v>61</v>
      </c>
      <c r="D4744" s="656"/>
      <c r="E4744" s="656"/>
      <c r="F4744" s="656"/>
      <c r="G4744" s="656"/>
      <c r="H4744" s="656"/>
      <c r="I4744" s="656"/>
      <c r="J4744" s="260" t="s">
        <v>0</v>
      </c>
      <c r="K4744" s="132"/>
      <c r="L4744" s="133"/>
    </row>
    <row r="4745" spans="1:14" x14ac:dyDescent="0.2">
      <c r="A4745" s="136"/>
      <c r="B4745" s="137"/>
      <c r="C4745" s="619"/>
      <c r="D4745" s="620"/>
      <c r="E4745" s="621"/>
      <c r="F4745" s="621"/>
      <c r="G4745" s="621"/>
      <c r="H4745" s="621"/>
      <c r="I4745" s="622"/>
      <c r="J4745" s="138"/>
      <c r="K4745" s="132"/>
      <c r="L4745" s="133"/>
    </row>
    <row r="4746" spans="1:14" x14ac:dyDescent="0.2">
      <c r="A4746" s="623" t="str">
        <f>'A IV.A'!$A$150</f>
        <v>6.13</v>
      </c>
      <c r="B4746" s="624"/>
      <c r="C4746" s="626" t="str">
        <f>'A IV.A'!$B$150</f>
        <v>PINTURA DO LOGOTIPO “SEMAE“ NA FACE DO RESERVATÓRIO</v>
      </c>
      <c r="D4746" s="627"/>
      <c r="E4746" s="627"/>
      <c r="F4746" s="627"/>
      <c r="G4746" s="627"/>
      <c r="H4746" s="627"/>
      <c r="I4746" s="628"/>
      <c r="J4746" s="668" t="str">
        <f>'A IV.A'!$C$150</f>
        <v>UN</v>
      </c>
      <c r="K4746" s="630" t="str">
        <f>VLOOKUP(A4746,'A IV.A'!$A$14:$M$233,2,FALSE)</f>
        <v>PINTURA DO LOGOTIPO “SEMAE“ NA FACE DO RESERVATÓRIO</v>
      </c>
      <c r="L4746" s="631" t="str">
        <f>IF(C4746=K4746,"sim","nao")</f>
        <v>sim</v>
      </c>
      <c r="M4746" s="631" t="str">
        <f>VLOOKUP(A4746,'A IV.A'!$A$14:$M$233,3,FALSE)</f>
        <v>UN</v>
      </c>
      <c r="N4746" s="631" t="str">
        <f>IF(J4746=M4746,"sim","nao")</f>
        <v>sim</v>
      </c>
    </row>
    <row r="4747" spans="1:14" x14ac:dyDescent="0.2">
      <c r="A4747" s="625"/>
      <c r="B4747" s="624"/>
      <c r="C4747" s="626"/>
      <c r="D4747" s="627"/>
      <c r="E4747" s="627"/>
      <c r="F4747" s="627"/>
      <c r="G4747" s="627"/>
      <c r="H4747" s="627"/>
      <c r="I4747" s="628"/>
      <c r="J4747" s="629"/>
      <c r="K4747" s="630"/>
      <c r="L4747" s="631"/>
      <c r="M4747" s="631"/>
      <c r="N4747" s="631"/>
    </row>
    <row r="4748" spans="1:14" x14ac:dyDescent="0.2">
      <c r="A4748" s="139"/>
      <c r="B4748" s="140"/>
      <c r="C4748" s="141"/>
      <c r="D4748" s="142"/>
      <c r="E4748" s="142"/>
      <c r="F4748" s="142"/>
      <c r="G4748" s="142"/>
      <c r="H4748" s="142"/>
      <c r="I4748" s="143"/>
      <c r="J4748" s="144"/>
      <c r="K4748" s="132"/>
      <c r="L4748" s="133"/>
    </row>
    <row r="4749" spans="1:14" x14ac:dyDescent="0.2">
      <c r="A4749" s="623" t="str">
        <f>'A IV.A'!$A$151</f>
        <v>6.14</v>
      </c>
      <c r="B4749" s="624"/>
      <c r="C4749" s="626" t="str">
        <f>'A IV.A'!$B$151</f>
        <v>PINTURA DA LOGOMARCA DO MUNICÍPIO DE SÃO JOSÉ DO RIO PRETO E NOME DO SISTEMA</v>
      </c>
      <c r="D4749" s="627"/>
      <c r="E4749" s="627"/>
      <c r="F4749" s="627"/>
      <c r="G4749" s="627"/>
      <c r="H4749" s="627"/>
      <c r="I4749" s="628"/>
      <c r="J4749" s="668" t="str">
        <f>'A IV.A'!$C$151</f>
        <v>UN</v>
      </c>
      <c r="K4749" s="630" t="str">
        <f>VLOOKUP(A4749,'A IV.A'!$A$14:$M$233,2,FALSE)</f>
        <v>PINTURA DA LOGOMARCA DO MUNICÍPIO DE SÃO JOSÉ DO RIO PRETO E NOME DO SISTEMA</v>
      </c>
      <c r="L4749" s="631" t="str">
        <f>IF(C4749=K4749,"sim","nao")</f>
        <v>sim</v>
      </c>
      <c r="M4749" s="631" t="str">
        <f>VLOOKUP(A4749,'A IV.A'!$A$14:$M$233,3,FALSE)</f>
        <v>UN</v>
      </c>
      <c r="N4749" s="631" t="str">
        <f>IF(J4749=M4749,"sim","nao")</f>
        <v>sim</v>
      </c>
    </row>
    <row r="4750" spans="1:14" x14ac:dyDescent="0.2">
      <c r="A4750" s="625"/>
      <c r="B4750" s="624"/>
      <c r="C4750" s="626"/>
      <c r="D4750" s="627"/>
      <c r="E4750" s="627"/>
      <c r="F4750" s="627"/>
      <c r="G4750" s="627"/>
      <c r="H4750" s="627"/>
      <c r="I4750" s="628"/>
      <c r="J4750" s="629"/>
      <c r="K4750" s="630"/>
      <c r="L4750" s="631"/>
      <c r="M4750" s="631"/>
      <c r="N4750" s="631"/>
    </row>
    <row r="4751" spans="1:14" x14ac:dyDescent="0.2">
      <c r="A4751" s="145"/>
      <c r="B4751" s="146"/>
      <c r="C4751" s="147"/>
      <c r="D4751" s="147"/>
      <c r="E4751" s="147"/>
      <c r="F4751" s="147"/>
      <c r="G4751" s="147"/>
      <c r="H4751" s="147"/>
      <c r="I4751" s="147"/>
      <c r="J4751" s="148"/>
      <c r="K4751" s="132"/>
      <c r="L4751" s="133"/>
    </row>
    <row r="4752" spans="1:14" x14ac:dyDescent="0.2">
      <c r="A4752" s="199"/>
      <c r="B4752" s="188"/>
      <c r="C4752" s="189"/>
      <c r="D4752" s="165"/>
      <c r="E4752" s="165"/>
      <c r="F4752" s="165"/>
      <c r="G4752" s="165"/>
      <c r="H4752" s="165"/>
      <c r="I4752" s="190"/>
      <c r="J4752" s="191"/>
      <c r="K4752" s="192"/>
      <c r="L4752" s="55"/>
      <c r="M4752" s="55"/>
      <c r="N4752" s="55"/>
    </row>
    <row r="4753" spans="1:14" x14ac:dyDescent="0.2">
      <c r="A4753" s="158"/>
      <c r="B4753" s="188"/>
      <c r="C4753" s="189"/>
      <c r="D4753" s="165"/>
      <c r="E4753" s="165"/>
      <c r="F4753" s="165"/>
      <c r="G4753" s="165"/>
      <c r="H4753" s="165"/>
      <c r="I4753" s="190"/>
      <c r="J4753" s="191"/>
      <c r="K4753" s="192"/>
      <c r="L4753" s="55"/>
      <c r="M4753" s="55"/>
      <c r="N4753" s="55"/>
    </row>
    <row r="4754" spans="1:14" x14ac:dyDescent="0.2">
      <c r="A4754" s="145"/>
      <c r="B4754" s="146"/>
      <c r="C4754" s="147"/>
      <c r="D4754" s="147"/>
      <c r="E4754" s="147"/>
      <c r="F4754" s="147"/>
      <c r="G4754" s="147"/>
      <c r="H4754" s="147"/>
      <c r="I4754" s="147"/>
      <c r="J4754" s="148"/>
      <c r="K4754" s="132"/>
      <c r="L4754" s="133"/>
    </row>
    <row r="4755" spans="1:14" x14ac:dyDescent="0.2">
      <c r="A4755" s="199"/>
      <c r="B4755" s="188"/>
      <c r="C4755" s="189"/>
      <c r="D4755" s="165"/>
      <c r="E4755" s="165"/>
      <c r="F4755" s="165"/>
      <c r="G4755" s="165"/>
      <c r="H4755" s="165"/>
      <c r="I4755" s="190"/>
      <c r="J4755" s="191"/>
      <c r="K4755" s="192"/>
      <c r="L4755" s="55"/>
      <c r="M4755" s="55"/>
      <c r="N4755" s="55"/>
    </row>
    <row r="4756" spans="1:14" x14ac:dyDescent="0.2">
      <c r="A4756" s="158"/>
      <c r="B4756" s="188"/>
      <c r="C4756" s="189"/>
      <c r="D4756" s="165"/>
      <c r="E4756" s="165"/>
      <c r="F4756" s="165"/>
      <c r="G4756" s="165"/>
      <c r="H4756" s="165"/>
      <c r="I4756" s="190"/>
      <c r="J4756" s="191"/>
      <c r="K4756" s="192"/>
      <c r="L4756" s="55"/>
      <c r="M4756" s="55"/>
      <c r="N4756" s="55"/>
    </row>
    <row r="4757" spans="1:14" x14ac:dyDescent="0.2">
      <c r="A4757" s="145"/>
      <c r="B4757" s="146"/>
      <c r="C4757" s="147"/>
      <c r="D4757" s="147"/>
      <c r="E4757" s="147"/>
      <c r="F4757" s="147"/>
      <c r="G4757" s="147"/>
      <c r="H4757" s="147"/>
      <c r="I4757" s="147"/>
      <c r="J4757" s="148"/>
      <c r="K4757" s="132"/>
      <c r="L4757" s="133"/>
    </row>
    <row r="4758" spans="1:14" x14ac:dyDescent="0.2">
      <c r="A4758" s="199"/>
      <c r="B4758" s="188"/>
      <c r="C4758" s="189"/>
      <c r="D4758" s="165"/>
      <c r="E4758" s="165"/>
      <c r="F4758" s="165"/>
      <c r="G4758" s="165"/>
      <c r="H4758" s="165"/>
      <c r="I4758" s="190"/>
      <c r="J4758" s="191"/>
      <c r="K4758" s="192"/>
      <c r="L4758" s="55"/>
      <c r="M4758" s="55"/>
      <c r="N4758" s="55"/>
    </row>
    <row r="4759" spans="1:14" x14ac:dyDescent="0.2">
      <c r="A4759" s="158"/>
      <c r="B4759" s="188"/>
      <c r="C4759" s="189"/>
      <c r="D4759" s="165"/>
      <c r="E4759" s="165"/>
      <c r="F4759" s="165"/>
      <c r="G4759" s="165"/>
      <c r="H4759" s="165"/>
      <c r="I4759" s="190"/>
      <c r="J4759" s="191"/>
      <c r="K4759" s="192"/>
      <c r="L4759" s="55"/>
      <c r="M4759" s="55"/>
      <c r="N4759" s="55"/>
    </row>
    <row r="4760" spans="1:14" x14ac:dyDescent="0.2">
      <c r="A4760" s="145"/>
      <c r="B4760" s="146"/>
      <c r="C4760" s="147"/>
      <c r="D4760" s="147"/>
      <c r="E4760" s="147"/>
      <c r="F4760" s="147"/>
      <c r="G4760" s="147"/>
      <c r="H4760" s="147"/>
      <c r="I4760" s="147"/>
      <c r="J4760" s="148"/>
      <c r="K4760" s="132"/>
      <c r="L4760" s="133"/>
    </row>
    <row r="4761" spans="1:14" x14ac:dyDescent="0.2">
      <c r="A4761" s="199"/>
      <c r="B4761" s="188"/>
      <c r="C4761" s="189"/>
      <c r="D4761" s="165"/>
      <c r="E4761" s="165"/>
      <c r="F4761" s="165"/>
      <c r="G4761" s="165"/>
      <c r="H4761" s="165"/>
      <c r="I4761" s="190"/>
      <c r="J4761" s="191"/>
      <c r="K4761" s="192"/>
      <c r="L4761" s="55"/>
      <c r="M4761" s="55"/>
      <c r="N4761" s="55"/>
    </row>
    <row r="4762" spans="1:14" x14ac:dyDescent="0.2">
      <c r="A4762" s="145"/>
      <c r="B4762" s="146"/>
      <c r="C4762" s="147"/>
      <c r="D4762" s="147"/>
      <c r="E4762" s="147"/>
      <c r="F4762" s="147"/>
      <c r="G4762" s="147"/>
      <c r="H4762" s="147"/>
      <c r="I4762" s="147"/>
      <c r="J4762" s="148"/>
      <c r="K4762" s="132"/>
      <c r="L4762" s="133"/>
    </row>
    <row r="4763" spans="1:14" x14ac:dyDescent="0.2">
      <c r="A4763" s="199"/>
      <c r="B4763" s="188"/>
      <c r="C4763" s="189"/>
      <c r="D4763" s="165"/>
      <c r="E4763" s="165"/>
      <c r="F4763" s="165"/>
      <c r="G4763" s="165"/>
      <c r="H4763" s="165"/>
      <c r="I4763" s="190"/>
      <c r="J4763" s="191"/>
      <c r="K4763" s="192"/>
      <c r="L4763" s="55"/>
      <c r="M4763" s="55"/>
      <c r="N4763" s="55"/>
    </row>
    <row r="4764" spans="1:14" x14ac:dyDescent="0.2">
      <c r="A4764" s="158"/>
      <c r="B4764" s="188"/>
      <c r="C4764" s="189"/>
      <c r="D4764" s="165"/>
      <c r="E4764" s="165"/>
      <c r="F4764" s="165"/>
      <c r="G4764" s="165"/>
      <c r="H4764" s="165"/>
      <c r="I4764" s="190"/>
      <c r="J4764" s="191"/>
      <c r="K4764" s="192"/>
      <c r="L4764" s="55"/>
      <c r="M4764" s="55"/>
      <c r="N4764" s="55"/>
    </row>
    <row r="4765" spans="1:14" x14ac:dyDescent="0.2">
      <c r="A4765" s="145"/>
      <c r="B4765" s="146"/>
      <c r="C4765" s="147"/>
      <c r="D4765" s="147"/>
      <c r="E4765" s="147"/>
      <c r="F4765" s="147"/>
      <c r="G4765" s="147"/>
      <c r="H4765" s="147"/>
      <c r="I4765" s="147"/>
      <c r="J4765" s="148"/>
      <c r="K4765" s="132"/>
      <c r="L4765" s="133"/>
    </row>
    <row r="4766" spans="1:14" ht="13.5" thickBot="1" x14ac:dyDescent="0.25">
      <c r="A4766" s="149"/>
      <c r="B4766" s="150"/>
      <c r="C4766" s="151"/>
      <c r="D4766" s="151"/>
      <c r="E4766" s="151"/>
      <c r="F4766" s="151"/>
      <c r="G4766" s="151"/>
      <c r="H4766" s="151"/>
      <c r="I4766" s="151"/>
      <c r="J4766" s="152"/>
      <c r="K4766" s="132"/>
      <c r="L4766" s="133"/>
    </row>
    <row r="4767" spans="1:14" ht="13.5" thickBot="1" x14ac:dyDescent="0.25">
      <c r="A4767" s="153"/>
      <c r="B4767" s="153"/>
      <c r="C4767" s="154"/>
      <c r="D4767" s="154"/>
      <c r="E4767" s="154"/>
      <c r="F4767" s="154"/>
      <c r="G4767" s="154"/>
      <c r="H4767" s="154"/>
      <c r="I4767" s="154"/>
      <c r="J4767" s="153"/>
      <c r="K4767" s="132"/>
      <c r="L4767" s="133"/>
    </row>
    <row r="4768" spans="1:14" ht="13.5" thickBot="1" x14ac:dyDescent="0.25">
      <c r="A4768" s="614" t="s">
        <v>62</v>
      </c>
      <c r="B4768" s="648"/>
      <c r="C4768" s="648"/>
      <c r="D4768" s="648"/>
      <c r="E4768" s="648"/>
      <c r="F4768" s="648"/>
      <c r="G4768" s="648"/>
      <c r="H4768" s="648"/>
      <c r="I4768" s="648"/>
      <c r="J4768" s="649"/>
      <c r="K4768" s="132"/>
      <c r="L4768" s="133"/>
    </row>
    <row r="4769" spans="1:12" x14ac:dyDescent="0.2">
      <c r="A4769" s="136"/>
      <c r="B4769" s="155"/>
      <c r="C4769" s="156"/>
      <c r="D4769" s="156"/>
      <c r="E4769" s="156"/>
      <c r="F4769" s="156"/>
      <c r="G4769" s="156"/>
      <c r="H4769" s="156"/>
      <c r="I4769" s="156"/>
      <c r="J4769" s="157"/>
      <c r="K4769" s="132"/>
      <c r="L4769" s="133"/>
    </row>
    <row r="4770" spans="1:12" ht="12.75" customHeight="1" x14ac:dyDescent="0.2">
      <c r="A4770" s="158" t="s">
        <v>63</v>
      </c>
      <c r="B4770" s="55"/>
      <c r="C4770" s="596" t="s">
        <v>419</v>
      </c>
      <c r="D4770" s="596"/>
      <c r="E4770" s="596"/>
      <c r="F4770" s="596"/>
      <c r="G4770" s="596"/>
      <c r="H4770" s="596"/>
      <c r="I4770" s="596"/>
      <c r="J4770" s="597"/>
      <c r="K4770" s="132"/>
      <c r="L4770" s="133"/>
    </row>
    <row r="4771" spans="1:12" x14ac:dyDescent="0.2">
      <c r="A4771" s="158"/>
      <c r="B4771" s="55"/>
      <c r="C4771" s="596"/>
      <c r="D4771" s="596"/>
      <c r="E4771" s="596"/>
      <c r="F4771" s="596"/>
      <c r="G4771" s="596"/>
      <c r="H4771" s="596"/>
      <c r="I4771" s="596"/>
      <c r="J4771" s="597"/>
      <c r="K4771" s="132"/>
      <c r="L4771" s="133"/>
    </row>
    <row r="4772" spans="1:12" x14ac:dyDescent="0.2">
      <c r="A4772" s="158"/>
      <c r="B4772" s="55"/>
      <c r="C4772" s="596"/>
      <c r="D4772" s="596"/>
      <c r="E4772" s="596"/>
      <c r="F4772" s="596"/>
      <c r="G4772" s="596"/>
      <c r="H4772" s="596"/>
      <c r="I4772" s="596"/>
      <c r="J4772" s="597"/>
      <c r="K4772" s="132"/>
      <c r="L4772" s="133"/>
    </row>
    <row r="4773" spans="1:12" x14ac:dyDescent="0.2">
      <c r="A4773" s="158"/>
      <c r="B4773" s="55"/>
      <c r="C4773" s="175"/>
      <c r="D4773" s="175"/>
      <c r="E4773" s="175"/>
      <c r="F4773" s="175"/>
      <c r="G4773" s="175"/>
      <c r="H4773" s="175"/>
      <c r="I4773" s="175"/>
      <c r="J4773" s="176"/>
      <c r="K4773" s="132"/>
      <c r="L4773" s="133"/>
    </row>
    <row r="4774" spans="1:12" x14ac:dyDescent="0.2">
      <c r="A4774" s="598" t="s">
        <v>64</v>
      </c>
      <c r="B4774" s="638"/>
      <c r="C4774" s="596" t="s">
        <v>657</v>
      </c>
      <c r="D4774" s="596"/>
      <c r="E4774" s="596"/>
      <c r="F4774" s="596"/>
      <c r="G4774" s="596"/>
      <c r="H4774" s="596"/>
      <c r="I4774" s="596"/>
      <c r="J4774" s="597"/>
      <c r="K4774" s="132"/>
      <c r="L4774" s="133"/>
    </row>
    <row r="4775" spans="1:12" x14ac:dyDescent="0.2">
      <c r="A4775" s="158"/>
      <c r="B4775" s="55"/>
      <c r="C4775" s="175"/>
      <c r="D4775" s="175"/>
      <c r="E4775" s="175"/>
      <c r="F4775" s="175"/>
      <c r="G4775" s="175"/>
      <c r="H4775" s="175"/>
      <c r="I4775" s="175"/>
      <c r="J4775" s="176"/>
      <c r="K4775" s="132"/>
      <c r="L4775" s="133"/>
    </row>
    <row r="4776" spans="1:12" x14ac:dyDescent="0.2">
      <c r="A4776" s="158" t="s">
        <v>65</v>
      </c>
      <c r="B4776" s="55"/>
      <c r="C4776" s="662" t="s">
        <v>1039</v>
      </c>
      <c r="D4776" s="662"/>
      <c r="E4776" s="662"/>
      <c r="F4776" s="662"/>
      <c r="G4776" s="662"/>
      <c r="H4776" s="662"/>
      <c r="I4776" s="662"/>
      <c r="J4776" s="663"/>
      <c r="K4776" s="132"/>
      <c r="L4776" s="133"/>
    </row>
    <row r="4777" spans="1:12" x14ac:dyDescent="0.2">
      <c r="A4777" s="158"/>
      <c r="B4777" s="55"/>
      <c r="C4777" s="662"/>
      <c r="D4777" s="662"/>
      <c r="E4777" s="662"/>
      <c r="F4777" s="662"/>
      <c r="G4777" s="662"/>
      <c r="H4777" s="662"/>
      <c r="I4777" s="662"/>
      <c r="J4777" s="663"/>
      <c r="K4777" s="132"/>
      <c r="L4777" s="133"/>
    </row>
    <row r="4778" spans="1:12" x14ac:dyDescent="0.2">
      <c r="A4778" s="158"/>
      <c r="B4778" s="55"/>
      <c r="C4778" s="175"/>
      <c r="D4778" s="175"/>
      <c r="E4778" s="175"/>
      <c r="F4778" s="175"/>
      <c r="G4778" s="175"/>
      <c r="H4778" s="175"/>
      <c r="I4778" s="175"/>
      <c r="J4778" s="176"/>
      <c r="K4778" s="132"/>
      <c r="L4778" s="133"/>
    </row>
    <row r="4779" spans="1:12" x14ac:dyDescent="0.2">
      <c r="A4779" s="158"/>
      <c r="B4779" s="55"/>
      <c r="C4779" s="71"/>
      <c r="D4779" s="71"/>
      <c r="E4779" s="71"/>
      <c r="F4779" s="71"/>
      <c r="G4779" s="71"/>
      <c r="H4779" s="71"/>
      <c r="I4779" s="71"/>
      <c r="J4779" s="174"/>
      <c r="K4779" s="132"/>
      <c r="L4779" s="133"/>
    </row>
    <row r="4780" spans="1:12" x14ac:dyDescent="0.2">
      <c r="A4780" s="158"/>
      <c r="B4780" s="55"/>
      <c r="C4780" s="71"/>
      <c r="D4780" s="71"/>
      <c r="E4780" s="71"/>
      <c r="F4780" s="71"/>
      <c r="G4780" s="71"/>
      <c r="H4780" s="71"/>
      <c r="I4780" s="71"/>
      <c r="J4780" s="174"/>
      <c r="K4780" s="132"/>
      <c r="L4780" s="133"/>
    </row>
    <row r="4781" spans="1:12" x14ac:dyDescent="0.2">
      <c r="A4781" s="158"/>
      <c r="B4781" s="55"/>
      <c r="C4781" s="71"/>
      <c r="D4781" s="71"/>
      <c r="E4781" s="71"/>
      <c r="F4781" s="71"/>
      <c r="G4781" s="71"/>
      <c r="H4781" s="71"/>
      <c r="I4781" s="71"/>
      <c r="J4781" s="174"/>
      <c r="K4781" s="132"/>
      <c r="L4781" s="133"/>
    </row>
    <row r="4782" spans="1:12" x14ac:dyDescent="0.2">
      <c r="A4782" s="158"/>
      <c r="B4782" s="55"/>
      <c r="C4782" s="71"/>
      <c r="D4782" s="71"/>
      <c r="E4782" s="71"/>
      <c r="F4782" s="71"/>
      <c r="G4782" s="71"/>
      <c r="H4782" s="71"/>
      <c r="I4782" s="71"/>
      <c r="J4782" s="174"/>
      <c r="K4782" s="132"/>
      <c r="L4782" s="133"/>
    </row>
    <row r="4783" spans="1:12" x14ac:dyDescent="0.2">
      <c r="A4783" s="158"/>
      <c r="B4783" s="55"/>
      <c r="C4783" s="175"/>
      <c r="D4783" s="175"/>
      <c r="E4783" s="175"/>
      <c r="F4783" s="175"/>
      <c r="G4783" s="175"/>
      <c r="H4783" s="175"/>
      <c r="I4783" s="175"/>
      <c r="J4783" s="176"/>
      <c r="K4783" s="132"/>
      <c r="L4783" s="133"/>
    </row>
    <row r="4784" spans="1:12" x14ac:dyDescent="0.2">
      <c r="A4784" s="158"/>
      <c r="B4784" s="55"/>
      <c r="C4784" s="71"/>
      <c r="D4784" s="71"/>
      <c r="E4784" s="71"/>
      <c r="F4784" s="71"/>
      <c r="G4784" s="71"/>
      <c r="H4784" s="71"/>
      <c r="I4784" s="71"/>
      <c r="J4784" s="174"/>
      <c r="K4784" s="132"/>
      <c r="L4784" s="133"/>
    </row>
    <row r="4785" spans="1:14" x14ac:dyDescent="0.2">
      <c r="A4785" s="158"/>
      <c r="B4785" s="55"/>
      <c r="C4785" s="71"/>
      <c r="D4785" s="71"/>
      <c r="E4785" s="71"/>
      <c r="F4785" s="71"/>
      <c r="G4785" s="71"/>
      <c r="H4785" s="71"/>
      <c r="I4785" s="71"/>
      <c r="J4785" s="174"/>
      <c r="K4785" s="132"/>
      <c r="L4785" s="133"/>
    </row>
    <row r="4786" spans="1:14" x14ac:dyDescent="0.2">
      <c r="A4786" s="158"/>
      <c r="B4786" s="55"/>
      <c r="C4786" s="71"/>
      <c r="D4786" s="71"/>
      <c r="E4786" s="71"/>
      <c r="F4786" s="71"/>
      <c r="G4786" s="71"/>
      <c r="H4786" s="71"/>
      <c r="I4786" s="71"/>
      <c r="J4786" s="174"/>
      <c r="K4786" s="132"/>
      <c r="L4786" s="133"/>
    </row>
    <row r="4787" spans="1:14" x14ac:dyDescent="0.2">
      <c r="A4787" s="158"/>
      <c r="B4787" s="55"/>
      <c r="C4787" s="71"/>
      <c r="D4787" s="71"/>
      <c r="E4787" s="71"/>
      <c r="F4787" s="71"/>
      <c r="G4787" s="71"/>
      <c r="H4787" s="71"/>
      <c r="I4787" s="71"/>
      <c r="J4787" s="174"/>
      <c r="K4787" s="132"/>
      <c r="L4787" s="133"/>
    </row>
    <row r="4788" spans="1:14" x14ac:dyDescent="0.2">
      <c r="A4788" s="158"/>
      <c r="B4788" s="55"/>
      <c r="C4788" s="175"/>
      <c r="D4788" s="175"/>
      <c r="E4788" s="172"/>
      <c r="F4788" s="172"/>
      <c r="G4788" s="172"/>
      <c r="H4788" s="172"/>
      <c r="I4788" s="172"/>
      <c r="J4788" s="173"/>
      <c r="K4788" s="132"/>
      <c r="L4788" s="133"/>
    </row>
    <row r="4789" spans="1:14" x14ac:dyDescent="0.2">
      <c r="A4789" s="158"/>
      <c r="B4789" s="55"/>
      <c r="C4789" s="175"/>
      <c r="D4789" s="175"/>
      <c r="E4789" s="172"/>
      <c r="F4789" s="172"/>
      <c r="G4789" s="172"/>
      <c r="H4789" s="172"/>
      <c r="I4789" s="172"/>
      <c r="J4789" s="173"/>
      <c r="K4789" s="132"/>
      <c r="L4789" s="133"/>
    </row>
    <row r="4790" spans="1:14" x14ac:dyDescent="0.2">
      <c r="A4790" s="158"/>
      <c r="B4790" s="55"/>
      <c r="C4790" s="175"/>
      <c r="D4790" s="175"/>
      <c r="E4790" s="172"/>
      <c r="F4790" s="172"/>
      <c r="G4790" s="172"/>
      <c r="H4790" s="172"/>
      <c r="I4790" s="172"/>
      <c r="J4790" s="173"/>
      <c r="K4790" s="132"/>
      <c r="L4790" s="133"/>
    </row>
    <row r="4791" spans="1:14" x14ac:dyDescent="0.2">
      <c r="A4791" s="158"/>
      <c r="B4791" s="55"/>
      <c r="C4791" s="175"/>
      <c r="D4791" s="175"/>
      <c r="E4791" s="175"/>
      <c r="F4791" s="175"/>
      <c r="G4791" s="175"/>
      <c r="H4791" s="175"/>
      <c r="I4791" s="175"/>
      <c r="J4791" s="176"/>
      <c r="K4791" s="132"/>
      <c r="L4791" s="133"/>
    </row>
    <row r="4792" spans="1:14" x14ac:dyDescent="0.2">
      <c r="A4792" s="158"/>
      <c r="B4792" s="55"/>
      <c r="C4792" s="175"/>
      <c r="D4792" s="175"/>
      <c r="E4792" s="175"/>
      <c r="F4792" s="175"/>
      <c r="G4792" s="175"/>
      <c r="H4792" s="175"/>
      <c r="I4792" s="175"/>
      <c r="J4792" s="176"/>
      <c r="K4792" s="132"/>
      <c r="L4792" s="133"/>
    </row>
    <row r="4793" spans="1:14" ht="13.5" thickBot="1" x14ac:dyDescent="0.25">
      <c r="A4793" s="149"/>
      <c r="B4793" s="167"/>
      <c r="C4793" s="151"/>
      <c r="D4793" s="151"/>
      <c r="E4793" s="151"/>
      <c r="F4793" s="151"/>
      <c r="G4793" s="151"/>
      <c r="H4793" s="151"/>
      <c r="I4793" s="151"/>
      <c r="J4793" s="168"/>
      <c r="K4793" s="132"/>
      <c r="L4793" s="133"/>
    </row>
    <row r="4794" spans="1:14" ht="15.75" x14ac:dyDescent="0.2">
      <c r="A4794" s="602" t="s">
        <v>4</v>
      </c>
      <c r="B4794" s="603"/>
      <c r="C4794" s="603" t="str">
        <f>'A IV.A'!$B$134</f>
        <v>PINTURAS - ITEM 11.0 DO TERMO DE REFERÊNCIA</v>
      </c>
      <c r="D4794" s="603"/>
      <c r="E4794" s="603"/>
      <c r="F4794" s="603"/>
      <c r="G4794" s="603"/>
      <c r="H4794" s="603"/>
      <c r="I4794" s="603"/>
      <c r="J4794" s="604"/>
      <c r="K4794" s="132"/>
      <c r="L4794" s="133"/>
    </row>
    <row r="4795" spans="1:14" x14ac:dyDescent="0.2">
      <c r="A4795" s="609" t="str">
        <f>'A IV.A'!$A$134</f>
        <v>6.0</v>
      </c>
      <c r="B4795" s="610"/>
      <c r="C4795" s="605"/>
      <c r="D4795" s="605"/>
      <c r="E4795" s="605"/>
      <c r="F4795" s="605"/>
      <c r="G4795" s="605"/>
      <c r="H4795" s="605"/>
      <c r="I4795" s="605"/>
      <c r="J4795" s="606"/>
      <c r="K4795" s="132"/>
      <c r="L4795" s="133"/>
    </row>
    <row r="4796" spans="1:14" ht="13.5" thickBot="1" x14ac:dyDescent="0.25">
      <c r="A4796" s="611" t="str">
        <f>'A IV.A'!$A$134</f>
        <v>6.0</v>
      </c>
      <c r="B4796" s="612"/>
      <c r="C4796" s="607"/>
      <c r="D4796" s="607"/>
      <c r="E4796" s="607"/>
      <c r="F4796" s="607"/>
      <c r="G4796" s="607"/>
      <c r="H4796" s="607"/>
      <c r="I4796" s="607"/>
      <c r="J4796" s="608"/>
      <c r="K4796" s="132"/>
      <c r="L4796" s="133"/>
    </row>
    <row r="4797" spans="1:14" ht="13.5" thickBot="1" x14ac:dyDescent="0.25">
      <c r="A4797" s="169"/>
      <c r="B4797" s="169"/>
      <c r="C4797" s="613"/>
      <c r="D4797" s="613"/>
      <c r="E4797" s="613"/>
      <c r="F4797" s="613"/>
      <c r="G4797" s="613"/>
      <c r="H4797" s="613"/>
      <c r="I4797" s="613"/>
      <c r="J4797" s="169"/>
      <c r="K4797" s="132"/>
      <c r="L4797" s="133"/>
    </row>
    <row r="4798" spans="1:14" ht="13.5" thickBot="1" x14ac:dyDescent="0.25">
      <c r="A4798" s="632" t="s">
        <v>60</v>
      </c>
      <c r="B4798" s="633"/>
      <c r="C4798" s="656" t="s">
        <v>61</v>
      </c>
      <c r="D4798" s="656"/>
      <c r="E4798" s="656"/>
      <c r="F4798" s="656"/>
      <c r="G4798" s="656"/>
      <c r="H4798" s="656"/>
      <c r="I4798" s="656"/>
      <c r="J4798" s="260" t="s">
        <v>0</v>
      </c>
      <c r="K4798" s="132"/>
      <c r="L4798" s="133"/>
    </row>
    <row r="4799" spans="1:14" x14ac:dyDescent="0.2">
      <c r="A4799" s="136"/>
      <c r="B4799" s="137"/>
      <c r="C4799" s="619"/>
      <c r="D4799" s="620"/>
      <c r="E4799" s="621"/>
      <c r="F4799" s="621"/>
      <c r="G4799" s="621"/>
      <c r="H4799" s="621"/>
      <c r="I4799" s="622"/>
      <c r="J4799" s="138"/>
      <c r="K4799" s="132"/>
      <c r="L4799" s="133"/>
    </row>
    <row r="4800" spans="1:14" x14ac:dyDescent="0.2">
      <c r="A4800" s="623" t="str">
        <f>'A IV.A'!$A$152</f>
        <v>6.15</v>
      </c>
      <c r="B4800" s="624"/>
      <c r="C4800" s="626" t="str">
        <f>'A IV.A'!$B$152</f>
        <v>PINTURA DE PISO NA COR GRAFITE, DUAS DEMÃOS</v>
      </c>
      <c r="D4800" s="627"/>
      <c r="E4800" s="627"/>
      <c r="F4800" s="627"/>
      <c r="G4800" s="627"/>
      <c r="H4800" s="627"/>
      <c r="I4800" s="628"/>
      <c r="J4800" s="629" t="str">
        <f>'A IV.A'!$C$152</f>
        <v>M2</v>
      </c>
      <c r="K4800" s="630" t="str">
        <f>VLOOKUP(A4800,'A IV.A'!$A$14:$M$233,2,FALSE)</f>
        <v>PINTURA DE PISO NA COR GRAFITE, DUAS DEMÃOS</v>
      </c>
      <c r="L4800" s="631" t="str">
        <f>IF(C4800=K4800,"sim","nao")</f>
        <v>sim</v>
      </c>
      <c r="M4800" s="631" t="str">
        <f>VLOOKUP(A4800,'A IV.A'!$A$14:$M$233,3,FALSE)</f>
        <v>M2</v>
      </c>
      <c r="N4800" s="631" t="str">
        <f>IF(J4800=M4800,"sim","nao")</f>
        <v>sim</v>
      </c>
    </row>
    <row r="4801" spans="1:14" x14ac:dyDescent="0.2">
      <c r="A4801" s="625"/>
      <c r="B4801" s="624"/>
      <c r="C4801" s="626"/>
      <c r="D4801" s="627"/>
      <c r="E4801" s="627"/>
      <c r="F4801" s="627"/>
      <c r="G4801" s="627"/>
      <c r="H4801" s="627"/>
      <c r="I4801" s="628"/>
      <c r="J4801" s="629"/>
      <c r="K4801" s="630"/>
      <c r="L4801" s="631"/>
      <c r="M4801" s="631"/>
      <c r="N4801" s="631"/>
    </row>
    <row r="4802" spans="1:14" x14ac:dyDescent="0.2">
      <c r="A4802" s="139"/>
      <c r="B4802" s="140"/>
      <c r="C4802" s="141"/>
      <c r="D4802" s="142"/>
      <c r="E4802" s="142"/>
      <c r="F4802" s="142"/>
      <c r="G4802" s="142"/>
      <c r="H4802" s="142"/>
      <c r="I4802" s="143"/>
      <c r="J4802" s="144"/>
      <c r="K4802" s="132"/>
      <c r="L4802" s="133"/>
    </row>
    <row r="4803" spans="1:14" x14ac:dyDescent="0.2">
      <c r="A4803" s="199"/>
      <c r="B4803" s="188"/>
      <c r="C4803" s="189"/>
      <c r="D4803" s="165"/>
      <c r="E4803" s="165"/>
      <c r="F4803" s="165"/>
      <c r="G4803" s="165"/>
      <c r="H4803" s="165"/>
      <c r="I4803" s="190"/>
      <c r="J4803" s="191"/>
      <c r="K4803" s="192"/>
      <c r="L4803" s="55"/>
      <c r="M4803" s="55"/>
      <c r="N4803" s="55"/>
    </row>
    <row r="4804" spans="1:14" x14ac:dyDescent="0.2">
      <c r="A4804" s="158"/>
      <c r="B4804" s="188"/>
      <c r="C4804" s="189"/>
      <c r="D4804" s="165"/>
      <c r="E4804" s="165"/>
      <c r="F4804" s="165"/>
      <c r="G4804" s="165"/>
      <c r="H4804" s="165"/>
      <c r="I4804" s="190"/>
      <c r="J4804" s="191"/>
      <c r="K4804" s="192"/>
      <c r="L4804" s="55"/>
      <c r="M4804" s="55"/>
      <c r="N4804" s="55"/>
    </row>
    <row r="4805" spans="1:14" x14ac:dyDescent="0.2">
      <c r="A4805" s="145"/>
      <c r="B4805" s="146"/>
      <c r="C4805" s="147"/>
      <c r="D4805" s="147"/>
      <c r="E4805" s="147"/>
      <c r="F4805" s="147"/>
      <c r="G4805" s="147"/>
      <c r="H4805" s="147"/>
      <c r="I4805" s="147"/>
      <c r="J4805" s="148"/>
      <c r="K4805" s="132"/>
      <c r="L4805" s="133"/>
    </row>
    <row r="4806" spans="1:14" x14ac:dyDescent="0.2">
      <c r="A4806" s="199"/>
      <c r="B4806" s="188"/>
      <c r="C4806" s="189"/>
      <c r="D4806" s="165"/>
      <c r="E4806" s="165"/>
      <c r="F4806" s="165"/>
      <c r="G4806" s="165"/>
      <c r="H4806" s="165"/>
      <c r="I4806" s="190"/>
      <c r="J4806" s="191"/>
      <c r="K4806" s="192"/>
      <c r="L4806" s="55"/>
      <c r="M4806" s="55"/>
      <c r="N4806" s="55"/>
    </row>
    <row r="4807" spans="1:14" x14ac:dyDescent="0.2">
      <c r="A4807" s="158"/>
      <c r="B4807" s="188"/>
      <c r="C4807" s="189"/>
      <c r="D4807" s="165"/>
      <c r="E4807" s="165"/>
      <c r="F4807" s="165"/>
      <c r="G4807" s="165"/>
      <c r="H4807" s="165"/>
      <c r="I4807" s="190"/>
      <c r="J4807" s="191"/>
      <c r="K4807" s="192"/>
      <c r="L4807" s="55"/>
      <c r="M4807" s="55"/>
      <c r="N4807" s="55"/>
    </row>
    <row r="4808" spans="1:14" x14ac:dyDescent="0.2">
      <c r="A4808" s="145"/>
      <c r="B4808" s="146"/>
      <c r="C4808" s="147"/>
      <c r="D4808" s="147"/>
      <c r="E4808" s="147"/>
      <c r="F4808" s="147"/>
      <c r="G4808" s="147"/>
      <c r="H4808" s="147"/>
      <c r="I4808" s="147"/>
      <c r="J4808" s="148"/>
      <c r="K4808" s="132"/>
      <c r="L4808" s="133"/>
    </row>
    <row r="4809" spans="1:14" x14ac:dyDescent="0.2">
      <c r="A4809" s="199"/>
      <c r="B4809" s="188"/>
      <c r="C4809" s="189"/>
      <c r="D4809" s="165"/>
      <c r="E4809" s="165"/>
      <c r="F4809" s="165"/>
      <c r="G4809" s="165"/>
      <c r="H4809" s="165"/>
      <c r="I4809" s="190"/>
      <c r="J4809" s="191"/>
      <c r="K4809" s="192"/>
      <c r="L4809" s="55"/>
      <c r="M4809" s="55"/>
      <c r="N4809" s="55"/>
    </row>
    <row r="4810" spans="1:14" x14ac:dyDescent="0.2">
      <c r="A4810" s="158"/>
      <c r="B4810" s="188"/>
      <c r="C4810" s="189"/>
      <c r="D4810" s="165"/>
      <c r="E4810" s="165"/>
      <c r="F4810" s="165"/>
      <c r="G4810" s="165"/>
      <c r="H4810" s="165"/>
      <c r="I4810" s="190"/>
      <c r="J4810" s="191"/>
      <c r="K4810" s="192"/>
      <c r="L4810" s="55"/>
      <c r="M4810" s="55"/>
      <c r="N4810" s="55"/>
    </row>
    <row r="4811" spans="1:14" x14ac:dyDescent="0.2">
      <c r="A4811" s="145"/>
      <c r="B4811" s="146"/>
      <c r="C4811" s="147"/>
      <c r="D4811" s="147"/>
      <c r="E4811" s="147"/>
      <c r="F4811" s="147"/>
      <c r="G4811" s="147"/>
      <c r="H4811" s="147"/>
      <c r="I4811" s="147"/>
      <c r="J4811" s="148"/>
      <c r="K4811" s="132"/>
      <c r="L4811" s="133"/>
    </row>
    <row r="4812" spans="1:14" x14ac:dyDescent="0.2">
      <c r="A4812" s="199"/>
      <c r="B4812" s="188"/>
      <c r="C4812" s="189"/>
      <c r="D4812" s="165"/>
      <c r="E4812" s="165"/>
      <c r="F4812" s="165"/>
      <c r="G4812" s="165"/>
      <c r="H4812" s="165"/>
      <c r="I4812" s="190"/>
      <c r="J4812" s="191"/>
      <c r="K4812" s="192"/>
      <c r="L4812" s="55"/>
      <c r="M4812" s="55"/>
      <c r="N4812" s="55"/>
    </row>
    <row r="4813" spans="1:14" x14ac:dyDescent="0.2">
      <c r="A4813" s="158"/>
      <c r="B4813" s="188"/>
      <c r="C4813" s="189"/>
      <c r="D4813" s="165"/>
      <c r="E4813" s="165"/>
      <c r="F4813" s="165"/>
      <c r="G4813" s="165"/>
      <c r="H4813" s="165"/>
      <c r="I4813" s="190"/>
      <c r="J4813" s="191"/>
      <c r="K4813" s="192"/>
      <c r="L4813" s="55"/>
      <c r="M4813" s="55"/>
      <c r="N4813" s="55"/>
    </row>
    <row r="4814" spans="1:14" x14ac:dyDescent="0.2">
      <c r="A4814" s="145"/>
      <c r="B4814" s="146"/>
      <c r="C4814" s="147"/>
      <c r="D4814" s="147"/>
      <c r="E4814" s="147"/>
      <c r="F4814" s="147"/>
      <c r="G4814" s="147"/>
      <c r="H4814" s="147"/>
      <c r="I4814" s="147"/>
      <c r="J4814" s="148"/>
      <c r="K4814" s="132"/>
      <c r="L4814" s="133"/>
    </row>
    <row r="4815" spans="1:14" x14ac:dyDescent="0.2">
      <c r="A4815" s="199"/>
      <c r="B4815" s="188"/>
      <c r="C4815" s="189"/>
      <c r="D4815" s="165"/>
      <c r="E4815" s="165"/>
      <c r="F4815" s="165"/>
      <c r="G4815" s="165"/>
      <c r="H4815" s="165"/>
      <c r="I4815" s="190"/>
      <c r="J4815" s="191"/>
      <c r="K4815" s="192"/>
      <c r="L4815" s="55"/>
      <c r="M4815" s="55"/>
      <c r="N4815" s="55"/>
    </row>
    <row r="4816" spans="1:14" x14ac:dyDescent="0.2">
      <c r="A4816" s="158"/>
      <c r="B4816" s="188"/>
      <c r="C4816" s="189"/>
      <c r="D4816" s="165"/>
      <c r="E4816" s="165"/>
      <c r="F4816" s="165"/>
      <c r="G4816" s="165"/>
      <c r="H4816" s="165"/>
      <c r="I4816" s="190"/>
      <c r="J4816" s="191"/>
      <c r="K4816" s="192"/>
      <c r="L4816" s="55"/>
      <c r="M4816" s="55"/>
      <c r="N4816" s="55"/>
    </row>
    <row r="4817" spans="1:14" x14ac:dyDescent="0.2">
      <c r="A4817" s="145"/>
      <c r="B4817" s="146"/>
      <c r="C4817" s="147"/>
      <c r="D4817" s="147"/>
      <c r="E4817" s="147"/>
      <c r="F4817" s="147"/>
      <c r="G4817" s="147"/>
      <c r="H4817" s="147"/>
      <c r="I4817" s="147"/>
      <c r="J4817" s="148"/>
      <c r="K4817" s="132"/>
      <c r="L4817" s="133"/>
    </row>
    <row r="4818" spans="1:14" x14ac:dyDescent="0.2">
      <c r="A4818" s="199"/>
      <c r="B4818" s="188"/>
      <c r="C4818" s="189"/>
      <c r="D4818" s="165"/>
      <c r="E4818" s="165"/>
      <c r="F4818" s="165"/>
      <c r="G4818" s="165"/>
      <c r="H4818" s="165"/>
      <c r="I4818" s="190"/>
      <c r="J4818" s="191"/>
      <c r="K4818" s="192"/>
      <c r="L4818" s="55"/>
      <c r="M4818" s="55"/>
      <c r="N4818" s="55"/>
    </row>
    <row r="4819" spans="1:14" x14ac:dyDescent="0.2">
      <c r="A4819" s="158"/>
      <c r="B4819" s="188"/>
      <c r="C4819" s="189"/>
      <c r="D4819" s="165"/>
      <c r="E4819" s="165"/>
      <c r="F4819" s="165"/>
      <c r="G4819" s="165"/>
      <c r="H4819" s="165"/>
      <c r="I4819" s="190"/>
      <c r="J4819" s="191"/>
      <c r="K4819" s="192"/>
      <c r="L4819" s="55"/>
      <c r="M4819" s="55"/>
      <c r="N4819" s="55"/>
    </row>
    <row r="4820" spans="1:14" x14ac:dyDescent="0.2">
      <c r="A4820" s="145"/>
      <c r="B4820" s="146"/>
      <c r="C4820" s="147"/>
      <c r="D4820" s="147"/>
      <c r="E4820" s="147"/>
      <c r="F4820" s="147"/>
      <c r="G4820" s="147"/>
      <c r="H4820" s="147"/>
      <c r="I4820" s="147"/>
      <c r="J4820" s="148"/>
      <c r="K4820" s="132"/>
      <c r="L4820" s="133"/>
    </row>
    <row r="4821" spans="1:14" ht="13.5" thickBot="1" x14ac:dyDescent="0.25">
      <c r="A4821" s="149"/>
      <c r="B4821" s="150"/>
      <c r="C4821" s="151"/>
      <c r="D4821" s="151"/>
      <c r="E4821" s="151"/>
      <c r="F4821" s="151"/>
      <c r="G4821" s="151"/>
      <c r="H4821" s="151"/>
      <c r="I4821" s="151"/>
      <c r="J4821" s="152"/>
      <c r="K4821" s="132"/>
      <c r="L4821" s="133"/>
    </row>
    <row r="4822" spans="1:14" ht="13.5" thickBot="1" x14ac:dyDescent="0.25">
      <c r="A4822" s="153"/>
      <c r="B4822" s="153"/>
      <c r="C4822" s="154"/>
      <c r="D4822" s="154"/>
      <c r="E4822" s="154"/>
      <c r="F4822" s="154"/>
      <c r="G4822" s="154"/>
      <c r="H4822" s="154"/>
      <c r="I4822" s="154"/>
      <c r="J4822" s="153"/>
      <c r="K4822" s="132"/>
      <c r="L4822" s="133"/>
    </row>
    <row r="4823" spans="1:14" ht="13.5" thickBot="1" x14ac:dyDescent="0.25">
      <c r="A4823" s="614" t="s">
        <v>62</v>
      </c>
      <c r="B4823" s="648"/>
      <c r="C4823" s="648"/>
      <c r="D4823" s="648"/>
      <c r="E4823" s="648"/>
      <c r="F4823" s="648"/>
      <c r="G4823" s="648"/>
      <c r="H4823" s="648"/>
      <c r="I4823" s="648"/>
      <c r="J4823" s="649"/>
      <c r="K4823" s="132"/>
      <c r="L4823" s="133"/>
    </row>
    <row r="4824" spans="1:14" x14ac:dyDescent="0.2">
      <c r="A4824" s="136"/>
      <c r="B4824" s="155"/>
      <c r="C4824" s="156"/>
      <c r="D4824" s="156"/>
      <c r="E4824" s="156"/>
      <c r="F4824" s="156"/>
      <c r="G4824" s="156"/>
      <c r="H4824" s="156"/>
      <c r="I4824" s="156"/>
      <c r="J4824" s="157"/>
      <c r="K4824" s="132"/>
      <c r="L4824" s="133"/>
    </row>
    <row r="4825" spans="1:14" ht="12.75" customHeight="1" x14ac:dyDescent="0.2">
      <c r="A4825" s="671" t="s">
        <v>63</v>
      </c>
      <c r="B4825" s="672"/>
      <c r="C4825" s="596" t="s">
        <v>489</v>
      </c>
      <c r="D4825" s="596"/>
      <c r="E4825" s="596"/>
      <c r="F4825" s="596"/>
      <c r="G4825" s="596"/>
      <c r="H4825" s="596"/>
      <c r="I4825" s="596"/>
      <c r="J4825" s="597"/>
      <c r="K4825" s="132"/>
      <c r="L4825" s="133"/>
    </row>
    <row r="4826" spans="1:14" x14ac:dyDescent="0.2">
      <c r="A4826" s="158"/>
      <c r="B4826" s="55"/>
      <c r="C4826" s="596"/>
      <c r="D4826" s="596"/>
      <c r="E4826" s="596"/>
      <c r="F4826" s="596"/>
      <c r="G4826" s="596"/>
      <c r="H4826" s="596"/>
      <c r="I4826" s="596"/>
      <c r="J4826" s="597"/>
      <c r="K4826" s="132"/>
      <c r="L4826" s="133"/>
    </row>
    <row r="4827" spans="1:14" x14ac:dyDescent="0.2">
      <c r="C4827" s="596"/>
      <c r="D4827" s="596"/>
      <c r="E4827" s="596"/>
      <c r="F4827" s="596"/>
      <c r="G4827" s="596"/>
      <c r="H4827" s="596"/>
      <c r="I4827" s="596"/>
      <c r="J4827" s="597"/>
      <c r="K4827" s="132"/>
      <c r="L4827" s="133"/>
    </row>
    <row r="4828" spans="1:14" x14ac:dyDescent="0.2">
      <c r="A4828" s="158"/>
      <c r="B4828" s="55"/>
      <c r="C4828" s="596"/>
      <c r="D4828" s="596"/>
      <c r="E4828" s="596"/>
      <c r="F4828" s="596"/>
      <c r="G4828" s="596"/>
      <c r="H4828" s="596"/>
      <c r="I4828" s="596"/>
      <c r="J4828" s="597"/>
      <c r="K4828" s="132"/>
      <c r="L4828" s="133"/>
    </row>
    <row r="4829" spans="1:14" x14ac:dyDescent="0.2">
      <c r="A4829" s="158"/>
      <c r="B4829" s="55"/>
      <c r="C4829" s="596"/>
      <c r="D4829" s="596"/>
      <c r="E4829" s="596"/>
      <c r="F4829" s="596"/>
      <c r="G4829" s="596"/>
      <c r="H4829" s="596"/>
      <c r="I4829" s="596"/>
      <c r="J4829" s="597"/>
      <c r="K4829" s="132"/>
      <c r="L4829" s="133"/>
    </row>
    <row r="4830" spans="1:14" x14ac:dyDescent="0.2">
      <c r="A4830" s="158"/>
      <c r="B4830" s="55"/>
      <c r="C4830" s="596"/>
      <c r="D4830" s="596"/>
      <c r="E4830" s="596"/>
      <c r="F4830" s="596"/>
      <c r="G4830" s="596"/>
      <c r="H4830" s="596"/>
      <c r="I4830" s="596"/>
      <c r="J4830" s="597"/>
      <c r="K4830" s="132"/>
      <c r="L4830" s="133"/>
    </row>
    <row r="4831" spans="1:14" x14ac:dyDescent="0.2">
      <c r="J4831" s="315"/>
      <c r="K4831" s="132"/>
      <c r="L4831" s="133"/>
    </row>
    <row r="4832" spans="1:14" ht="12.75" customHeight="1" x14ac:dyDescent="0.2">
      <c r="A4832" s="671" t="s">
        <v>64</v>
      </c>
      <c r="B4832" s="672"/>
      <c r="C4832" s="596" t="s">
        <v>490</v>
      </c>
      <c r="D4832" s="596"/>
      <c r="E4832" s="596"/>
      <c r="F4832" s="596"/>
      <c r="G4832" s="596"/>
      <c r="H4832" s="596"/>
      <c r="I4832" s="596"/>
      <c r="J4832" s="597"/>
      <c r="K4832" s="132"/>
      <c r="L4832" s="133"/>
    </row>
    <row r="4833" spans="1:12" x14ac:dyDescent="0.2">
      <c r="A4833" s="158"/>
      <c r="B4833" s="55"/>
      <c r="C4833" s="596"/>
      <c r="D4833" s="596"/>
      <c r="E4833" s="596"/>
      <c r="F4833" s="596"/>
      <c r="G4833" s="596"/>
      <c r="H4833" s="596"/>
      <c r="I4833" s="596"/>
      <c r="J4833" s="597"/>
      <c r="K4833" s="132"/>
      <c r="L4833" s="133"/>
    </row>
    <row r="4834" spans="1:12" x14ac:dyDescent="0.2">
      <c r="A4834" s="158"/>
      <c r="B4834" s="55"/>
      <c r="C4834" s="71"/>
      <c r="D4834" s="71"/>
      <c r="E4834" s="71"/>
      <c r="F4834" s="71"/>
      <c r="G4834" s="71"/>
      <c r="H4834" s="71"/>
      <c r="I4834" s="71"/>
      <c r="J4834" s="174"/>
      <c r="K4834" s="132"/>
      <c r="L4834" s="133"/>
    </row>
    <row r="4835" spans="1:12" x14ac:dyDescent="0.2">
      <c r="A4835" s="158"/>
      <c r="B4835" s="55"/>
      <c r="C4835" s="71"/>
      <c r="D4835" s="71"/>
      <c r="E4835" s="71"/>
      <c r="F4835" s="71"/>
      <c r="G4835" s="71"/>
      <c r="H4835" s="71"/>
      <c r="I4835" s="71"/>
      <c r="J4835" s="174"/>
      <c r="K4835" s="132"/>
      <c r="L4835" s="133"/>
    </row>
    <row r="4836" spans="1:12" x14ac:dyDescent="0.2">
      <c r="A4836" s="158"/>
      <c r="B4836" s="55"/>
      <c r="C4836" s="71"/>
      <c r="D4836" s="71"/>
      <c r="E4836" s="71"/>
      <c r="F4836" s="71"/>
      <c r="G4836" s="71"/>
      <c r="H4836" s="71"/>
      <c r="I4836" s="71"/>
      <c r="J4836" s="174"/>
      <c r="K4836" s="132"/>
      <c r="L4836" s="133"/>
    </row>
    <row r="4837" spans="1:12" x14ac:dyDescent="0.2">
      <c r="A4837" s="158"/>
      <c r="B4837" s="55"/>
      <c r="C4837" s="175"/>
      <c r="D4837" s="175"/>
      <c r="E4837" s="175"/>
      <c r="F4837" s="175"/>
      <c r="G4837" s="175"/>
      <c r="H4837" s="175"/>
      <c r="I4837" s="175"/>
      <c r="J4837" s="176"/>
      <c r="K4837" s="132"/>
      <c r="L4837" s="133"/>
    </row>
    <row r="4838" spans="1:12" x14ac:dyDescent="0.2">
      <c r="A4838" s="158"/>
      <c r="B4838" s="55"/>
      <c r="C4838" s="71"/>
      <c r="D4838" s="71"/>
      <c r="E4838" s="71"/>
      <c r="F4838" s="71"/>
      <c r="G4838" s="71"/>
      <c r="H4838" s="71"/>
      <c r="I4838" s="71"/>
      <c r="J4838" s="174"/>
      <c r="K4838" s="132"/>
      <c r="L4838" s="133"/>
    </row>
    <row r="4839" spans="1:12" x14ac:dyDescent="0.2">
      <c r="A4839" s="158"/>
      <c r="B4839" s="55"/>
      <c r="C4839" s="71"/>
      <c r="D4839" s="71"/>
      <c r="E4839" s="71"/>
      <c r="F4839" s="71"/>
      <c r="G4839" s="71"/>
      <c r="H4839" s="71"/>
      <c r="I4839" s="71"/>
      <c r="J4839" s="174"/>
      <c r="K4839" s="132"/>
      <c r="L4839" s="133"/>
    </row>
    <row r="4840" spans="1:12" x14ac:dyDescent="0.2">
      <c r="A4840" s="158"/>
      <c r="B4840" s="55"/>
      <c r="C4840" s="71"/>
      <c r="D4840" s="71"/>
      <c r="E4840" s="71"/>
      <c r="F4840" s="71"/>
      <c r="G4840" s="71"/>
      <c r="H4840" s="71"/>
      <c r="I4840" s="71"/>
      <c r="J4840" s="174"/>
      <c r="K4840" s="132"/>
      <c r="L4840" s="133"/>
    </row>
    <row r="4841" spans="1:12" x14ac:dyDescent="0.2">
      <c r="A4841" s="158"/>
      <c r="B4841" s="55"/>
      <c r="C4841" s="71"/>
      <c r="D4841" s="71"/>
      <c r="E4841" s="71"/>
      <c r="F4841" s="71"/>
      <c r="G4841" s="71"/>
      <c r="H4841" s="71"/>
      <c r="I4841" s="71"/>
      <c r="J4841" s="174"/>
      <c r="K4841" s="132"/>
      <c r="L4841" s="133"/>
    </row>
    <row r="4842" spans="1:12" x14ac:dyDescent="0.2">
      <c r="A4842" s="158"/>
      <c r="B4842" s="55"/>
      <c r="C4842" s="71"/>
      <c r="D4842" s="71"/>
      <c r="E4842" s="71"/>
      <c r="F4842" s="71"/>
      <c r="G4842" s="71"/>
      <c r="H4842" s="71"/>
      <c r="I4842" s="71"/>
      <c r="J4842" s="174"/>
      <c r="K4842" s="132"/>
      <c r="L4842" s="133"/>
    </row>
    <row r="4843" spans="1:12" x14ac:dyDescent="0.2">
      <c r="A4843" s="158"/>
      <c r="B4843" s="55"/>
      <c r="C4843" s="175"/>
      <c r="D4843" s="175"/>
      <c r="E4843" s="172"/>
      <c r="F4843" s="172"/>
      <c r="G4843" s="172"/>
      <c r="H4843" s="172"/>
      <c r="I4843" s="172"/>
      <c r="J4843" s="173"/>
      <c r="K4843" s="132"/>
      <c r="L4843" s="133"/>
    </row>
    <row r="4844" spans="1:12" x14ac:dyDescent="0.2">
      <c r="A4844" s="158"/>
      <c r="B4844" s="55"/>
      <c r="C4844" s="175"/>
      <c r="D4844" s="175"/>
      <c r="E4844" s="172"/>
      <c r="F4844" s="172"/>
      <c r="G4844" s="172"/>
      <c r="H4844" s="172"/>
      <c r="I4844" s="172"/>
      <c r="J4844" s="173"/>
      <c r="K4844" s="132"/>
      <c r="L4844" s="133"/>
    </row>
    <row r="4845" spans="1:12" x14ac:dyDescent="0.2">
      <c r="A4845" s="158"/>
      <c r="B4845" s="55"/>
      <c r="C4845" s="175"/>
      <c r="D4845" s="175"/>
      <c r="E4845" s="172"/>
      <c r="F4845" s="172"/>
      <c r="G4845" s="172"/>
      <c r="H4845" s="172"/>
      <c r="I4845" s="172"/>
      <c r="J4845" s="173"/>
      <c r="K4845" s="132"/>
      <c r="L4845" s="133"/>
    </row>
    <row r="4846" spans="1:12" x14ac:dyDescent="0.2">
      <c r="A4846" s="158"/>
      <c r="B4846" s="55"/>
      <c r="C4846" s="175"/>
      <c r="D4846" s="175"/>
      <c r="E4846" s="175"/>
      <c r="F4846" s="175"/>
      <c r="G4846" s="175"/>
      <c r="H4846" s="175"/>
      <c r="I4846" s="175"/>
      <c r="J4846" s="176"/>
      <c r="K4846" s="132"/>
      <c r="L4846" s="133"/>
    </row>
    <row r="4847" spans="1:12" ht="13.5" thickBot="1" x14ac:dyDescent="0.25">
      <c r="A4847" s="149"/>
      <c r="B4847" s="167"/>
      <c r="C4847" s="151"/>
      <c r="D4847" s="151"/>
      <c r="E4847" s="151"/>
      <c r="F4847" s="151"/>
      <c r="G4847" s="151"/>
      <c r="H4847" s="151"/>
      <c r="I4847" s="151"/>
      <c r="J4847" s="168"/>
      <c r="K4847" s="132"/>
      <c r="L4847" s="133"/>
    </row>
    <row r="4848" spans="1:12" ht="15.75" x14ac:dyDescent="0.2">
      <c r="A4848" s="602" t="s">
        <v>4</v>
      </c>
      <c r="B4848" s="603"/>
      <c r="C4848" s="603" t="str">
        <f>'A IV.A'!$B$134</f>
        <v>PINTURAS - ITEM 11.0 DO TERMO DE REFERÊNCIA</v>
      </c>
      <c r="D4848" s="603"/>
      <c r="E4848" s="603"/>
      <c r="F4848" s="603"/>
      <c r="G4848" s="603"/>
      <c r="H4848" s="603"/>
      <c r="I4848" s="603"/>
      <c r="J4848" s="604"/>
      <c r="K4848" s="132"/>
      <c r="L4848" s="133"/>
    </row>
    <row r="4849" spans="1:14" x14ac:dyDescent="0.2">
      <c r="A4849" s="609" t="str">
        <f>'A IV.A'!$A$134</f>
        <v>6.0</v>
      </c>
      <c r="B4849" s="610"/>
      <c r="C4849" s="605"/>
      <c r="D4849" s="605"/>
      <c r="E4849" s="605"/>
      <c r="F4849" s="605"/>
      <c r="G4849" s="605"/>
      <c r="H4849" s="605"/>
      <c r="I4849" s="605"/>
      <c r="J4849" s="606"/>
      <c r="K4849" s="132"/>
      <c r="L4849" s="133"/>
    </row>
    <row r="4850" spans="1:14" ht="13.5" thickBot="1" x14ac:dyDescent="0.25">
      <c r="A4850" s="611" t="str">
        <f>'A IV.A'!$A$134</f>
        <v>6.0</v>
      </c>
      <c r="B4850" s="612"/>
      <c r="C4850" s="607"/>
      <c r="D4850" s="607"/>
      <c r="E4850" s="607"/>
      <c r="F4850" s="607"/>
      <c r="G4850" s="607"/>
      <c r="H4850" s="607"/>
      <c r="I4850" s="607"/>
      <c r="J4850" s="608"/>
      <c r="K4850" s="132"/>
      <c r="L4850" s="133"/>
    </row>
    <row r="4851" spans="1:14" ht="13.5" thickBot="1" x14ac:dyDescent="0.25">
      <c r="A4851" s="169"/>
      <c r="B4851" s="169"/>
      <c r="C4851" s="613"/>
      <c r="D4851" s="613"/>
      <c r="E4851" s="613"/>
      <c r="F4851" s="613"/>
      <c r="G4851" s="613"/>
      <c r="H4851" s="613"/>
      <c r="I4851" s="613"/>
      <c r="J4851" s="169"/>
      <c r="K4851" s="132"/>
      <c r="L4851" s="133"/>
    </row>
    <row r="4852" spans="1:14" ht="13.5" thickBot="1" x14ac:dyDescent="0.25">
      <c r="A4852" s="632" t="s">
        <v>60</v>
      </c>
      <c r="B4852" s="633"/>
      <c r="C4852" s="656" t="s">
        <v>61</v>
      </c>
      <c r="D4852" s="656"/>
      <c r="E4852" s="656"/>
      <c r="F4852" s="656"/>
      <c r="G4852" s="656"/>
      <c r="H4852" s="656"/>
      <c r="I4852" s="656"/>
      <c r="J4852" s="260" t="s">
        <v>0</v>
      </c>
      <c r="K4852" s="132"/>
      <c r="L4852" s="133"/>
    </row>
    <row r="4853" spans="1:14" x14ac:dyDescent="0.2">
      <c r="A4853" s="136"/>
      <c r="B4853" s="137"/>
      <c r="C4853" s="619"/>
      <c r="D4853" s="620"/>
      <c r="E4853" s="621"/>
      <c r="F4853" s="621"/>
      <c r="G4853" s="621"/>
      <c r="H4853" s="621"/>
      <c r="I4853" s="622"/>
      <c r="J4853" s="138"/>
      <c r="K4853" s="132"/>
      <c r="L4853" s="133"/>
    </row>
    <row r="4854" spans="1:14" x14ac:dyDescent="0.2">
      <c r="A4854" s="623" t="str">
        <f>'A IV.A'!$A$153</f>
        <v>6.16</v>
      </c>
      <c r="B4854" s="624"/>
      <c r="C4854" s="626" t="str">
        <f>'A IV.A'!$B$153</f>
        <v>PINTURA TIPO CAIAÇÃO DE GUIAS</v>
      </c>
      <c r="D4854" s="627"/>
      <c r="E4854" s="627"/>
      <c r="F4854" s="627"/>
      <c r="G4854" s="627"/>
      <c r="H4854" s="627"/>
      <c r="I4854" s="628"/>
      <c r="J4854" s="629" t="str">
        <f>'A IV.A'!$C$153</f>
        <v>M</v>
      </c>
      <c r="K4854" s="630" t="str">
        <f>VLOOKUP(A4854,'A IV.A'!$A$14:$M$233,2,FALSE)</f>
        <v>PINTURA TIPO CAIAÇÃO DE GUIAS</v>
      </c>
      <c r="L4854" s="631" t="str">
        <f>IF(C4854=K4854,"sim","nao")</f>
        <v>sim</v>
      </c>
      <c r="M4854" s="631" t="str">
        <f>VLOOKUP(A4854,'A IV.A'!$A$14:$M$233,3,FALSE)</f>
        <v>M</v>
      </c>
      <c r="N4854" s="631" t="str">
        <f>IF(J4854=M4854,"sim","nao")</f>
        <v>sim</v>
      </c>
    </row>
    <row r="4855" spans="1:14" x14ac:dyDescent="0.2">
      <c r="A4855" s="625"/>
      <c r="B4855" s="624"/>
      <c r="C4855" s="626"/>
      <c r="D4855" s="627"/>
      <c r="E4855" s="627"/>
      <c r="F4855" s="627"/>
      <c r="G4855" s="627"/>
      <c r="H4855" s="627"/>
      <c r="I4855" s="628"/>
      <c r="J4855" s="629"/>
      <c r="K4855" s="630"/>
      <c r="L4855" s="631"/>
      <c r="M4855" s="631"/>
      <c r="N4855" s="631"/>
    </row>
    <row r="4856" spans="1:14" x14ac:dyDescent="0.2">
      <c r="A4856" s="139"/>
      <c r="B4856" s="140"/>
      <c r="C4856" s="141"/>
      <c r="D4856" s="142"/>
      <c r="E4856" s="142"/>
      <c r="F4856" s="142"/>
      <c r="G4856" s="142"/>
      <c r="H4856" s="142"/>
      <c r="I4856" s="143"/>
      <c r="J4856" s="144"/>
      <c r="K4856" s="132"/>
      <c r="L4856" s="133"/>
    </row>
    <row r="4857" spans="1:14" x14ac:dyDescent="0.2">
      <c r="A4857" s="199"/>
      <c r="B4857" s="188"/>
      <c r="C4857" s="189"/>
      <c r="D4857" s="165"/>
      <c r="E4857" s="165"/>
      <c r="F4857" s="165"/>
      <c r="G4857" s="165"/>
      <c r="H4857" s="165"/>
      <c r="I4857" s="190"/>
      <c r="J4857" s="191"/>
      <c r="K4857" s="192"/>
      <c r="L4857" s="55"/>
      <c r="M4857" s="55"/>
      <c r="N4857" s="55"/>
    </row>
    <row r="4858" spans="1:14" x14ac:dyDescent="0.2">
      <c r="A4858" s="158"/>
      <c r="B4858" s="188"/>
      <c r="C4858" s="189"/>
      <c r="D4858" s="165"/>
      <c r="E4858" s="165"/>
      <c r="F4858" s="165"/>
      <c r="G4858" s="165"/>
      <c r="H4858" s="165"/>
      <c r="I4858" s="190"/>
      <c r="J4858" s="191"/>
      <c r="K4858" s="192"/>
      <c r="L4858" s="55"/>
      <c r="M4858" s="55"/>
      <c r="N4858" s="55"/>
    </row>
    <row r="4859" spans="1:14" x14ac:dyDescent="0.2">
      <c r="A4859" s="145"/>
      <c r="B4859" s="146"/>
      <c r="C4859" s="147"/>
      <c r="D4859" s="147"/>
      <c r="E4859" s="147"/>
      <c r="F4859" s="147"/>
      <c r="G4859" s="147"/>
      <c r="H4859" s="147"/>
      <c r="I4859" s="147"/>
      <c r="J4859" s="148"/>
      <c r="K4859" s="132"/>
      <c r="L4859" s="133"/>
    </row>
    <row r="4860" spans="1:14" x14ac:dyDescent="0.2">
      <c r="A4860" s="199"/>
      <c r="B4860" s="188"/>
      <c r="C4860" s="189"/>
      <c r="D4860" s="165"/>
      <c r="E4860" s="165"/>
      <c r="F4860" s="165"/>
      <c r="G4860" s="165"/>
      <c r="H4860" s="165"/>
      <c r="I4860" s="190"/>
      <c r="J4860" s="191"/>
      <c r="K4860" s="192"/>
      <c r="L4860" s="55"/>
      <c r="M4860" s="55"/>
      <c r="N4860" s="55"/>
    </row>
    <row r="4861" spans="1:14" x14ac:dyDescent="0.2">
      <c r="A4861" s="158"/>
      <c r="B4861" s="188"/>
      <c r="C4861" s="189"/>
      <c r="D4861" s="165"/>
      <c r="E4861" s="165"/>
      <c r="F4861" s="165"/>
      <c r="G4861" s="165"/>
      <c r="H4861" s="165"/>
      <c r="I4861" s="190"/>
      <c r="J4861" s="191"/>
      <c r="K4861" s="192"/>
      <c r="L4861" s="55"/>
      <c r="M4861" s="55"/>
      <c r="N4861" s="55"/>
    </row>
    <row r="4862" spans="1:14" x14ac:dyDescent="0.2">
      <c r="A4862" s="145"/>
      <c r="B4862" s="146"/>
      <c r="C4862" s="147"/>
      <c r="D4862" s="147"/>
      <c r="E4862" s="147"/>
      <c r="F4862" s="147"/>
      <c r="G4862" s="147"/>
      <c r="H4862" s="147"/>
      <c r="I4862" s="147"/>
      <c r="J4862" s="148"/>
      <c r="K4862" s="132"/>
      <c r="L4862" s="133"/>
    </row>
    <row r="4863" spans="1:14" x14ac:dyDescent="0.2">
      <c r="A4863" s="199"/>
      <c r="B4863" s="188"/>
      <c r="C4863" s="189"/>
      <c r="D4863" s="165"/>
      <c r="E4863" s="165"/>
      <c r="F4863" s="165"/>
      <c r="G4863" s="165"/>
      <c r="H4863" s="165"/>
      <c r="I4863" s="190"/>
      <c r="J4863" s="191"/>
      <c r="K4863" s="192"/>
      <c r="L4863" s="55"/>
      <c r="M4863" s="55"/>
      <c r="N4863" s="55"/>
    </row>
    <row r="4864" spans="1:14" x14ac:dyDescent="0.2">
      <c r="A4864" s="158"/>
      <c r="B4864" s="188"/>
      <c r="C4864" s="189"/>
      <c r="D4864" s="165"/>
      <c r="E4864" s="165"/>
      <c r="F4864" s="165"/>
      <c r="G4864" s="165"/>
      <c r="H4864" s="165"/>
      <c r="I4864" s="190"/>
      <c r="J4864" s="191"/>
      <c r="K4864" s="192"/>
      <c r="L4864" s="55"/>
      <c r="M4864" s="55"/>
      <c r="N4864" s="55"/>
    </row>
    <row r="4865" spans="1:14" x14ac:dyDescent="0.2">
      <c r="A4865" s="145"/>
      <c r="B4865" s="146"/>
      <c r="C4865" s="147"/>
      <c r="D4865" s="147"/>
      <c r="E4865" s="147"/>
      <c r="F4865" s="147"/>
      <c r="G4865" s="147"/>
      <c r="H4865" s="147"/>
      <c r="I4865" s="147"/>
      <c r="J4865" s="148"/>
      <c r="K4865" s="132"/>
      <c r="L4865" s="133"/>
    </row>
    <row r="4866" spans="1:14" x14ac:dyDescent="0.2">
      <c r="A4866" s="199"/>
      <c r="B4866" s="188"/>
      <c r="C4866" s="189"/>
      <c r="D4866" s="165"/>
      <c r="E4866" s="165"/>
      <c r="F4866" s="165"/>
      <c r="G4866" s="165"/>
      <c r="H4866" s="165"/>
      <c r="I4866" s="190"/>
      <c r="J4866" s="191"/>
      <c r="K4866" s="192"/>
      <c r="L4866" s="55"/>
      <c r="M4866" s="55"/>
      <c r="N4866" s="55"/>
    </row>
    <row r="4867" spans="1:14" x14ac:dyDescent="0.2">
      <c r="A4867" s="158"/>
      <c r="B4867" s="188"/>
      <c r="C4867" s="189"/>
      <c r="D4867" s="165"/>
      <c r="E4867" s="165"/>
      <c r="F4867" s="165"/>
      <c r="G4867" s="165"/>
      <c r="H4867" s="165"/>
      <c r="I4867" s="190"/>
      <c r="J4867" s="191"/>
      <c r="K4867" s="192"/>
      <c r="L4867" s="55"/>
      <c r="M4867" s="55"/>
      <c r="N4867" s="55"/>
    </row>
    <row r="4868" spans="1:14" x14ac:dyDescent="0.2">
      <c r="A4868" s="145"/>
      <c r="B4868" s="146"/>
      <c r="C4868" s="147"/>
      <c r="D4868" s="147"/>
      <c r="E4868" s="147"/>
      <c r="F4868" s="147"/>
      <c r="G4868" s="147"/>
      <c r="H4868" s="147"/>
      <c r="I4868" s="147"/>
      <c r="J4868" s="148"/>
      <c r="K4868" s="132"/>
      <c r="L4868" s="133"/>
    </row>
    <row r="4869" spans="1:14" x14ac:dyDescent="0.2">
      <c r="A4869" s="199"/>
      <c r="B4869" s="188"/>
      <c r="C4869" s="189"/>
      <c r="D4869" s="165"/>
      <c r="E4869" s="165"/>
      <c r="F4869" s="165"/>
      <c r="G4869" s="165"/>
      <c r="H4869" s="165"/>
      <c r="I4869" s="190"/>
      <c r="J4869" s="191"/>
      <c r="K4869" s="192"/>
      <c r="L4869" s="55"/>
      <c r="M4869" s="55"/>
      <c r="N4869" s="55"/>
    </row>
    <row r="4870" spans="1:14" x14ac:dyDescent="0.2">
      <c r="A4870" s="158"/>
      <c r="B4870" s="188"/>
      <c r="C4870" s="189"/>
      <c r="D4870" s="165"/>
      <c r="E4870" s="165"/>
      <c r="F4870" s="165"/>
      <c r="G4870" s="165"/>
      <c r="H4870" s="165"/>
      <c r="I4870" s="190"/>
      <c r="J4870" s="191"/>
      <c r="K4870" s="192"/>
      <c r="L4870" s="55"/>
      <c r="M4870" s="55"/>
      <c r="N4870" s="55"/>
    </row>
    <row r="4871" spans="1:14" x14ac:dyDescent="0.2">
      <c r="A4871" s="145"/>
      <c r="B4871" s="146"/>
      <c r="C4871" s="147"/>
      <c r="D4871" s="147"/>
      <c r="E4871" s="147"/>
      <c r="F4871" s="147"/>
      <c r="G4871" s="147"/>
      <c r="H4871" s="147"/>
      <c r="I4871" s="147"/>
      <c r="J4871" s="148"/>
      <c r="K4871" s="132"/>
      <c r="L4871" s="133"/>
    </row>
    <row r="4872" spans="1:14" x14ac:dyDescent="0.2">
      <c r="A4872" s="199"/>
      <c r="B4872" s="188"/>
      <c r="C4872" s="189"/>
      <c r="D4872" s="165"/>
      <c r="E4872" s="165"/>
      <c r="F4872" s="165"/>
      <c r="G4872" s="165"/>
      <c r="H4872" s="165"/>
      <c r="I4872" s="190"/>
      <c r="J4872" s="191"/>
      <c r="K4872" s="192"/>
      <c r="L4872" s="55"/>
      <c r="M4872" s="55"/>
      <c r="N4872" s="55"/>
    </row>
    <row r="4873" spans="1:14" x14ac:dyDescent="0.2">
      <c r="A4873" s="158"/>
      <c r="B4873" s="188"/>
      <c r="C4873" s="189"/>
      <c r="D4873" s="165"/>
      <c r="E4873" s="165"/>
      <c r="F4873" s="165"/>
      <c r="G4873" s="165"/>
      <c r="H4873" s="165"/>
      <c r="I4873" s="190"/>
      <c r="J4873" s="191"/>
      <c r="K4873" s="192"/>
      <c r="L4873" s="55"/>
      <c r="M4873" s="55"/>
      <c r="N4873" s="55"/>
    </row>
    <row r="4874" spans="1:14" x14ac:dyDescent="0.2">
      <c r="A4874" s="145"/>
      <c r="B4874" s="146"/>
      <c r="C4874" s="147"/>
      <c r="D4874" s="147"/>
      <c r="E4874" s="147"/>
      <c r="F4874" s="147"/>
      <c r="G4874" s="147"/>
      <c r="H4874" s="147"/>
      <c r="I4874" s="147"/>
      <c r="J4874" s="148"/>
      <c r="K4874" s="132"/>
      <c r="L4874" s="133"/>
    </row>
    <row r="4875" spans="1:14" ht="13.5" thickBot="1" x14ac:dyDescent="0.25">
      <c r="A4875" s="149"/>
      <c r="B4875" s="150"/>
      <c r="C4875" s="151"/>
      <c r="D4875" s="151"/>
      <c r="E4875" s="151"/>
      <c r="F4875" s="151"/>
      <c r="G4875" s="151"/>
      <c r="H4875" s="151"/>
      <c r="I4875" s="151"/>
      <c r="J4875" s="152"/>
      <c r="K4875" s="132"/>
      <c r="L4875" s="133"/>
    </row>
    <row r="4876" spans="1:14" ht="13.5" thickBot="1" x14ac:dyDescent="0.25">
      <c r="A4876" s="153"/>
      <c r="B4876" s="153"/>
      <c r="C4876" s="154"/>
      <c r="D4876" s="154"/>
      <c r="E4876" s="154"/>
      <c r="F4876" s="154"/>
      <c r="G4876" s="154"/>
      <c r="H4876" s="154"/>
      <c r="I4876" s="154"/>
      <c r="J4876" s="153"/>
      <c r="K4876" s="132"/>
      <c r="L4876" s="133"/>
    </row>
    <row r="4877" spans="1:14" ht="13.5" thickBot="1" x14ac:dyDescent="0.25">
      <c r="A4877" s="614" t="s">
        <v>62</v>
      </c>
      <c r="B4877" s="648"/>
      <c r="C4877" s="648"/>
      <c r="D4877" s="648"/>
      <c r="E4877" s="648"/>
      <c r="F4877" s="648"/>
      <c r="G4877" s="648"/>
      <c r="H4877" s="648"/>
      <c r="I4877" s="648"/>
      <c r="J4877" s="649"/>
      <c r="K4877" s="132"/>
      <c r="L4877" s="133"/>
    </row>
    <row r="4878" spans="1:14" x14ac:dyDescent="0.2">
      <c r="A4878" s="136"/>
      <c r="B4878" s="155"/>
      <c r="C4878" s="156"/>
      <c r="D4878" s="156"/>
      <c r="E4878" s="156"/>
      <c r="F4878" s="156"/>
      <c r="G4878" s="156"/>
      <c r="H4878" s="156"/>
      <c r="I4878" s="156"/>
      <c r="J4878" s="157"/>
      <c r="K4878" s="132"/>
      <c r="L4878" s="133"/>
    </row>
    <row r="4879" spans="1:14" ht="12.75" customHeight="1" x14ac:dyDescent="0.2">
      <c r="A4879" s="158" t="s">
        <v>63</v>
      </c>
      <c r="B4879" s="55"/>
      <c r="C4879" s="596" t="s">
        <v>750</v>
      </c>
      <c r="D4879" s="596"/>
      <c r="E4879" s="596"/>
      <c r="F4879" s="596"/>
      <c r="G4879" s="596"/>
      <c r="H4879" s="596"/>
      <c r="I4879" s="596"/>
      <c r="J4879" s="597"/>
      <c r="K4879" s="132"/>
      <c r="L4879" s="133"/>
    </row>
    <row r="4880" spans="1:14" x14ac:dyDescent="0.2">
      <c r="A4880" s="158"/>
      <c r="B4880" s="55"/>
      <c r="C4880" s="596"/>
      <c r="D4880" s="596"/>
      <c r="E4880" s="596"/>
      <c r="F4880" s="596"/>
      <c r="G4880" s="596"/>
      <c r="H4880" s="596"/>
      <c r="I4880" s="596"/>
      <c r="J4880" s="597"/>
      <c r="K4880" s="132"/>
      <c r="L4880" s="133"/>
    </row>
    <row r="4881" spans="1:12" x14ac:dyDescent="0.2">
      <c r="A4881" s="158"/>
      <c r="B4881" s="55"/>
      <c r="C4881" s="596"/>
      <c r="D4881" s="596"/>
      <c r="E4881" s="596"/>
      <c r="F4881" s="596"/>
      <c r="G4881" s="596"/>
      <c r="H4881" s="596"/>
      <c r="I4881" s="596"/>
      <c r="J4881" s="597"/>
      <c r="K4881" s="132"/>
      <c r="L4881" s="133"/>
    </row>
    <row r="4882" spans="1:12" x14ac:dyDescent="0.2">
      <c r="A4882" s="158"/>
      <c r="B4882" s="55"/>
      <c r="C4882" s="596"/>
      <c r="D4882" s="596"/>
      <c r="E4882" s="596"/>
      <c r="F4882" s="596"/>
      <c r="G4882" s="596"/>
      <c r="H4882" s="596"/>
      <c r="I4882" s="596"/>
      <c r="J4882" s="597"/>
      <c r="K4882" s="132"/>
      <c r="L4882" s="133"/>
    </row>
    <row r="4883" spans="1:12" x14ac:dyDescent="0.2">
      <c r="A4883" s="158"/>
      <c r="B4883" s="55"/>
      <c r="C4883" s="159"/>
      <c r="D4883" s="159"/>
      <c r="E4883" s="159"/>
      <c r="F4883" s="159"/>
      <c r="G4883" s="159"/>
      <c r="H4883" s="159"/>
      <c r="I4883" s="159"/>
      <c r="J4883" s="160"/>
      <c r="K4883" s="132"/>
      <c r="L4883" s="133"/>
    </row>
    <row r="4884" spans="1:12" x14ac:dyDescent="0.2">
      <c r="A4884" s="671" t="s">
        <v>64</v>
      </c>
      <c r="B4884" s="672"/>
      <c r="C4884" s="596" t="s">
        <v>491</v>
      </c>
      <c r="D4884" s="596"/>
      <c r="E4884" s="596"/>
      <c r="F4884" s="596"/>
      <c r="G4884" s="596"/>
      <c r="H4884" s="596"/>
      <c r="I4884" s="596"/>
      <c r="J4884" s="597"/>
      <c r="K4884" s="132"/>
      <c r="L4884" s="133"/>
    </row>
    <row r="4885" spans="1:12" x14ac:dyDescent="0.2">
      <c r="A4885" s="158"/>
      <c r="B4885" s="55"/>
      <c r="C4885" s="71"/>
      <c r="D4885" s="71"/>
      <c r="E4885" s="71"/>
      <c r="F4885" s="71"/>
      <c r="G4885" s="71"/>
      <c r="H4885" s="71"/>
      <c r="I4885" s="71"/>
      <c r="J4885" s="174"/>
      <c r="K4885" s="132"/>
      <c r="L4885" s="133"/>
    </row>
    <row r="4886" spans="1:12" x14ac:dyDescent="0.2">
      <c r="A4886" s="158"/>
      <c r="B4886" s="55"/>
      <c r="C4886" s="71"/>
      <c r="D4886" s="71"/>
      <c r="E4886" s="71"/>
      <c r="F4886" s="71"/>
      <c r="G4886" s="71"/>
      <c r="H4886" s="71"/>
      <c r="I4886" s="71"/>
      <c r="J4886" s="174"/>
      <c r="K4886" s="132"/>
      <c r="L4886" s="133"/>
    </row>
    <row r="4887" spans="1:12" x14ac:dyDescent="0.2">
      <c r="A4887" s="158"/>
      <c r="B4887" s="55"/>
      <c r="C4887" s="71"/>
      <c r="D4887" s="71"/>
      <c r="E4887" s="71"/>
      <c r="F4887" s="71"/>
      <c r="G4887" s="71"/>
      <c r="H4887" s="71"/>
      <c r="I4887" s="71"/>
      <c r="J4887" s="174"/>
      <c r="K4887" s="132"/>
      <c r="L4887" s="133"/>
    </row>
    <row r="4888" spans="1:12" ht="12.75" customHeight="1" x14ac:dyDescent="0.2">
      <c r="J4888" s="315"/>
      <c r="K4888" s="132"/>
      <c r="L4888" s="133"/>
    </row>
    <row r="4889" spans="1:12" x14ac:dyDescent="0.2">
      <c r="A4889" s="158"/>
      <c r="B4889" s="55"/>
      <c r="C4889" s="175"/>
      <c r="D4889" s="175"/>
      <c r="E4889" s="175"/>
      <c r="F4889" s="175"/>
      <c r="G4889" s="175"/>
      <c r="H4889" s="175"/>
      <c r="I4889" s="175"/>
      <c r="J4889" s="176"/>
      <c r="K4889" s="132"/>
      <c r="L4889" s="133"/>
    </row>
    <row r="4890" spans="1:12" x14ac:dyDescent="0.2">
      <c r="A4890" s="158"/>
      <c r="B4890" s="55"/>
      <c r="C4890" s="71"/>
      <c r="D4890" s="71"/>
      <c r="E4890" s="71"/>
      <c r="F4890" s="71"/>
      <c r="G4890" s="71"/>
      <c r="H4890" s="71"/>
      <c r="I4890" s="71"/>
      <c r="J4890" s="174"/>
      <c r="K4890" s="132"/>
      <c r="L4890" s="133"/>
    </row>
    <row r="4891" spans="1:12" x14ac:dyDescent="0.2">
      <c r="A4891" s="158"/>
      <c r="B4891" s="55"/>
      <c r="C4891" s="71"/>
      <c r="D4891" s="71"/>
      <c r="E4891" s="71"/>
      <c r="F4891" s="71"/>
      <c r="G4891" s="71"/>
      <c r="H4891" s="71"/>
      <c r="I4891" s="71"/>
      <c r="J4891" s="174"/>
      <c r="K4891" s="132"/>
      <c r="L4891" s="133"/>
    </row>
    <row r="4892" spans="1:12" x14ac:dyDescent="0.2">
      <c r="A4892" s="158"/>
      <c r="B4892" s="55"/>
      <c r="C4892" s="71"/>
      <c r="D4892" s="71"/>
      <c r="E4892" s="71"/>
      <c r="F4892" s="71"/>
      <c r="G4892" s="71"/>
      <c r="H4892" s="71"/>
      <c r="I4892" s="71"/>
      <c r="J4892" s="174"/>
      <c r="K4892" s="132"/>
      <c r="L4892" s="133"/>
    </row>
    <row r="4893" spans="1:12" x14ac:dyDescent="0.2">
      <c r="A4893" s="158"/>
      <c r="B4893" s="55"/>
      <c r="C4893" s="71"/>
      <c r="D4893" s="71"/>
      <c r="E4893" s="71"/>
      <c r="F4893" s="71"/>
      <c r="G4893" s="71"/>
      <c r="H4893" s="71"/>
      <c r="I4893" s="71"/>
      <c r="J4893" s="174"/>
      <c r="K4893" s="132"/>
      <c r="L4893" s="133"/>
    </row>
    <row r="4894" spans="1:12" x14ac:dyDescent="0.2">
      <c r="A4894" s="158"/>
      <c r="B4894" s="55"/>
      <c r="C4894" s="71"/>
      <c r="D4894" s="71"/>
      <c r="E4894" s="71"/>
      <c r="F4894" s="71"/>
      <c r="G4894" s="71"/>
      <c r="H4894" s="71"/>
      <c r="I4894" s="71"/>
      <c r="J4894" s="174"/>
      <c r="K4894" s="132"/>
      <c r="L4894" s="133"/>
    </row>
    <row r="4895" spans="1:12" x14ac:dyDescent="0.2">
      <c r="A4895" s="158"/>
      <c r="B4895" s="55"/>
      <c r="C4895" s="71"/>
      <c r="D4895" s="71"/>
      <c r="E4895" s="71"/>
      <c r="F4895" s="71"/>
      <c r="G4895" s="71"/>
      <c r="H4895" s="71"/>
      <c r="I4895" s="71"/>
      <c r="J4895" s="174"/>
      <c r="K4895" s="132"/>
      <c r="L4895" s="133"/>
    </row>
    <row r="4896" spans="1:12" x14ac:dyDescent="0.2">
      <c r="A4896" s="158"/>
      <c r="B4896" s="55"/>
      <c r="C4896" s="175"/>
      <c r="D4896" s="175"/>
      <c r="E4896" s="172"/>
      <c r="F4896" s="172"/>
      <c r="G4896" s="172"/>
      <c r="H4896" s="172"/>
      <c r="I4896" s="172"/>
      <c r="J4896" s="173"/>
      <c r="K4896" s="132"/>
      <c r="L4896" s="133"/>
    </row>
    <row r="4897" spans="1:14" x14ac:dyDescent="0.2">
      <c r="A4897" s="158"/>
      <c r="B4897" s="55"/>
      <c r="C4897" s="175"/>
      <c r="D4897" s="175"/>
      <c r="E4897" s="172"/>
      <c r="F4897" s="172"/>
      <c r="G4897" s="172"/>
      <c r="H4897" s="172"/>
      <c r="I4897" s="172"/>
      <c r="J4897" s="173"/>
      <c r="K4897" s="132"/>
      <c r="L4897" s="133"/>
    </row>
    <row r="4898" spans="1:14" x14ac:dyDescent="0.2">
      <c r="A4898" s="158"/>
      <c r="B4898" s="55"/>
      <c r="C4898" s="175"/>
      <c r="D4898" s="175"/>
      <c r="E4898" s="172"/>
      <c r="F4898" s="172"/>
      <c r="G4898" s="172"/>
      <c r="H4898" s="172"/>
      <c r="I4898" s="172"/>
      <c r="J4898" s="173"/>
      <c r="K4898" s="132"/>
      <c r="L4898" s="133"/>
    </row>
    <row r="4899" spans="1:14" x14ac:dyDescent="0.2">
      <c r="A4899" s="158"/>
      <c r="B4899" s="55"/>
      <c r="C4899" s="175"/>
      <c r="D4899" s="175"/>
      <c r="E4899" s="175"/>
      <c r="F4899" s="175"/>
      <c r="G4899" s="175"/>
      <c r="H4899" s="175"/>
      <c r="I4899" s="175"/>
      <c r="J4899" s="176"/>
      <c r="K4899" s="132"/>
      <c r="L4899" s="133"/>
    </row>
    <row r="4900" spans="1:14" x14ac:dyDescent="0.2">
      <c r="A4900" s="158"/>
      <c r="B4900" s="55"/>
      <c r="C4900" s="175"/>
      <c r="D4900" s="175"/>
      <c r="E4900" s="175"/>
      <c r="F4900" s="175"/>
      <c r="G4900" s="175"/>
      <c r="H4900" s="175"/>
      <c r="I4900" s="175"/>
      <c r="J4900" s="176"/>
      <c r="K4900" s="132"/>
      <c r="L4900" s="133"/>
    </row>
    <row r="4901" spans="1:14" ht="13.5" thickBot="1" x14ac:dyDescent="0.25">
      <c r="A4901" s="149"/>
      <c r="B4901" s="167"/>
      <c r="C4901" s="151"/>
      <c r="D4901" s="151"/>
      <c r="E4901" s="151"/>
      <c r="F4901" s="151"/>
      <c r="G4901" s="151"/>
      <c r="H4901" s="151"/>
      <c r="I4901" s="151"/>
      <c r="J4901" s="168"/>
      <c r="K4901" s="132"/>
      <c r="L4901" s="133"/>
    </row>
    <row r="4902" spans="1:14" ht="15.75" x14ac:dyDescent="0.2">
      <c r="A4902" s="602" t="s">
        <v>4</v>
      </c>
      <c r="B4902" s="603"/>
      <c r="C4902" s="603" t="str">
        <f>'A IV.A'!$B$155</f>
        <v>SERVIÇOS COMPLEMENTARES - ITEM 12.0 DO TERMO DE REFERÊNCIA</v>
      </c>
      <c r="D4902" s="603"/>
      <c r="E4902" s="603"/>
      <c r="F4902" s="603"/>
      <c r="G4902" s="603"/>
      <c r="H4902" s="603"/>
      <c r="I4902" s="603"/>
      <c r="J4902" s="604"/>
      <c r="K4902" s="132"/>
      <c r="L4902" s="133"/>
    </row>
    <row r="4903" spans="1:14" x14ac:dyDescent="0.2">
      <c r="A4903" s="609" t="str">
        <f>'A IV.A'!$A$155</f>
        <v>7.0</v>
      </c>
      <c r="B4903" s="610"/>
      <c r="C4903" s="605"/>
      <c r="D4903" s="605"/>
      <c r="E4903" s="605"/>
      <c r="F4903" s="605"/>
      <c r="G4903" s="605"/>
      <c r="H4903" s="605"/>
      <c r="I4903" s="605"/>
      <c r="J4903" s="606"/>
      <c r="K4903" s="132"/>
      <c r="L4903" s="133"/>
    </row>
    <row r="4904" spans="1:14" ht="13.5" thickBot="1" x14ac:dyDescent="0.25">
      <c r="A4904" s="611"/>
      <c r="B4904" s="612"/>
      <c r="C4904" s="607"/>
      <c r="D4904" s="607"/>
      <c r="E4904" s="607"/>
      <c r="F4904" s="607"/>
      <c r="G4904" s="607"/>
      <c r="H4904" s="607"/>
      <c r="I4904" s="607"/>
      <c r="J4904" s="608"/>
      <c r="K4904" s="132"/>
      <c r="L4904" s="133"/>
    </row>
    <row r="4905" spans="1:14" ht="13.5" thickBot="1" x14ac:dyDescent="0.25">
      <c r="A4905" s="169"/>
      <c r="B4905" s="169"/>
      <c r="C4905" s="613"/>
      <c r="D4905" s="613"/>
      <c r="E4905" s="613"/>
      <c r="F4905" s="613"/>
      <c r="G4905" s="613"/>
      <c r="H4905" s="613"/>
      <c r="I4905" s="613"/>
      <c r="J4905" s="169"/>
      <c r="K4905" s="132"/>
      <c r="L4905" s="133"/>
    </row>
    <row r="4906" spans="1:14" ht="13.5" thickBot="1" x14ac:dyDescent="0.25">
      <c r="A4906" s="669" t="s">
        <v>60</v>
      </c>
      <c r="B4906" s="670"/>
      <c r="C4906" s="678" t="s">
        <v>61</v>
      </c>
      <c r="D4906" s="678"/>
      <c r="E4906" s="678"/>
      <c r="F4906" s="678"/>
      <c r="G4906" s="678"/>
      <c r="H4906" s="678"/>
      <c r="I4906" s="678"/>
      <c r="J4906" s="135" t="s">
        <v>0</v>
      </c>
      <c r="K4906" s="132"/>
      <c r="L4906" s="133"/>
    </row>
    <row r="4907" spans="1:14" x14ac:dyDescent="0.2">
      <c r="A4907" s="136"/>
      <c r="B4907" s="137"/>
      <c r="C4907" s="619"/>
      <c r="D4907" s="620"/>
      <c r="E4907" s="621"/>
      <c r="F4907" s="621"/>
      <c r="G4907" s="621"/>
      <c r="H4907" s="621"/>
      <c r="I4907" s="622"/>
      <c r="J4907" s="138"/>
      <c r="K4907" s="132"/>
      <c r="L4907" s="133"/>
    </row>
    <row r="4908" spans="1:14" x14ac:dyDescent="0.2">
      <c r="A4908" s="623" t="str">
        <f>'A IV.A'!A157</f>
        <v>7.1</v>
      </c>
      <c r="B4908" s="624"/>
      <c r="C4908" s="626" t="str">
        <f>'A IV.A'!B157</f>
        <v>FORNECIMENTO E INSTALAÇÃO DE LONA PLASTICA PRETA PARA IMPERMEABILIZAÇÃO</v>
      </c>
      <c r="D4908" s="627"/>
      <c r="E4908" s="627"/>
      <c r="F4908" s="627"/>
      <c r="G4908" s="627"/>
      <c r="H4908" s="627"/>
      <c r="I4908" s="628"/>
      <c r="J4908" s="668" t="str">
        <f>'A IV.A'!C157</f>
        <v>M2</v>
      </c>
      <c r="K4908" s="630" t="str">
        <f>VLOOKUP(A4908,'A IV.A'!$A$14:$M$233,2,FALSE)</f>
        <v>FORNECIMENTO E INSTALAÇÃO DE LONA PLASTICA PRETA PARA IMPERMEABILIZAÇÃO</v>
      </c>
      <c r="L4908" s="631" t="str">
        <f>IF(C4908=K4908,"sim","nao")</f>
        <v>sim</v>
      </c>
      <c r="M4908" s="631" t="str">
        <f>VLOOKUP(A4908,'A IV.A'!$A$14:$M$233,3,FALSE)</f>
        <v>M2</v>
      </c>
      <c r="N4908" s="631" t="str">
        <f>IF(J4908=M4908,"sim","nao")</f>
        <v>sim</v>
      </c>
    </row>
    <row r="4909" spans="1:14" x14ac:dyDescent="0.2">
      <c r="A4909" s="625"/>
      <c r="B4909" s="624"/>
      <c r="C4909" s="626"/>
      <c r="D4909" s="627"/>
      <c r="E4909" s="627"/>
      <c r="F4909" s="627"/>
      <c r="G4909" s="627"/>
      <c r="H4909" s="627"/>
      <c r="I4909" s="628"/>
      <c r="J4909" s="629"/>
      <c r="K4909" s="630"/>
      <c r="L4909" s="631"/>
      <c r="M4909" s="631"/>
      <c r="N4909" s="631"/>
    </row>
    <row r="4910" spans="1:14" x14ac:dyDescent="0.2">
      <c r="A4910" s="139"/>
      <c r="B4910" s="140"/>
      <c r="C4910" s="141"/>
      <c r="D4910" s="142"/>
      <c r="E4910" s="142"/>
      <c r="F4910" s="142"/>
      <c r="G4910" s="142"/>
      <c r="H4910" s="142"/>
      <c r="I4910" s="143"/>
      <c r="J4910" s="144"/>
      <c r="K4910" s="132"/>
      <c r="L4910" s="133"/>
    </row>
    <row r="4911" spans="1:14" x14ac:dyDescent="0.2">
      <c r="A4911" s="199"/>
      <c r="B4911" s="188"/>
      <c r="C4911" s="189"/>
      <c r="D4911" s="165"/>
      <c r="E4911" s="165"/>
      <c r="F4911" s="165"/>
      <c r="G4911" s="165"/>
      <c r="H4911" s="165"/>
      <c r="I4911" s="190"/>
      <c r="J4911" s="191"/>
      <c r="K4911" s="192"/>
      <c r="L4911" s="55"/>
      <c r="M4911" s="55"/>
      <c r="N4911" s="55"/>
    </row>
    <row r="4912" spans="1:14" x14ac:dyDescent="0.2">
      <c r="A4912" s="158"/>
      <c r="B4912" s="188"/>
      <c r="C4912" s="189"/>
      <c r="D4912" s="165"/>
      <c r="E4912" s="165"/>
      <c r="F4912" s="165"/>
      <c r="G4912" s="165"/>
      <c r="H4912" s="165"/>
      <c r="I4912" s="190"/>
      <c r="J4912" s="191"/>
      <c r="K4912" s="192"/>
      <c r="L4912" s="55"/>
      <c r="M4912" s="55"/>
      <c r="N4912" s="55"/>
    </row>
    <row r="4913" spans="1:14" x14ac:dyDescent="0.2">
      <c r="A4913" s="145"/>
      <c r="B4913" s="146"/>
      <c r="C4913" s="147"/>
      <c r="D4913" s="147"/>
      <c r="E4913" s="147"/>
      <c r="F4913" s="147"/>
      <c r="G4913" s="147"/>
      <c r="H4913" s="147"/>
      <c r="I4913" s="147"/>
      <c r="J4913" s="148"/>
      <c r="K4913" s="132"/>
      <c r="L4913" s="133"/>
    </row>
    <row r="4914" spans="1:14" x14ac:dyDescent="0.2">
      <c r="A4914" s="199"/>
      <c r="B4914" s="188"/>
      <c r="C4914" s="189"/>
      <c r="D4914" s="165"/>
      <c r="E4914" s="165"/>
      <c r="F4914" s="165"/>
      <c r="G4914" s="165"/>
      <c r="H4914" s="165"/>
      <c r="I4914" s="190"/>
      <c r="J4914" s="191"/>
      <c r="K4914" s="192"/>
      <c r="L4914" s="55"/>
      <c r="M4914" s="55"/>
      <c r="N4914" s="55"/>
    </row>
    <row r="4915" spans="1:14" x14ac:dyDescent="0.2">
      <c r="A4915" s="158"/>
      <c r="B4915" s="188"/>
      <c r="C4915" s="189"/>
      <c r="D4915" s="165"/>
      <c r="E4915" s="165"/>
      <c r="F4915" s="165"/>
      <c r="G4915" s="165"/>
      <c r="H4915" s="165"/>
      <c r="I4915" s="190"/>
      <c r="J4915" s="191"/>
      <c r="K4915" s="192"/>
      <c r="L4915" s="55"/>
      <c r="M4915" s="55"/>
      <c r="N4915" s="55"/>
    </row>
    <row r="4916" spans="1:14" x14ac:dyDescent="0.2">
      <c r="A4916" s="145"/>
      <c r="B4916" s="146"/>
      <c r="C4916" s="147"/>
      <c r="D4916" s="147"/>
      <c r="E4916" s="147"/>
      <c r="F4916" s="147"/>
      <c r="G4916" s="147"/>
      <c r="H4916" s="147"/>
      <c r="I4916" s="147"/>
      <c r="J4916" s="148"/>
      <c r="K4916" s="132"/>
      <c r="L4916" s="133"/>
    </row>
    <row r="4917" spans="1:14" x14ac:dyDescent="0.2">
      <c r="A4917" s="199"/>
      <c r="B4917" s="188"/>
      <c r="C4917" s="189"/>
      <c r="D4917" s="165"/>
      <c r="E4917" s="165"/>
      <c r="F4917" s="165"/>
      <c r="G4917" s="165"/>
      <c r="H4917" s="165"/>
      <c r="I4917" s="190"/>
      <c r="J4917" s="191"/>
      <c r="K4917" s="192"/>
      <c r="L4917" s="55"/>
      <c r="M4917" s="55"/>
      <c r="N4917" s="55"/>
    </row>
    <row r="4918" spans="1:14" x14ac:dyDescent="0.2">
      <c r="A4918" s="158"/>
      <c r="B4918" s="188"/>
      <c r="C4918" s="189"/>
      <c r="D4918" s="165"/>
      <c r="E4918" s="165"/>
      <c r="F4918" s="165"/>
      <c r="G4918" s="165"/>
      <c r="H4918" s="165"/>
      <c r="I4918" s="190"/>
      <c r="J4918" s="191"/>
      <c r="K4918" s="192"/>
      <c r="L4918" s="55"/>
      <c r="M4918" s="55"/>
      <c r="N4918" s="55"/>
    </row>
    <row r="4919" spans="1:14" x14ac:dyDescent="0.2">
      <c r="A4919" s="145"/>
      <c r="B4919" s="146"/>
      <c r="C4919" s="147"/>
      <c r="D4919" s="147"/>
      <c r="E4919" s="147"/>
      <c r="F4919" s="147"/>
      <c r="G4919" s="147"/>
      <c r="H4919" s="147"/>
      <c r="I4919" s="147"/>
      <c r="J4919" s="148"/>
      <c r="K4919" s="132"/>
      <c r="L4919" s="133"/>
    </row>
    <row r="4920" spans="1:14" x14ac:dyDescent="0.2">
      <c r="A4920" s="199"/>
      <c r="B4920" s="188"/>
      <c r="C4920" s="189"/>
      <c r="D4920" s="165"/>
      <c r="E4920" s="165"/>
      <c r="F4920" s="165"/>
      <c r="G4920" s="165"/>
      <c r="H4920" s="165"/>
      <c r="I4920" s="190"/>
      <c r="J4920" s="191"/>
      <c r="K4920" s="192"/>
      <c r="L4920" s="55"/>
      <c r="M4920" s="55"/>
      <c r="N4920" s="55"/>
    </row>
    <row r="4921" spans="1:14" x14ac:dyDescent="0.2">
      <c r="A4921" s="158"/>
      <c r="B4921" s="188"/>
      <c r="C4921" s="189"/>
      <c r="D4921" s="165"/>
      <c r="E4921" s="165"/>
      <c r="F4921" s="165"/>
      <c r="G4921" s="165"/>
      <c r="H4921" s="165"/>
      <c r="I4921" s="190"/>
      <c r="J4921" s="191"/>
      <c r="K4921" s="192"/>
      <c r="L4921" s="55"/>
      <c r="M4921" s="55"/>
      <c r="N4921" s="55"/>
    </row>
    <row r="4922" spans="1:14" x14ac:dyDescent="0.2">
      <c r="A4922" s="145"/>
      <c r="B4922" s="146"/>
      <c r="C4922" s="147"/>
      <c r="D4922" s="147"/>
      <c r="E4922" s="147"/>
      <c r="F4922" s="147"/>
      <c r="G4922" s="147"/>
      <c r="H4922" s="147"/>
      <c r="I4922" s="147"/>
      <c r="J4922" s="148"/>
      <c r="K4922" s="132"/>
      <c r="L4922" s="133"/>
    </row>
    <row r="4923" spans="1:14" x14ac:dyDescent="0.2">
      <c r="A4923" s="199"/>
      <c r="B4923" s="188"/>
      <c r="C4923" s="189"/>
      <c r="D4923" s="165"/>
      <c r="E4923" s="165"/>
      <c r="F4923" s="165"/>
      <c r="G4923" s="165"/>
      <c r="H4923" s="165"/>
      <c r="I4923" s="190"/>
      <c r="J4923" s="191"/>
      <c r="K4923" s="192"/>
      <c r="L4923" s="55"/>
      <c r="M4923" s="55"/>
      <c r="N4923" s="55"/>
    </row>
    <row r="4924" spans="1:14" x14ac:dyDescent="0.2">
      <c r="A4924" s="158"/>
      <c r="B4924" s="188"/>
      <c r="C4924" s="189"/>
      <c r="D4924" s="165"/>
      <c r="E4924" s="165"/>
      <c r="F4924" s="165"/>
      <c r="G4924" s="165"/>
      <c r="H4924" s="165"/>
      <c r="I4924" s="190"/>
      <c r="J4924" s="191"/>
      <c r="K4924" s="192"/>
      <c r="L4924" s="55"/>
      <c r="M4924" s="55"/>
      <c r="N4924" s="55"/>
    </row>
    <row r="4925" spans="1:14" x14ac:dyDescent="0.2">
      <c r="A4925" s="145"/>
      <c r="B4925" s="146"/>
      <c r="C4925" s="147"/>
      <c r="D4925" s="147"/>
      <c r="E4925" s="147"/>
      <c r="F4925" s="147"/>
      <c r="G4925" s="147"/>
      <c r="H4925" s="147"/>
      <c r="I4925" s="147"/>
      <c r="J4925" s="148"/>
      <c r="K4925" s="132"/>
      <c r="L4925" s="133"/>
    </row>
    <row r="4926" spans="1:14" x14ac:dyDescent="0.2">
      <c r="A4926" s="199"/>
      <c r="B4926" s="188"/>
      <c r="C4926" s="189"/>
      <c r="D4926" s="165"/>
      <c r="E4926" s="165"/>
      <c r="F4926" s="165"/>
      <c r="G4926" s="165"/>
      <c r="H4926" s="165"/>
      <c r="I4926" s="190"/>
      <c r="J4926" s="191"/>
      <c r="K4926" s="192"/>
      <c r="L4926" s="55"/>
      <c r="M4926" s="55"/>
      <c r="N4926" s="55"/>
    </row>
    <row r="4927" spans="1:14" x14ac:dyDescent="0.2">
      <c r="A4927" s="158"/>
      <c r="B4927" s="188"/>
      <c r="C4927" s="189"/>
      <c r="D4927" s="165"/>
      <c r="E4927" s="165"/>
      <c r="F4927" s="165"/>
      <c r="G4927" s="165"/>
      <c r="H4927" s="165"/>
      <c r="I4927" s="190"/>
      <c r="J4927" s="191"/>
      <c r="K4927" s="192"/>
      <c r="L4927" s="55"/>
      <c r="M4927" s="55"/>
      <c r="N4927" s="55"/>
    </row>
    <row r="4928" spans="1:14" x14ac:dyDescent="0.2">
      <c r="A4928" s="145"/>
      <c r="B4928" s="146"/>
      <c r="C4928" s="147"/>
      <c r="D4928" s="147"/>
      <c r="E4928" s="147"/>
      <c r="F4928" s="147"/>
      <c r="G4928" s="147"/>
      <c r="H4928" s="147"/>
      <c r="I4928" s="147"/>
      <c r="J4928" s="148"/>
      <c r="K4928" s="132"/>
      <c r="L4928" s="133"/>
    </row>
    <row r="4929" spans="1:12" ht="13.5" thickBot="1" x14ac:dyDescent="0.25">
      <c r="A4929" s="149"/>
      <c r="B4929" s="150"/>
      <c r="C4929" s="151"/>
      <c r="D4929" s="151"/>
      <c r="E4929" s="151"/>
      <c r="F4929" s="151"/>
      <c r="G4929" s="151"/>
      <c r="H4929" s="151"/>
      <c r="I4929" s="151"/>
      <c r="J4929" s="152"/>
      <c r="K4929" s="132"/>
      <c r="L4929" s="133"/>
    </row>
    <row r="4930" spans="1:12" ht="13.5" thickBot="1" x14ac:dyDescent="0.25">
      <c r="A4930" s="153"/>
      <c r="B4930" s="153"/>
      <c r="C4930" s="154"/>
      <c r="D4930" s="154"/>
      <c r="E4930" s="154"/>
      <c r="F4930" s="154"/>
      <c r="G4930" s="154"/>
      <c r="H4930" s="154"/>
      <c r="I4930" s="154"/>
      <c r="J4930" s="153"/>
      <c r="K4930" s="132"/>
      <c r="L4930" s="133"/>
    </row>
    <row r="4931" spans="1:12" ht="13.5" thickBot="1" x14ac:dyDescent="0.25">
      <c r="A4931" s="614" t="s">
        <v>62</v>
      </c>
      <c r="B4931" s="648"/>
      <c r="C4931" s="648"/>
      <c r="D4931" s="648"/>
      <c r="E4931" s="648"/>
      <c r="F4931" s="648"/>
      <c r="G4931" s="648"/>
      <c r="H4931" s="648"/>
      <c r="I4931" s="648"/>
      <c r="J4931" s="649"/>
      <c r="K4931" s="132"/>
      <c r="L4931" s="133"/>
    </row>
    <row r="4932" spans="1:12" x14ac:dyDescent="0.2">
      <c r="A4932" s="136"/>
      <c r="B4932" s="155"/>
      <c r="C4932" s="156"/>
      <c r="D4932" s="156"/>
      <c r="E4932" s="156"/>
      <c r="F4932" s="156"/>
      <c r="G4932" s="156"/>
      <c r="H4932" s="156"/>
      <c r="I4932" s="156"/>
      <c r="J4932" s="157"/>
      <c r="K4932" s="132"/>
      <c r="L4932" s="133"/>
    </row>
    <row r="4933" spans="1:12" ht="12.75" customHeight="1" x14ac:dyDescent="0.2">
      <c r="A4933" s="158" t="s">
        <v>63</v>
      </c>
      <c r="B4933" s="202"/>
      <c r="C4933" s="652" t="s">
        <v>519</v>
      </c>
      <c r="D4933" s="652"/>
      <c r="E4933" s="652"/>
      <c r="F4933" s="652"/>
      <c r="G4933" s="652"/>
      <c r="H4933" s="652"/>
      <c r="I4933" s="652"/>
      <c r="J4933" s="653"/>
      <c r="K4933" s="132"/>
      <c r="L4933" s="133"/>
    </row>
    <row r="4934" spans="1:12" x14ac:dyDescent="0.2">
      <c r="A4934" s="257"/>
      <c r="B4934" s="202"/>
      <c r="C4934" s="652"/>
      <c r="D4934" s="652"/>
      <c r="E4934" s="652"/>
      <c r="F4934" s="652"/>
      <c r="G4934" s="652"/>
      <c r="H4934" s="652"/>
      <c r="I4934" s="652"/>
      <c r="J4934" s="653"/>
      <c r="K4934" s="132"/>
      <c r="L4934" s="133"/>
    </row>
    <row r="4935" spans="1:12" x14ac:dyDescent="0.2">
      <c r="A4935" s="257"/>
      <c r="B4935" s="202"/>
      <c r="C4935" s="652"/>
      <c r="D4935" s="652"/>
      <c r="E4935" s="652"/>
      <c r="F4935" s="652"/>
      <c r="G4935" s="652"/>
      <c r="H4935" s="652"/>
      <c r="I4935" s="652"/>
      <c r="J4935" s="653"/>
      <c r="K4935" s="132"/>
      <c r="L4935" s="133"/>
    </row>
    <row r="4936" spans="1:12" ht="12.75" customHeight="1" x14ac:dyDescent="0.2">
      <c r="A4936" s="158"/>
      <c r="B4936" s="55"/>
      <c r="C4936" s="159"/>
      <c r="D4936" s="159"/>
      <c r="E4936" s="159"/>
      <c r="F4936" s="159"/>
      <c r="G4936" s="159"/>
      <c r="H4936" s="159"/>
      <c r="I4936" s="159"/>
      <c r="J4936" s="160"/>
      <c r="K4936" s="132"/>
      <c r="L4936" s="133"/>
    </row>
    <row r="4937" spans="1:12" x14ac:dyDescent="0.2">
      <c r="A4937" s="598" t="s">
        <v>64</v>
      </c>
      <c r="B4937" s="638"/>
      <c r="C4937" s="675" t="s">
        <v>517</v>
      </c>
      <c r="D4937" s="675"/>
      <c r="E4937" s="675"/>
      <c r="F4937" s="675"/>
      <c r="G4937" s="675"/>
      <c r="H4937" s="675"/>
      <c r="I4937" s="675"/>
      <c r="J4937" s="676"/>
      <c r="K4937" s="132"/>
      <c r="L4937" s="133"/>
    </row>
    <row r="4938" spans="1:12" x14ac:dyDescent="0.2">
      <c r="A4938" s="158"/>
      <c r="B4938" s="55"/>
      <c r="C4938" s="159"/>
      <c r="D4938" s="159"/>
      <c r="E4938" s="159"/>
      <c r="F4938" s="159"/>
      <c r="G4938" s="159"/>
      <c r="H4938" s="159"/>
      <c r="I4938" s="159"/>
      <c r="J4938" s="160"/>
      <c r="K4938" s="132"/>
      <c r="L4938" s="133"/>
    </row>
    <row r="4939" spans="1:12" x14ac:dyDescent="0.2">
      <c r="A4939" s="158"/>
      <c r="B4939" s="55"/>
      <c r="C4939" s="159"/>
      <c r="D4939" s="159"/>
      <c r="E4939" s="159"/>
      <c r="F4939" s="159"/>
      <c r="G4939" s="159"/>
      <c r="H4939" s="159"/>
      <c r="I4939" s="159"/>
      <c r="J4939" s="160"/>
      <c r="K4939" s="132"/>
      <c r="L4939" s="133"/>
    </row>
    <row r="4940" spans="1:12" x14ac:dyDescent="0.2">
      <c r="A4940" s="158"/>
      <c r="B4940" s="55"/>
      <c r="C4940" s="159"/>
      <c r="D4940" s="159"/>
      <c r="E4940" s="159"/>
      <c r="F4940" s="159"/>
      <c r="G4940" s="159"/>
      <c r="H4940" s="159"/>
      <c r="I4940" s="159"/>
      <c r="J4940" s="160"/>
      <c r="K4940" s="132"/>
      <c r="L4940" s="133"/>
    </row>
    <row r="4941" spans="1:12" x14ac:dyDescent="0.2">
      <c r="A4941" s="158"/>
      <c r="B4941" s="55"/>
      <c r="C4941" s="159"/>
      <c r="D4941" s="159"/>
      <c r="E4941" s="159"/>
      <c r="F4941" s="159"/>
      <c r="G4941" s="159"/>
      <c r="H4941" s="159"/>
      <c r="I4941" s="159"/>
      <c r="J4941" s="160"/>
      <c r="K4941" s="132"/>
      <c r="L4941" s="133"/>
    </row>
    <row r="4942" spans="1:12" x14ac:dyDescent="0.2">
      <c r="A4942" s="158"/>
      <c r="B4942" s="55"/>
      <c r="C4942" s="159"/>
      <c r="D4942" s="159"/>
      <c r="E4942" s="159"/>
      <c r="F4942" s="159"/>
      <c r="G4942" s="159"/>
      <c r="H4942" s="159"/>
      <c r="I4942" s="159"/>
      <c r="J4942" s="160"/>
      <c r="K4942" s="132"/>
      <c r="L4942" s="133"/>
    </row>
    <row r="4943" spans="1:12" x14ac:dyDescent="0.2">
      <c r="A4943" s="158"/>
      <c r="B4943" s="55"/>
      <c r="C4943" s="159"/>
      <c r="D4943" s="159"/>
      <c r="E4943" s="159"/>
      <c r="F4943" s="159"/>
      <c r="G4943" s="159"/>
      <c r="H4943" s="159"/>
      <c r="I4943" s="159"/>
      <c r="J4943" s="160"/>
      <c r="K4943" s="132"/>
      <c r="L4943" s="133"/>
    </row>
    <row r="4944" spans="1:12" x14ac:dyDescent="0.2">
      <c r="A4944" s="158"/>
      <c r="B4944" s="55"/>
      <c r="C4944" s="159"/>
      <c r="D4944" s="159"/>
      <c r="E4944" s="159"/>
      <c r="F4944" s="159"/>
      <c r="G4944" s="159"/>
      <c r="H4944" s="159"/>
      <c r="I4944" s="159"/>
      <c r="J4944" s="160"/>
      <c r="K4944" s="132"/>
      <c r="L4944" s="133"/>
    </row>
    <row r="4945" spans="1:12" x14ac:dyDescent="0.2">
      <c r="A4945" s="158"/>
      <c r="B4945" s="55"/>
      <c r="C4945" s="159"/>
      <c r="D4945" s="159"/>
      <c r="E4945" s="159"/>
      <c r="F4945" s="159"/>
      <c r="G4945" s="159"/>
      <c r="H4945" s="159"/>
      <c r="I4945" s="159"/>
      <c r="J4945" s="160"/>
      <c r="K4945" s="132"/>
      <c r="L4945" s="133"/>
    </row>
    <row r="4946" spans="1:12" x14ac:dyDescent="0.2">
      <c r="A4946" s="158"/>
      <c r="B4946" s="55"/>
      <c r="C4946" s="159"/>
      <c r="D4946" s="159"/>
      <c r="E4946" s="159"/>
      <c r="F4946" s="159"/>
      <c r="G4946" s="159"/>
      <c r="H4946" s="159"/>
      <c r="I4946" s="159"/>
      <c r="J4946" s="160"/>
      <c r="K4946" s="132"/>
      <c r="L4946" s="133"/>
    </row>
    <row r="4947" spans="1:12" ht="12.75" customHeight="1" x14ac:dyDescent="0.2">
      <c r="A4947" s="158"/>
      <c r="B4947" s="55"/>
      <c r="C4947" s="159"/>
      <c r="D4947" s="159"/>
      <c r="E4947" s="159"/>
      <c r="F4947" s="159"/>
      <c r="G4947" s="159"/>
      <c r="H4947" s="159"/>
      <c r="I4947" s="159"/>
      <c r="J4947" s="160"/>
      <c r="K4947" s="132"/>
      <c r="L4947" s="133"/>
    </row>
    <row r="4948" spans="1:12" x14ac:dyDescent="0.2">
      <c r="A4948" s="139"/>
      <c r="B4948" s="56"/>
      <c r="C4948" s="159"/>
      <c r="D4948" s="159"/>
      <c r="E4948" s="159"/>
      <c r="F4948" s="159"/>
      <c r="G4948" s="159"/>
      <c r="H4948" s="159"/>
      <c r="I4948" s="159"/>
      <c r="J4948" s="160"/>
      <c r="K4948" s="132"/>
      <c r="L4948" s="133"/>
    </row>
    <row r="4949" spans="1:12" x14ac:dyDescent="0.2">
      <c r="A4949" s="158"/>
      <c r="B4949" s="55"/>
      <c r="C4949" s="159"/>
      <c r="D4949" s="159"/>
      <c r="E4949" s="159"/>
      <c r="F4949" s="159"/>
      <c r="G4949" s="159"/>
      <c r="H4949" s="159"/>
      <c r="I4949" s="159"/>
      <c r="J4949" s="160"/>
      <c r="K4949" s="132"/>
      <c r="L4949" s="133"/>
    </row>
    <row r="4950" spans="1:12" x14ac:dyDescent="0.2">
      <c r="A4950" s="139"/>
      <c r="B4950" s="56"/>
      <c r="C4950" s="56"/>
      <c r="D4950" s="56"/>
      <c r="E4950" s="56"/>
      <c r="F4950" s="56"/>
      <c r="G4950" s="56"/>
      <c r="H4950" s="56"/>
      <c r="I4950" s="56"/>
      <c r="J4950" s="314"/>
      <c r="K4950" s="132"/>
      <c r="L4950" s="133"/>
    </row>
    <row r="4951" spans="1:12" x14ac:dyDescent="0.2">
      <c r="A4951" s="158"/>
      <c r="B4951" s="55"/>
      <c r="C4951" s="175"/>
      <c r="D4951" s="175"/>
      <c r="E4951" s="172"/>
      <c r="F4951" s="172"/>
      <c r="G4951" s="172"/>
      <c r="H4951" s="172"/>
      <c r="I4951" s="172"/>
      <c r="J4951" s="173"/>
      <c r="K4951" s="132"/>
      <c r="L4951" s="133"/>
    </row>
    <row r="4952" spans="1:12" x14ac:dyDescent="0.2">
      <c r="A4952" s="158"/>
      <c r="B4952" s="55"/>
      <c r="C4952" s="175"/>
      <c r="D4952" s="175"/>
      <c r="E4952" s="172"/>
      <c r="F4952" s="172"/>
      <c r="G4952" s="172"/>
      <c r="H4952" s="172"/>
      <c r="I4952" s="172"/>
      <c r="J4952" s="173"/>
      <c r="K4952" s="132"/>
      <c r="L4952" s="133"/>
    </row>
    <row r="4953" spans="1:12" x14ac:dyDescent="0.2">
      <c r="A4953" s="158"/>
      <c r="B4953" s="55"/>
      <c r="C4953" s="175"/>
      <c r="D4953" s="175"/>
      <c r="E4953" s="172"/>
      <c r="F4953" s="172"/>
      <c r="G4953" s="172"/>
      <c r="H4953" s="172"/>
      <c r="I4953" s="172"/>
      <c r="J4953" s="173"/>
      <c r="K4953" s="132"/>
      <c r="L4953" s="133"/>
    </row>
    <row r="4954" spans="1:12" x14ac:dyDescent="0.2">
      <c r="A4954" s="139"/>
      <c r="B4954" s="56"/>
      <c r="C4954" s="56"/>
      <c r="D4954" s="56"/>
      <c r="E4954" s="56"/>
      <c r="F4954" s="56"/>
      <c r="G4954" s="56"/>
      <c r="H4954" s="56"/>
      <c r="I4954" s="56"/>
      <c r="J4954" s="314"/>
      <c r="K4954" s="132"/>
      <c r="L4954" s="133"/>
    </row>
    <row r="4955" spans="1:12" ht="13.5" thickBot="1" x14ac:dyDescent="0.25">
      <c r="A4955" s="149"/>
      <c r="B4955" s="167"/>
      <c r="C4955" s="151"/>
      <c r="D4955" s="151"/>
      <c r="E4955" s="151"/>
      <c r="F4955" s="151"/>
      <c r="G4955" s="151"/>
      <c r="H4955" s="151"/>
      <c r="I4955" s="151"/>
      <c r="J4955" s="168"/>
      <c r="K4955" s="132"/>
      <c r="L4955" s="133"/>
    </row>
    <row r="4956" spans="1:12" ht="15.75" x14ac:dyDescent="0.2">
      <c r="A4956" s="602" t="s">
        <v>4</v>
      </c>
      <c r="B4956" s="603"/>
      <c r="C4956" s="603" t="str">
        <f>'A IV.A'!$B$155</f>
        <v>SERVIÇOS COMPLEMENTARES - ITEM 12.0 DO TERMO DE REFERÊNCIA</v>
      </c>
      <c r="D4956" s="603"/>
      <c r="E4956" s="603"/>
      <c r="F4956" s="603"/>
      <c r="G4956" s="603"/>
      <c r="H4956" s="603"/>
      <c r="I4956" s="603"/>
      <c r="J4956" s="604"/>
      <c r="K4956" s="132"/>
      <c r="L4956" s="133"/>
    </row>
    <row r="4957" spans="1:12" x14ac:dyDescent="0.2">
      <c r="A4957" s="609" t="str">
        <f>'A IV.A'!$A$155</f>
        <v>7.0</v>
      </c>
      <c r="B4957" s="610"/>
      <c r="C4957" s="605"/>
      <c r="D4957" s="605"/>
      <c r="E4957" s="605"/>
      <c r="F4957" s="605"/>
      <c r="G4957" s="605"/>
      <c r="H4957" s="605"/>
      <c r="I4957" s="605"/>
      <c r="J4957" s="606"/>
      <c r="K4957" s="132"/>
      <c r="L4957" s="133"/>
    </row>
    <row r="4958" spans="1:12" ht="13.5" thickBot="1" x14ac:dyDescent="0.25">
      <c r="A4958" s="611"/>
      <c r="B4958" s="612"/>
      <c r="C4958" s="607"/>
      <c r="D4958" s="607"/>
      <c r="E4958" s="607"/>
      <c r="F4958" s="607"/>
      <c r="G4958" s="607"/>
      <c r="H4958" s="607"/>
      <c r="I4958" s="607"/>
      <c r="J4958" s="608"/>
      <c r="K4958" s="132"/>
      <c r="L4958" s="133"/>
    </row>
    <row r="4959" spans="1:12" ht="13.5" thickBot="1" x14ac:dyDescent="0.25">
      <c r="A4959" s="169"/>
      <c r="B4959" s="169"/>
      <c r="C4959" s="613"/>
      <c r="D4959" s="613"/>
      <c r="E4959" s="613"/>
      <c r="F4959" s="613"/>
      <c r="G4959" s="613"/>
      <c r="H4959" s="613"/>
      <c r="I4959" s="613"/>
      <c r="J4959" s="169"/>
      <c r="K4959" s="132"/>
      <c r="L4959" s="133"/>
    </row>
    <row r="4960" spans="1:12" ht="13.5" thickBot="1" x14ac:dyDescent="0.25">
      <c r="A4960" s="669" t="s">
        <v>60</v>
      </c>
      <c r="B4960" s="670"/>
      <c r="C4960" s="678" t="s">
        <v>61</v>
      </c>
      <c r="D4960" s="678"/>
      <c r="E4960" s="678"/>
      <c r="F4960" s="678"/>
      <c r="G4960" s="678"/>
      <c r="H4960" s="678"/>
      <c r="I4960" s="678"/>
      <c r="J4960" s="135" t="s">
        <v>0</v>
      </c>
      <c r="K4960" s="132"/>
      <c r="L4960" s="133"/>
    </row>
    <row r="4961" spans="1:14" x14ac:dyDescent="0.2">
      <c r="A4961" s="136"/>
      <c r="B4961" s="137"/>
      <c r="C4961" s="619"/>
      <c r="D4961" s="620"/>
      <c r="E4961" s="621"/>
      <c r="F4961" s="621"/>
      <c r="G4961" s="621"/>
      <c r="H4961" s="621"/>
      <c r="I4961" s="622"/>
      <c r="J4961" s="138"/>
      <c r="K4961" s="132"/>
      <c r="L4961" s="133"/>
    </row>
    <row r="4962" spans="1:14" x14ac:dyDescent="0.2">
      <c r="A4962" s="623" t="str">
        <f>'A IV.A'!$A$158</f>
        <v>7.2</v>
      </c>
      <c r="B4962" s="624"/>
      <c r="C4962" s="626" t="str">
        <f>'A IV.A'!$B$158</f>
        <v>FORNECIMENTO E LANÇAMENTO DE ELETRODUTO FLEXÍVEL CORRUGADO REFORÇADO, PVC, DN 25 MM (3/4")</v>
      </c>
      <c r="D4962" s="627"/>
      <c r="E4962" s="627"/>
      <c r="F4962" s="627"/>
      <c r="G4962" s="627"/>
      <c r="H4962" s="627"/>
      <c r="I4962" s="628"/>
      <c r="J4962" s="668" t="str">
        <f>'A IV.A'!$C$158</f>
        <v>M</v>
      </c>
      <c r="K4962" s="630" t="str">
        <f>VLOOKUP(A4962,'A IV.A'!$A$14:$M$233,2,FALSE)</f>
        <v>FORNECIMENTO E LANÇAMENTO DE ELETRODUTO FLEXÍVEL CORRUGADO REFORÇADO, PVC, DN 25 MM (3/4")</v>
      </c>
      <c r="L4962" s="631" t="str">
        <f>IF(C4962=K4962,"sim","nao")</f>
        <v>sim</v>
      </c>
      <c r="M4962" s="631" t="str">
        <f>VLOOKUP(A4962,'A IV.A'!$A$14:$M$233,3,FALSE)</f>
        <v>M</v>
      </c>
      <c r="N4962" s="631" t="str">
        <f>IF(J4962=M4962,"sim","nao")</f>
        <v>sim</v>
      </c>
    </row>
    <row r="4963" spans="1:14" x14ac:dyDescent="0.2">
      <c r="A4963" s="625"/>
      <c r="B4963" s="624"/>
      <c r="C4963" s="626"/>
      <c r="D4963" s="627"/>
      <c r="E4963" s="627"/>
      <c r="F4963" s="627"/>
      <c r="G4963" s="627"/>
      <c r="H4963" s="627"/>
      <c r="I4963" s="628"/>
      <c r="J4963" s="629"/>
      <c r="K4963" s="630"/>
      <c r="L4963" s="631"/>
      <c r="M4963" s="631"/>
      <c r="N4963" s="631"/>
    </row>
    <row r="4964" spans="1:14" x14ac:dyDescent="0.2">
      <c r="A4964" s="139"/>
      <c r="B4964" s="140"/>
      <c r="C4964" s="141"/>
      <c r="D4964" s="142"/>
      <c r="E4964" s="142"/>
      <c r="F4964" s="142"/>
      <c r="G4964" s="142"/>
      <c r="H4964" s="142"/>
      <c r="I4964" s="143"/>
      <c r="J4964" s="144"/>
      <c r="K4964" s="132"/>
      <c r="L4964" s="133"/>
    </row>
    <row r="4965" spans="1:14" x14ac:dyDescent="0.2">
      <c r="A4965" s="623" t="str">
        <f>'A IV.A'!$A$159</f>
        <v>7.3</v>
      </c>
      <c r="B4965" s="624"/>
      <c r="C4965" s="626" t="str">
        <f>'A IV.A'!$B$159</f>
        <v>FORNECIMENTO E LANÇAMENTO DE ELETRODUTO FLEXÍVEL CORRUGADO REFORÇADO, PVC, DN 32 MM (1")</v>
      </c>
      <c r="D4965" s="627"/>
      <c r="E4965" s="627"/>
      <c r="F4965" s="627"/>
      <c r="G4965" s="627"/>
      <c r="H4965" s="627"/>
      <c r="I4965" s="628"/>
      <c r="J4965" s="668" t="str">
        <f>'A IV.A'!$C$159</f>
        <v>M</v>
      </c>
      <c r="K4965" s="630" t="str">
        <f>VLOOKUP(A4965,'A IV.A'!$A$14:$M$233,2,FALSE)</f>
        <v>FORNECIMENTO E LANÇAMENTO DE ELETRODUTO FLEXÍVEL CORRUGADO REFORÇADO, PVC, DN 32 MM (1")</v>
      </c>
      <c r="L4965" s="631" t="str">
        <f>IF(C4965=K4965,"sim","nao")</f>
        <v>sim</v>
      </c>
      <c r="M4965" s="631" t="str">
        <f>VLOOKUP(A4965,'A IV.A'!$A$14:$M$233,3,FALSE)</f>
        <v>M</v>
      </c>
      <c r="N4965" s="631" t="str">
        <f>IF(J4965=M4965,"sim","nao")</f>
        <v>sim</v>
      </c>
    </row>
    <row r="4966" spans="1:14" x14ac:dyDescent="0.2">
      <c r="A4966" s="625"/>
      <c r="B4966" s="624"/>
      <c r="C4966" s="626"/>
      <c r="D4966" s="627"/>
      <c r="E4966" s="627"/>
      <c r="F4966" s="627"/>
      <c r="G4966" s="627"/>
      <c r="H4966" s="627"/>
      <c r="I4966" s="628"/>
      <c r="J4966" s="629"/>
      <c r="K4966" s="630"/>
      <c r="L4966" s="631"/>
      <c r="M4966" s="631"/>
      <c r="N4966" s="631"/>
    </row>
    <row r="4967" spans="1:14" x14ac:dyDescent="0.2">
      <c r="A4967" s="145"/>
      <c r="B4967" s="146"/>
      <c r="C4967" s="147"/>
      <c r="D4967" s="147"/>
      <c r="E4967" s="147"/>
      <c r="F4967" s="147"/>
      <c r="G4967" s="147"/>
      <c r="H4967" s="147"/>
      <c r="I4967" s="147"/>
      <c r="J4967" s="148"/>
      <c r="K4967" s="132"/>
      <c r="L4967" s="133"/>
    </row>
    <row r="4968" spans="1:14" x14ac:dyDescent="0.2">
      <c r="A4968" s="623" t="str">
        <f>'A IV.A'!$A$160</f>
        <v>7.4</v>
      </c>
      <c r="B4968" s="624"/>
      <c r="C4968" s="626" t="str">
        <f>'A IV.A'!$B$160</f>
        <v>FORNECIMENTO E LANÇAMENTO DE ELETRODUTO FLEXÍVEL CORRUGADO, PEAD, DN 50 (1 1/2")</v>
      </c>
      <c r="D4968" s="627"/>
      <c r="E4968" s="627"/>
      <c r="F4968" s="627"/>
      <c r="G4968" s="627"/>
      <c r="H4968" s="627"/>
      <c r="I4968" s="628"/>
      <c r="J4968" s="668" t="str">
        <f>'A IV.A'!$C$160</f>
        <v>M</v>
      </c>
      <c r="K4968" s="630" t="str">
        <f>VLOOKUP(A4968,'A IV.A'!$A$14:$M$233,2,FALSE)</f>
        <v>FORNECIMENTO E LANÇAMENTO DE ELETRODUTO FLEXÍVEL CORRUGADO, PEAD, DN 50 (1 1/2")</v>
      </c>
      <c r="L4968" s="631" t="str">
        <f>IF(C4968=K4968,"sim","nao")</f>
        <v>sim</v>
      </c>
      <c r="M4968" s="631" t="str">
        <f>VLOOKUP(A4968,'A IV.A'!$A$14:$M$233,3,FALSE)</f>
        <v>M</v>
      </c>
      <c r="N4968" s="631" t="str">
        <f>IF(J4968=M4968,"sim","nao")</f>
        <v>sim</v>
      </c>
    </row>
    <row r="4969" spans="1:14" x14ac:dyDescent="0.2">
      <c r="A4969" s="625"/>
      <c r="B4969" s="624"/>
      <c r="C4969" s="626"/>
      <c r="D4969" s="627"/>
      <c r="E4969" s="627"/>
      <c r="F4969" s="627"/>
      <c r="G4969" s="627"/>
      <c r="H4969" s="627"/>
      <c r="I4969" s="628"/>
      <c r="J4969" s="629"/>
      <c r="K4969" s="630"/>
      <c r="L4969" s="631"/>
      <c r="M4969" s="631"/>
      <c r="N4969" s="631"/>
    </row>
    <row r="4970" spans="1:14" x14ac:dyDescent="0.2">
      <c r="A4970" s="145"/>
      <c r="B4970" s="146"/>
      <c r="C4970" s="147"/>
      <c r="D4970" s="147"/>
      <c r="E4970" s="147"/>
      <c r="F4970" s="147"/>
      <c r="G4970" s="147"/>
      <c r="H4970" s="147"/>
      <c r="I4970" s="147"/>
      <c r="J4970" s="148"/>
      <c r="K4970" s="132"/>
      <c r="L4970" s="133"/>
    </row>
    <row r="4971" spans="1:14" x14ac:dyDescent="0.2">
      <c r="A4971" s="623" t="str">
        <f>'A IV.A'!A161</f>
        <v>7.5</v>
      </c>
      <c r="B4971" s="624"/>
      <c r="C4971" s="626" t="str">
        <f>'A IV.A'!B161</f>
        <v>FORNECIMENTO E LANÇAMENTO DE ELETRODUTO FLEXÍVEL CORRUGADO, PEAD, DN 63 (2")</v>
      </c>
      <c r="D4971" s="627"/>
      <c r="E4971" s="627"/>
      <c r="F4971" s="627"/>
      <c r="G4971" s="627"/>
      <c r="H4971" s="627"/>
      <c r="I4971" s="628"/>
      <c r="J4971" s="668" t="str">
        <f>'A IV.A'!C161</f>
        <v>M</v>
      </c>
      <c r="K4971" s="630" t="str">
        <f>VLOOKUP(A4971,'A IV.A'!$A$14:$M$233,2,FALSE)</f>
        <v>FORNECIMENTO E LANÇAMENTO DE ELETRODUTO FLEXÍVEL CORRUGADO, PEAD, DN 63 (2")</v>
      </c>
      <c r="L4971" s="631" t="str">
        <f>IF(C4971=K4971,"sim","nao")</f>
        <v>sim</v>
      </c>
      <c r="M4971" s="631" t="str">
        <f>VLOOKUP(A4971,'A IV.A'!$A$14:$M$233,3,FALSE)</f>
        <v>M</v>
      </c>
      <c r="N4971" s="631" t="str">
        <f>IF(J4971=M4971,"sim","nao")</f>
        <v>sim</v>
      </c>
    </row>
    <row r="4972" spans="1:14" x14ac:dyDescent="0.2">
      <c r="A4972" s="625"/>
      <c r="B4972" s="624"/>
      <c r="C4972" s="626"/>
      <c r="D4972" s="627"/>
      <c r="E4972" s="627"/>
      <c r="F4972" s="627"/>
      <c r="G4972" s="627"/>
      <c r="H4972" s="627"/>
      <c r="I4972" s="628"/>
      <c r="J4972" s="629"/>
      <c r="K4972" s="630"/>
      <c r="L4972" s="631"/>
      <c r="M4972" s="631"/>
      <c r="N4972" s="631"/>
    </row>
    <row r="4973" spans="1:14" x14ac:dyDescent="0.2">
      <c r="A4973" s="145"/>
      <c r="B4973" s="146"/>
      <c r="C4973" s="147"/>
      <c r="D4973" s="147"/>
      <c r="E4973" s="147"/>
      <c r="F4973" s="147"/>
      <c r="G4973" s="147"/>
      <c r="H4973" s="147"/>
      <c r="I4973" s="147"/>
      <c r="J4973" s="148"/>
      <c r="K4973" s="132"/>
      <c r="L4973" s="133"/>
    </row>
    <row r="4974" spans="1:14" x14ac:dyDescent="0.2">
      <c r="A4974" s="199"/>
      <c r="B4974" s="188"/>
      <c r="C4974" s="189"/>
      <c r="D4974" s="165"/>
      <c r="E4974" s="165"/>
      <c r="F4974" s="165"/>
      <c r="G4974" s="165"/>
      <c r="H4974" s="165"/>
      <c r="I4974" s="190"/>
      <c r="J4974" s="191"/>
      <c r="K4974" s="192"/>
      <c r="L4974" s="55"/>
      <c r="M4974" s="55"/>
      <c r="N4974" s="55"/>
    </row>
    <row r="4975" spans="1:14" x14ac:dyDescent="0.2">
      <c r="A4975" s="158"/>
      <c r="B4975" s="188"/>
      <c r="C4975" s="189"/>
      <c r="D4975" s="165"/>
      <c r="E4975" s="165"/>
      <c r="F4975" s="165"/>
      <c r="G4975" s="165"/>
      <c r="H4975" s="165"/>
      <c r="I4975" s="190"/>
      <c r="J4975" s="191"/>
      <c r="K4975" s="192"/>
      <c r="L4975" s="55"/>
      <c r="M4975" s="55"/>
      <c r="N4975" s="55"/>
    </row>
    <row r="4976" spans="1:14" x14ac:dyDescent="0.2">
      <c r="A4976" s="145"/>
      <c r="B4976" s="146"/>
      <c r="C4976" s="147"/>
      <c r="D4976" s="147"/>
      <c r="E4976" s="147"/>
      <c r="F4976" s="147"/>
      <c r="G4976" s="147"/>
      <c r="H4976" s="147"/>
      <c r="I4976" s="147"/>
      <c r="J4976" s="148"/>
      <c r="K4976" s="132"/>
      <c r="L4976" s="133"/>
    </row>
    <row r="4977" spans="1:14" x14ac:dyDescent="0.2">
      <c r="A4977" s="199"/>
      <c r="B4977" s="188"/>
      <c r="C4977" s="189"/>
      <c r="D4977" s="165"/>
      <c r="E4977" s="165"/>
      <c r="F4977" s="165"/>
      <c r="G4977" s="165"/>
      <c r="H4977" s="165"/>
      <c r="I4977" s="190"/>
      <c r="J4977" s="191"/>
      <c r="K4977" s="192"/>
      <c r="L4977" s="55"/>
      <c r="M4977" s="55"/>
      <c r="N4977" s="55"/>
    </row>
    <row r="4978" spans="1:14" x14ac:dyDescent="0.2">
      <c r="A4978" s="158"/>
      <c r="B4978" s="188"/>
      <c r="C4978" s="189"/>
      <c r="D4978" s="165"/>
      <c r="E4978" s="165"/>
      <c r="F4978" s="165"/>
      <c r="G4978" s="165"/>
      <c r="H4978" s="165"/>
      <c r="I4978" s="190"/>
      <c r="J4978" s="191"/>
      <c r="K4978" s="192"/>
      <c r="L4978" s="55"/>
      <c r="M4978" s="55"/>
      <c r="N4978" s="55"/>
    </row>
    <row r="4979" spans="1:14" x14ac:dyDescent="0.2">
      <c r="A4979" s="145"/>
      <c r="B4979" s="146"/>
      <c r="C4979" s="147"/>
      <c r="D4979" s="147"/>
      <c r="E4979" s="147"/>
      <c r="F4979" s="147"/>
      <c r="G4979" s="147"/>
      <c r="H4979" s="147"/>
      <c r="I4979" s="147"/>
      <c r="J4979" s="148"/>
      <c r="K4979" s="132"/>
      <c r="L4979" s="133"/>
    </row>
    <row r="4980" spans="1:14" x14ac:dyDescent="0.2">
      <c r="A4980" s="199"/>
      <c r="B4980" s="188"/>
      <c r="C4980" s="189"/>
      <c r="D4980" s="165"/>
      <c r="E4980" s="165"/>
      <c r="F4980" s="165"/>
      <c r="G4980" s="165"/>
      <c r="H4980" s="165"/>
      <c r="I4980" s="190"/>
      <c r="J4980" s="191"/>
      <c r="K4980" s="192"/>
      <c r="L4980" s="55"/>
      <c r="M4980" s="55"/>
      <c r="N4980" s="55"/>
    </row>
    <row r="4981" spans="1:14" x14ac:dyDescent="0.2">
      <c r="A4981" s="158"/>
      <c r="B4981" s="188"/>
      <c r="C4981" s="189"/>
      <c r="D4981" s="165"/>
      <c r="E4981" s="165"/>
      <c r="F4981" s="165"/>
      <c r="G4981" s="165"/>
      <c r="H4981" s="165"/>
      <c r="I4981" s="190"/>
      <c r="J4981" s="191"/>
      <c r="K4981" s="192"/>
      <c r="L4981" s="55"/>
      <c r="M4981" s="55"/>
      <c r="N4981" s="55"/>
    </row>
    <row r="4982" spans="1:14" x14ac:dyDescent="0.2">
      <c r="A4982" s="145"/>
      <c r="B4982" s="146"/>
      <c r="C4982" s="147"/>
      <c r="D4982" s="147"/>
      <c r="E4982" s="147"/>
      <c r="F4982" s="147"/>
      <c r="G4982" s="147"/>
      <c r="H4982" s="147"/>
      <c r="I4982" s="147"/>
      <c r="J4982" s="148"/>
      <c r="K4982" s="132"/>
      <c r="L4982" s="133"/>
    </row>
    <row r="4983" spans="1:14" ht="13.5" thickBot="1" x14ac:dyDescent="0.25">
      <c r="A4983" s="149"/>
      <c r="B4983" s="150"/>
      <c r="C4983" s="151"/>
      <c r="D4983" s="151"/>
      <c r="E4983" s="151"/>
      <c r="F4983" s="151"/>
      <c r="G4983" s="151"/>
      <c r="H4983" s="151"/>
      <c r="I4983" s="151"/>
      <c r="J4983" s="152"/>
      <c r="K4983" s="132"/>
      <c r="L4983" s="133"/>
    </row>
    <row r="4984" spans="1:14" ht="13.5" thickBot="1" x14ac:dyDescent="0.25">
      <c r="A4984" s="153"/>
      <c r="B4984" s="153"/>
      <c r="C4984" s="154"/>
      <c r="D4984" s="154"/>
      <c r="E4984" s="154"/>
      <c r="F4984" s="154"/>
      <c r="G4984" s="154"/>
      <c r="H4984" s="154"/>
      <c r="I4984" s="154"/>
      <c r="J4984" s="153"/>
      <c r="K4984" s="132"/>
      <c r="L4984" s="133"/>
    </row>
    <row r="4985" spans="1:14" ht="13.5" thickBot="1" x14ac:dyDescent="0.25">
      <c r="A4985" s="614" t="s">
        <v>62</v>
      </c>
      <c r="B4985" s="648"/>
      <c r="C4985" s="648"/>
      <c r="D4985" s="648"/>
      <c r="E4985" s="648"/>
      <c r="F4985" s="648"/>
      <c r="G4985" s="648"/>
      <c r="H4985" s="648"/>
      <c r="I4985" s="648"/>
      <c r="J4985" s="649"/>
      <c r="K4985" s="132"/>
      <c r="L4985" s="133"/>
    </row>
    <row r="4986" spans="1:14" x14ac:dyDescent="0.2">
      <c r="A4986" s="136"/>
      <c r="B4986" s="155"/>
      <c r="C4986" s="156"/>
      <c r="D4986" s="156"/>
      <c r="E4986" s="156"/>
      <c r="F4986" s="156"/>
      <c r="G4986" s="156"/>
      <c r="H4986" s="156"/>
      <c r="I4986" s="156"/>
      <c r="J4986" s="157"/>
      <c r="K4986" s="132"/>
      <c r="L4986" s="133"/>
    </row>
    <row r="4987" spans="1:14" ht="12.75" customHeight="1" x14ac:dyDescent="0.2">
      <c r="A4987" s="158" t="s">
        <v>63</v>
      </c>
      <c r="B4987" s="55"/>
      <c r="C4987" s="652" t="s">
        <v>1031</v>
      </c>
      <c r="D4987" s="652"/>
      <c r="E4987" s="652"/>
      <c r="F4987" s="652"/>
      <c r="G4987" s="652"/>
      <c r="H4987" s="652"/>
      <c r="I4987" s="652"/>
      <c r="J4987" s="653"/>
      <c r="K4987" s="132"/>
      <c r="L4987" s="133"/>
    </row>
    <row r="4988" spans="1:14" x14ac:dyDescent="0.2">
      <c r="A4988" s="158"/>
      <c r="B4988" s="55"/>
      <c r="C4988" s="652"/>
      <c r="D4988" s="652"/>
      <c r="E4988" s="652"/>
      <c r="F4988" s="652"/>
      <c r="G4988" s="652"/>
      <c r="H4988" s="652"/>
      <c r="I4988" s="652"/>
      <c r="J4988" s="653"/>
      <c r="K4988" s="132"/>
      <c r="L4988" s="133"/>
    </row>
    <row r="4989" spans="1:14" x14ac:dyDescent="0.2">
      <c r="A4989" s="158"/>
      <c r="B4989" s="55"/>
      <c r="C4989" s="652"/>
      <c r="D4989" s="652"/>
      <c r="E4989" s="652"/>
      <c r="F4989" s="652"/>
      <c r="G4989" s="652"/>
      <c r="H4989" s="652"/>
      <c r="I4989" s="652"/>
      <c r="J4989" s="653"/>
      <c r="K4989" s="132"/>
      <c r="L4989" s="133"/>
    </row>
    <row r="4990" spans="1:14" ht="12.75" customHeight="1" x14ac:dyDescent="0.2">
      <c r="A4990" s="158"/>
      <c r="B4990" s="55"/>
      <c r="C4990" s="652"/>
      <c r="D4990" s="652"/>
      <c r="E4990" s="652"/>
      <c r="F4990" s="652"/>
      <c r="G4990" s="652"/>
      <c r="H4990" s="652"/>
      <c r="I4990" s="652"/>
      <c r="J4990" s="653"/>
      <c r="K4990" s="132"/>
      <c r="L4990" s="133"/>
    </row>
    <row r="4991" spans="1:14" x14ac:dyDescent="0.2">
      <c r="A4991" s="158"/>
      <c r="B4991" s="55"/>
      <c r="C4991" s="652"/>
      <c r="D4991" s="652"/>
      <c r="E4991" s="652"/>
      <c r="F4991" s="652"/>
      <c r="G4991" s="652"/>
      <c r="H4991" s="652"/>
      <c r="I4991" s="652"/>
      <c r="J4991" s="653"/>
      <c r="K4991" s="132"/>
      <c r="L4991" s="133"/>
    </row>
    <row r="4992" spans="1:14" x14ac:dyDescent="0.2">
      <c r="A4992" s="158"/>
      <c r="B4992" s="55"/>
      <c r="C4992" s="71"/>
      <c r="D4992" s="71"/>
      <c r="E4992" s="71"/>
      <c r="F4992" s="71"/>
      <c r="G4992" s="71"/>
      <c r="H4992" s="71"/>
      <c r="I4992" s="71"/>
      <c r="J4992" s="174"/>
      <c r="K4992" s="132"/>
      <c r="L4992" s="133"/>
    </row>
    <row r="4993" spans="1:12" x14ac:dyDescent="0.2">
      <c r="A4993" s="598" t="s">
        <v>64</v>
      </c>
      <c r="B4993" s="638"/>
      <c r="C4993" s="634" t="s">
        <v>520</v>
      </c>
      <c r="D4993" s="634"/>
      <c r="E4993" s="634"/>
      <c r="F4993" s="634"/>
      <c r="G4993" s="634"/>
      <c r="H4993" s="634"/>
      <c r="I4993" s="634"/>
      <c r="J4993" s="635"/>
      <c r="K4993" s="132"/>
      <c r="L4993" s="133"/>
    </row>
    <row r="4994" spans="1:12" x14ac:dyDescent="0.2">
      <c r="A4994" s="158"/>
      <c r="B4994" s="55"/>
      <c r="C4994" s="71"/>
      <c r="D4994" s="71"/>
      <c r="E4994" s="71"/>
      <c r="F4994" s="71"/>
      <c r="G4994" s="71"/>
      <c r="H4994" s="71"/>
      <c r="I4994" s="71"/>
      <c r="J4994" s="174"/>
      <c r="K4994" s="132"/>
      <c r="L4994" s="133"/>
    </row>
    <row r="4995" spans="1:12" ht="12.75" customHeight="1" x14ac:dyDescent="0.2">
      <c r="A4995" s="598"/>
      <c r="B4995" s="599"/>
      <c r="C4995" s="652"/>
      <c r="D4995" s="652"/>
      <c r="E4995" s="652"/>
      <c r="F4995" s="652"/>
      <c r="G4995" s="652"/>
      <c r="H4995" s="652"/>
      <c r="I4995" s="652"/>
      <c r="J4995" s="653"/>
      <c r="K4995" s="132"/>
      <c r="L4995" s="133"/>
    </row>
    <row r="4996" spans="1:12" x14ac:dyDescent="0.2">
      <c r="A4996" s="158"/>
      <c r="B4996" s="55"/>
      <c r="C4996" s="159"/>
      <c r="D4996" s="159"/>
      <c r="E4996" s="159"/>
      <c r="F4996" s="159"/>
      <c r="G4996" s="159"/>
      <c r="H4996" s="159"/>
      <c r="I4996" s="159"/>
      <c r="J4996" s="160"/>
      <c r="K4996" s="132"/>
      <c r="L4996" s="133"/>
    </row>
    <row r="4997" spans="1:12" x14ac:dyDescent="0.2">
      <c r="A4997" s="158"/>
      <c r="B4997" s="55"/>
      <c r="C4997" s="71"/>
      <c r="D4997" s="71"/>
      <c r="E4997" s="71"/>
      <c r="F4997" s="71"/>
      <c r="G4997" s="71"/>
      <c r="H4997" s="71"/>
      <c r="I4997" s="71"/>
      <c r="J4997" s="174"/>
      <c r="K4997" s="132"/>
      <c r="L4997" s="133"/>
    </row>
    <row r="4998" spans="1:12" x14ac:dyDescent="0.2">
      <c r="A4998" s="158"/>
      <c r="B4998" s="55"/>
      <c r="C4998" s="71"/>
      <c r="D4998" s="71"/>
      <c r="E4998" s="71"/>
      <c r="F4998" s="71"/>
      <c r="G4998" s="71"/>
      <c r="H4998" s="71"/>
      <c r="I4998" s="71"/>
      <c r="J4998" s="174"/>
      <c r="K4998" s="132"/>
      <c r="L4998" s="133"/>
    </row>
    <row r="4999" spans="1:12" x14ac:dyDescent="0.2">
      <c r="A4999" s="158"/>
      <c r="B4999" s="55"/>
      <c r="C4999" s="71"/>
      <c r="D4999" s="71"/>
      <c r="E4999" s="71"/>
      <c r="F4999" s="71"/>
      <c r="G4999" s="71"/>
      <c r="H4999" s="71"/>
      <c r="I4999" s="71"/>
      <c r="J4999" s="174"/>
      <c r="K4999" s="132"/>
      <c r="L4999" s="133"/>
    </row>
    <row r="5000" spans="1:12" x14ac:dyDescent="0.2">
      <c r="A5000" s="158"/>
      <c r="B5000" s="55"/>
      <c r="C5000" s="71"/>
      <c r="D5000" s="71"/>
      <c r="E5000" s="71"/>
      <c r="F5000" s="71"/>
      <c r="G5000" s="71"/>
      <c r="H5000" s="71"/>
      <c r="I5000" s="71"/>
      <c r="J5000" s="174"/>
      <c r="K5000" s="132"/>
      <c r="L5000" s="133"/>
    </row>
    <row r="5001" spans="1:12" x14ac:dyDescent="0.2">
      <c r="A5001" s="158"/>
      <c r="B5001" s="55"/>
      <c r="C5001" s="71"/>
      <c r="D5001" s="71"/>
      <c r="E5001" s="71"/>
      <c r="F5001" s="71"/>
      <c r="G5001" s="71"/>
      <c r="H5001" s="71"/>
      <c r="I5001" s="71"/>
      <c r="J5001" s="174"/>
      <c r="K5001" s="132"/>
      <c r="L5001" s="133"/>
    </row>
    <row r="5002" spans="1:12" x14ac:dyDescent="0.2">
      <c r="A5002" s="158"/>
      <c r="B5002" s="55"/>
      <c r="C5002" s="71"/>
      <c r="D5002" s="71"/>
      <c r="E5002" s="71"/>
      <c r="F5002" s="71"/>
      <c r="G5002" s="71"/>
      <c r="H5002" s="71"/>
      <c r="I5002" s="71"/>
      <c r="J5002" s="174"/>
      <c r="K5002" s="132"/>
      <c r="L5002" s="133"/>
    </row>
    <row r="5003" spans="1:12" x14ac:dyDescent="0.2">
      <c r="A5003" s="158"/>
      <c r="B5003" s="55"/>
      <c r="C5003" s="71"/>
      <c r="D5003" s="71"/>
      <c r="E5003" s="71"/>
      <c r="F5003" s="71"/>
      <c r="G5003" s="71"/>
      <c r="H5003" s="71"/>
      <c r="I5003" s="71"/>
      <c r="J5003" s="174"/>
      <c r="K5003" s="132"/>
      <c r="L5003" s="133"/>
    </row>
    <row r="5004" spans="1:12" x14ac:dyDescent="0.2">
      <c r="A5004" s="158"/>
      <c r="B5004" s="55"/>
      <c r="C5004" s="71"/>
      <c r="D5004" s="71"/>
      <c r="E5004" s="71"/>
      <c r="F5004" s="71"/>
      <c r="G5004" s="71"/>
      <c r="H5004" s="71"/>
      <c r="I5004" s="71"/>
      <c r="J5004" s="174"/>
      <c r="K5004" s="132"/>
      <c r="L5004" s="133"/>
    </row>
    <row r="5005" spans="1:12" x14ac:dyDescent="0.2">
      <c r="A5005" s="158"/>
      <c r="B5005" s="55"/>
      <c r="C5005" s="175"/>
      <c r="D5005" s="175"/>
      <c r="E5005" s="172"/>
      <c r="F5005" s="172"/>
      <c r="G5005" s="172"/>
      <c r="H5005" s="172"/>
      <c r="I5005" s="172"/>
      <c r="J5005" s="173"/>
      <c r="K5005" s="132"/>
      <c r="L5005" s="133"/>
    </row>
    <row r="5006" spans="1:12" x14ac:dyDescent="0.2">
      <c r="A5006" s="158"/>
      <c r="B5006" s="55"/>
      <c r="C5006" s="175"/>
      <c r="D5006" s="175"/>
      <c r="E5006" s="172"/>
      <c r="F5006" s="172"/>
      <c r="G5006" s="172"/>
      <c r="H5006" s="172"/>
      <c r="I5006" s="172"/>
      <c r="J5006" s="173"/>
      <c r="K5006" s="132"/>
      <c r="L5006" s="133"/>
    </row>
    <row r="5007" spans="1:12" x14ac:dyDescent="0.2">
      <c r="A5007" s="158"/>
      <c r="B5007" s="55"/>
      <c r="C5007" s="175"/>
      <c r="D5007" s="175"/>
      <c r="E5007" s="172"/>
      <c r="F5007" s="172"/>
      <c r="G5007" s="172"/>
      <c r="H5007" s="172"/>
      <c r="I5007" s="172"/>
      <c r="J5007" s="173"/>
      <c r="K5007" s="132"/>
      <c r="L5007" s="133"/>
    </row>
    <row r="5008" spans="1:12" ht="13.5" thickBot="1" x14ac:dyDescent="0.25">
      <c r="A5008" s="149"/>
      <c r="B5008" s="167"/>
      <c r="C5008" s="151"/>
      <c r="D5008" s="151"/>
      <c r="E5008" s="151"/>
      <c r="F5008" s="151"/>
      <c r="G5008" s="151"/>
      <c r="H5008" s="151"/>
      <c r="I5008" s="151"/>
      <c r="J5008" s="168"/>
      <c r="K5008" s="132"/>
      <c r="L5008" s="133"/>
    </row>
    <row r="5009" spans="1:14" ht="15.75" x14ac:dyDescent="0.2">
      <c r="A5009" s="602" t="s">
        <v>4</v>
      </c>
      <c r="B5009" s="603"/>
      <c r="C5009" s="603" t="str">
        <f>'A IV.A'!$B$155</f>
        <v>SERVIÇOS COMPLEMENTARES - ITEM 12.0 DO TERMO DE REFERÊNCIA</v>
      </c>
      <c r="D5009" s="603"/>
      <c r="E5009" s="603"/>
      <c r="F5009" s="603"/>
      <c r="G5009" s="603"/>
      <c r="H5009" s="603"/>
      <c r="I5009" s="603"/>
      <c r="J5009" s="604"/>
      <c r="K5009" s="132"/>
      <c r="L5009" s="133"/>
    </row>
    <row r="5010" spans="1:14" x14ac:dyDescent="0.2">
      <c r="A5010" s="609" t="str">
        <f>'A IV.A'!$A$155</f>
        <v>7.0</v>
      </c>
      <c r="B5010" s="610"/>
      <c r="C5010" s="605"/>
      <c r="D5010" s="605"/>
      <c r="E5010" s="605"/>
      <c r="F5010" s="605"/>
      <c r="G5010" s="605"/>
      <c r="H5010" s="605"/>
      <c r="I5010" s="605"/>
      <c r="J5010" s="606"/>
      <c r="K5010" s="132"/>
      <c r="L5010" s="133"/>
    </row>
    <row r="5011" spans="1:14" ht="13.5" thickBot="1" x14ac:dyDescent="0.25">
      <c r="A5011" s="611"/>
      <c r="B5011" s="612"/>
      <c r="C5011" s="607"/>
      <c r="D5011" s="607"/>
      <c r="E5011" s="607"/>
      <c r="F5011" s="607"/>
      <c r="G5011" s="607"/>
      <c r="H5011" s="607"/>
      <c r="I5011" s="607"/>
      <c r="J5011" s="608"/>
      <c r="K5011" s="132"/>
      <c r="L5011" s="133"/>
    </row>
    <row r="5012" spans="1:14" ht="13.5" thickBot="1" x14ac:dyDescent="0.25">
      <c r="A5012" s="169"/>
      <c r="B5012" s="169"/>
      <c r="C5012" s="613"/>
      <c r="D5012" s="613"/>
      <c r="E5012" s="613"/>
      <c r="F5012" s="613"/>
      <c r="G5012" s="613"/>
      <c r="H5012" s="613"/>
      <c r="I5012" s="613"/>
      <c r="J5012" s="169"/>
      <c r="K5012" s="132"/>
      <c r="L5012" s="133"/>
    </row>
    <row r="5013" spans="1:14" ht="13.5" thickBot="1" x14ac:dyDescent="0.25">
      <c r="A5013" s="669" t="s">
        <v>60</v>
      </c>
      <c r="B5013" s="670"/>
      <c r="C5013" s="678" t="s">
        <v>61</v>
      </c>
      <c r="D5013" s="678"/>
      <c r="E5013" s="678"/>
      <c r="F5013" s="678"/>
      <c r="G5013" s="678"/>
      <c r="H5013" s="678"/>
      <c r="I5013" s="678"/>
      <c r="J5013" s="135" t="s">
        <v>0</v>
      </c>
      <c r="K5013" s="132"/>
      <c r="L5013" s="133"/>
    </row>
    <row r="5014" spans="1:14" x14ac:dyDescent="0.2">
      <c r="A5014" s="136"/>
      <c r="B5014" s="137"/>
      <c r="C5014" s="619"/>
      <c r="D5014" s="620"/>
      <c r="E5014" s="621"/>
      <c r="F5014" s="621"/>
      <c r="G5014" s="621"/>
      <c r="H5014" s="621"/>
      <c r="I5014" s="622"/>
      <c r="J5014" s="138"/>
      <c r="K5014" s="132"/>
      <c r="L5014" s="133"/>
    </row>
    <row r="5015" spans="1:14" x14ac:dyDescent="0.2">
      <c r="A5015" s="623" t="str">
        <f>'A IV.A'!A162</f>
        <v>7.6</v>
      </c>
      <c r="B5015" s="624"/>
      <c r="C5015" s="626" t="str">
        <f>'A IV.A'!B162</f>
        <v>FORNECIMENTO E INSTALAÇÃO DE CAIXA RETANGULAR 4"X2", DE EMBUTIR</v>
      </c>
      <c r="D5015" s="627"/>
      <c r="E5015" s="627"/>
      <c r="F5015" s="627"/>
      <c r="G5015" s="627"/>
      <c r="H5015" s="627"/>
      <c r="I5015" s="628"/>
      <c r="J5015" s="668" t="str">
        <f>'A IV.A'!C162</f>
        <v>UN</v>
      </c>
      <c r="K5015" s="630" t="str">
        <f>VLOOKUP(A5015,'A IV.A'!$A$14:$M$233,2,FALSE)</f>
        <v>FORNECIMENTO E INSTALAÇÃO DE CAIXA RETANGULAR 4"X2", DE EMBUTIR</v>
      </c>
      <c r="L5015" s="631" t="str">
        <f>IF(C5015=K5015,"sim","nao")</f>
        <v>sim</v>
      </c>
      <c r="M5015" s="631" t="str">
        <f>VLOOKUP(A5015,'A IV.A'!$A$14:$M$233,3,FALSE)</f>
        <v>UN</v>
      </c>
      <c r="N5015" s="631" t="str">
        <f>IF(J5015=M5015,"sim","nao")</f>
        <v>sim</v>
      </c>
    </row>
    <row r="5016" spans="1:14" x14ac:dyDescent="0.2">
      <c r="A5016" s="625"/>
      <c r="B5016" s="624"/>
      <c r="C5016" s="626"/>
      <c r="D5016" s="627"/>
      <c r="E5016" s="627"/>
      <c r="F5016" s="627"/>
      <c r="G5016" s="627"/>
      <c r="H5016" s="627"/>
      <c r="I5016" s="628"/>
      <c r="J5016" s="629"/>
      <c r="K5016" s="630"/>
      <c r="L5016" s="631"/>
      <c r="M5016" s="631"/>
      <c r="N5016" s="631"/>
    </row>
    <row r="5017" spans="1:14" x14ac:dyDescent="0.2">
      <c r="A5017" s="139"/>
      <c r="B5017" s="140"/>
      <c r="C5017" s="141"/>
      <c r="D5017" s="142"/>
      <c r="E5017" s="142"/>
      <c r="F5017" s="142"/>
      <c r="G5017" s="142"/>
      <c r="H5017" s="142"/>
      <c r="I5017" s="143"/>
      <c r="J5017" s="144"/>
      <c r="K5017" s="132"/>
      <c r="L5017" s="133"/>
    </row>
    <row r="5018" spans="1:14" x14ac:dyDescent="0.2">
      <c r="A5018" s="199"/>
      <c r="B5018" s="188"/>
      <c r="C5018" s="189"/>
      <c r="D5018" s="165"/>
      <c r="E5018" s="165"/>
      <c r="F5018" s="165"/>
      <c r="G5018" s="165"/>
      <c r="H5018" s="165"/>
      <c r="I5018" s="190"/>
      <c r="J5018" s="191"/>
      <c r="K5018" s="192"/>
      <c r="L5018" s="55"/>
      <c r="M5018" s="55"/>
      <c r="N5018" s="55"/>
    </row>
    <row r="5019" spans="1:14" x14ac:dyDescent="0.2">
      <c r="A5019" s="158"/>
      <c r="B5019" s="188"/>
      <c r="C5019" s="189"/>
      <c r="D5019" s="165"/>
      <c r="E5019" s="165"/>
      <c r="F5019" s="165"/>
      <c r="G5019" s="165"/>
      <c r="H5019" s="165"/>
      <c r="I5019" s="190"/>
      <c r="J5019" s="191"/>
      <c r="K5019" s="192"/>
      <c r="L5019" s="55"/>
      <c r="M5019" s="55"/>
      <c r="N5019" s="55"/>
    </row>
    <row r="5020" spans="1:14" x14ac:dyDescent="0.2">
      <c r="A5020" s="145"/>
      <c r="B5020" s="146"/>
      <c r="C5020" s="147"/>
      <c r="D5020" s="147"/>
      <c r="E5020" s="147"/>
      <c r="F5020" s="147"/>
      <c r="G5020" s="147"/>
      <c r="H5020" s="147"/>
      <c r="I5020" s="147"/>
      <c r="J5020" s="148"/>
      <c r="K5020" s="132"/>
      <c r="L5020" s="133"/>
    </row>
    <row r="5021" spans="1:14" x14ac:dyDescent="0.2">
      <c r="A5021" s="199"/>
      <c r="B5021" s="188"/>
      <c r="C5021" s="189"/>
      <c r="D5021" s="165"/>
      <c r="E5021" s="165"/>
      <c r="F5021" s="165"/>
      <c r="G5021" s="165"/>
      <c r="H5021" s="165"/>
      <c r="I5021" s="190"/>
      <c r="J5021" s="191"/>
      <c r="K5021" s="192"/>
      <c r="L5021" s="55"/>
      <c r="M5021" s="55"/>
      <c r="N5021" s="55"/>
    </row>
    <row r="5022" spans="1:14" x14ac:dyDescent="0.2">
      <c r="A5022" s="158"/>
      <c r="B5022" s="188"/>
      <c r="C5022" s="189"/>
      <c r="D5022" s="165"/>
      <c r="E5022" s="165"/>
      <c r="F5022" s="165"/>
      <c r="G5022" s="165"/>
      <c r="H5022" s="165"/>
      <c r="I5022" s="190"/>
      <c r="J5022" s="191"/>
      <c r="K5022" s="192"/>
      <c r="L5022" s="55"/>
      <c r="M5022" s="55"/>
      <c r="N5022" s="55"/>
    </row>
    <row r="5023" spans="1:14" x14ac:dyDescent="0.2">
      <c r="A5023" s="145"/>
      <c r="B5023" s="146"/>
      <c r="C5023" s="147"/>
      <c r="D5023" s="147"/>
      <c r="E5023" s="147"/>
      <c r="F5023" s="147"/>
      <c r="G5023" s="147"/>
      <c r="H5023" s="147"/>
      <c r="I5023" s="147"/>
      <c r="J5023" s="148"/>
      <c r="K5023" s="132"/>
      <c r="L5023" s="133"/>
    </row>
    <row r="5024" spans="1:14" x14ac:dyDescent="0.2">
      <c r="A5024" s="199"/>
      <c r="B5024" s="188"/>
      <c r="C5024" s="189"/>
      <c r="D5024" s="165"/>
      <c r="E5024" s="165"/>
      <c r="F5024" s="165"/>
      <c r="G5024" s="165"/>
      <c r="H5024" s="165"/>
      <c r="I5024" s="190"/>
      <c r="J5024" s="191"/>
      <c r="K5024" s="192"/>
      <c r="L5024" s="55"/>
      <c r="M5024" s="55"/>
      <c r="N5024" s="55"/>
    </row>
    <row r="5025" spans="1:14" x14ac:dyDescent="0.2">
      <c r="A5025" s="158"/>
      <c r="B5025" s="188"/>
      <c r="C5025" s="189"/>
      <c r="D5025" s="165"/>
      <c r="E5025" s="165"/>
      <c r="F5025" s="165"/>
      <c r="G5025" s="165"/>
      <c r="H5025" s="165"/>
      <c r="I5025" s="190"/>
      <c r="J5025" s="191"/>
      <c r="K5025" s="192"/>
      <c r="L5025" s="55"/>
      <c r="M5025" s="55"/>
      <c r="N5025" s="55"/>
    </row>
    <row r="5026" spans="1:14" x14ac:dyDescent="0.2">
      <c r="A5026" s="145"/>
      <c r="B5026" s="146"/>
      <c r="C5026" s="147"/>
      <c r="D5026" s="147"/>
      <c r="E5026" s="147"/>
      <c r="F5026" s="147"/>
      <c r="G5026" s="147"/>
      <c r="H5026" s="147"/>
      <c r="I5026" s="147"/>
      <c r="J5026" s="148"/>
      <c r="K5026" s="132"/>
      <c r="L5026" s="133"/>
    </row>
    <row r="5027" spans="1:14" x14ac:dyDescent="0.2">
      <c r="A5027" s="199"/>
      <c r="B5027" s="188"/>
      <c r="C5027" s="189"/>
      <c r="D5027" s="165"/>
      <c r="E5027" s="165"/>
      <c r="F5027" s="165"/>
      <c r="G5027" s="165"/>
      <c r="H5027" s="165"/>
      <c r="I5027" s="190"/>
      <c r="J5027" s="191"/>
      <c r="K5027" s="192"/>
      <c r="L5027" s="55"/>
      <c r="M5027" s="55"/>
      <c r="N5027" s="55"/>
    </row>
    <row r="5028" spans="1:14" x14ac:dyDescent="0.2">
      <c r="A5028" s="158"/>
      <c r="B5028" s="188"/>
      <c r="C5028" s="189"/>
      <c r="D5028" s="165"/>
      <c r="E5028" s="165"/>
      <c r="F5028" s="165"/>
      <c r="G5028" s="165"/>
      <c r="H5028" s="165"/>
      <c r="I5028" s="190"/>
      <c r="J5028" s="191"/>
      <c r="K5028" s="192"/>
      <c r="L5028" s="55"/>
      <c r="M5028" s="55"/>
      <c r="N5028" s="55"/>
    </row>
    <row r="5029" spans="1:14" x14ac:dyDescent="0.2">
      <c r="A5029" s="145"/>
      <c r="B5029" s="146"/>
      <c r="C5029" s="147"/>
      <c r="D5029" s="147"/>
      <c r="E5029" s="147"/>
      <c r="F5029" s="147"/>
      <c r="G5029" s="147"/>
      <c r="H5029" s="147"/>
      <c r="I5029" s="147"/>
      <c r="J5029" s="148"/>
      <c r="K5029" s="132"/>
      <c r="L5029" s="133"/>
    </row>
    <row r="5030" spans="1:14" x14ac:dyDescent="0.2">
      <c r="A5030" s="199"/>
      <c r="B5030" s="188"/>
      <c r="C5030" s="189"/>
      <c r="D5030" s="165"/>
      <c r="E5030" s="165"/>
      <c r="F5030" s="165"/>
      <c r="G5030" s="165"/>
      <c r="H5030" s="165"/>
      <c r="I5030" s="190"/>
      <c r="J5030" s="191"/>
      <c r="K5030" s="192"/>
      <c r="L5030" s="55"/>
      <c r="M5030" s="55"/>
      <c r="N5030" s="55"/>
    </row>
    <row r="5031" spans="1:14" x14ac:dyDescent="0.2">
      <c r="A5031" s="158"/>
      <c r="B5031" s="188"/>
      <c r="C5031" s="189"/>
      <c r="D5031" s="165"/>
      <c r="E5031" s="165"/>
      <c r="F5031" s="165"/>
      <c r="G5031" s="165"/>
      <c r="H5031" s="165"/>
      <c r="I5031" s="190"/>
      <c r="J5031" s="191"/>
      <c r="K5031" s="192"/>
      <c r="L5031" s="55"/>
      <c r="M5031" s="55"/>
      <c r="N5031" s="55"/>
    </row>
    <row r="5032" spans="1:14" x14ac:dyDescent="0.2">
      <c r="A5032" s="145"/>
      <c r="B5032" s="146"/>
      <c r="C5032" s="147"/>
      <c r="D5032" s="147"/>
      <c r="E5032" s="147"/>
      <c r="F5032" s="147"/>
      <c r="G5032" s="147"/>
      <c r="H5032" s="147"/>
      <c r="I5032" s="147"/>
      <c r="J5032" s="148"/>
      <c r="K5032" s="132"/>
      <c r="L5032" s="133"/>
    </row>
    <row r="5033" spans="1:14" x14ac:dyDescent="0.2">
      <c r="A5033" s="199"/>
      <c r="B5033" s="188"/>
      <c r="C5033" s="189"/>
      <c r="D5033" s="165"/>
      <c r="E5033" s="165"/>
      <c r="F5033" s="165"/>
      <c r="G5033" s="165"/>
      <c r="H5033" s="165"/>
      <c r="I5033" s="190"/>
      <c r="J5033" s="191"/>
      <c r="K5033" s="192"/>
      <c r="L5033" s="55"/>
      <c r="M5033" s="55"/>
      <c r="N5033" s="55"/>
    </row>
    <row r="5034" spans="1:14" x14ac:dyDescent="0.2">
      <c r="A5034" s="158"/>
      <c r="B5034" s="188"/>
      <c r="C5034" s="189"/>
      <c r="D5034" s="165"/>
      <c r="E5034" s="165"/>
      <c r="F5034" s="165"/>
      <c r="G5034" s="165"/>
      <c r="H5034" s="165"/>
      <c r="I5034" s="190"/>
      <c r="J5034" s="191"/>
      <c r="K5034" s="192"/>
      <c r="L5034" s="55"/>
      <c r="M5034" s="55"/>
      <c r="N5034" s="55"/>
    </row>
    <row r="5035" spans="1:14" x14ac:dyDescent="0.2">
      <c r="A5035" s="145"/>
      <c r="B5035" s="146"/>
      <c r="C5035" s="147"/>
      <c r="D5035" s="147"/>
      <c r="E5035" s="147"/>
      <c r="F5035" s="147"/>
      <c r="G5035" s="147"/>
      <c r="H5035" s="147"/>
      <c r="I5035" s="147"/>
      <c r="J5035" s="148"/>
      <c r="K5035" s="132"/>
      <c r="L5035" s="133"/>
    </row>
    <row r="5036" spans="1:14" ht="13.5" thickBot="1" x14ac:dyDescent="0.25">
      <c r="A5036" s="149"/>
      <c r="B5036" s="150"/>
      <c r="C5036" s="151"/>
      <c r="D5036" s="151"/>
      <c r="E5036" s="151"/>
      <c r="F5036" s="151"/>
      <c r="G5036" s="151"/>
      <c r="H5036" s="151"/>
      <c r="I5036" s="151"/>
      <c r="J5036" s="152"/>
      <c r="K5036" s="132"/>
      <c r="L5036" s="133"/>
    </row>
    <row r="5037" spans="1:14" ht="13.5" thickBot="1" x14ac:dyDescent="0.25">
      <c r="A5037" s="153"/>
      <c r="B5037" s="153"/>
      <c r="C5037" s="154"/>
      <c r="D5037" s="154"/>
      <c r="E5037" s="154"/>
      <c r="F5037" s="154"/>
      <c r="G5037" s="154"/>
      <c r="H5037" s="154"/>
      <c r="I5037" s="154"/>
      <c r="J5037" s="153"/>
      <c r="K5037" s="132"/>
      <c r="L5037" s="133"/>
    </row>
    <row r="5038" spans="1:14" ht="13.5" thickBot="1" x14ac:dyDescent="0.25">
      <c r="A5038" s="614" t="s">
        <v>62</v>
      </c>
      <c r="B5038" s="648"/>
      <c r="C5038" s="648"/>
      <c r="D5038" s="648"/>
      <c r="E5038" s="648"/>
      <c r="F5038" s="648"/>
      <c r="G5038" s="648"/>
      <c r="H5038" s="648"/>
      <c r="I5038" s="648"/>
      <c r="J5038" s="649"/>
      <c r="K5038" s="132"/>
      <c r="L5038" s="133"/>
    </row>
    <row r="5039" spans="1:14" x14ac:dyDescent="0.2">
      <c r="A5039" s="136"/>
      <c r="B5039" s="155"/>
      <c r="C5039" s="156"/>
      <c r="D5039" s="156"/>
      <c r="E5039" s="156"/>
      <c r="F5039" s="156"/>
      <c r="G5039" s="156"/>
      <c r="H5039" s="156"/>
      <c r="I5039" s="156"/>
      <c r="J5039" s="157"/>
      <c r="K5039" s="132"/>
      <c r="L5039" s="133"/>
    </row>
    <row r="5040" spans="1:14" ht="12.75" customHeight="1" x14ac:dyDescent="0.2">
      <c r="A5040" s="158" t="s">
        <v>63</v>
      </c>
      <c r="B5040" s="55"/>
      <c r="C5040" s="652" t="s">
        <v>522</v>
      </c>
      <c r="D5040" s="652"/>
      <c r="E5040" s="652"/>
      <c r="F5040" s="652"/>
      <c r="G5040" s="652"/>
      <c r="H5040" s="652"/>
      <c r="I5040" s="652"/>
      <c r="J5040" s="653"/>
      <c r="K5040" s="132"/>
      <c r="L5040" s="133"/>
    </row>
    <row r="5041" spans="1:12" x14ac:dyDescent="0.2">
      <c r="A5041" s="158"/>
      <c r="B5041" s="55"/>
      <c r="C5041" s="652"/>
      <c r="D5041" s="652"/>
      <c r="E5041" s="652"/>
      <c r="F5041" s="652"/>
      <c r="G5041" s="652"/>
      <c r="H5041" s="652"/>
      <c r="I5041" s="652"/>
      <c r="J5041" s="653"/>
      <c r="K5041" s="132"/>
      <c r="L5041" s="133"/>
    </row>
    <row r="5042" spans="1:12" x14ac:dyDescent="0.2">
      <c r="A5042" s="158"/>
      <c r="B5042" s="55"/>
      <c r="C5042" s="652"/>
      <c r="D5042" s="652"/>
      <c r="E5042" s="652"/>
      <c r="F5042" s="652"/>
      <c r="G5042" s="652"/>
      <c r="H5042" s="652"/>
      <c r="I5042" s="652"/>
      <c r="J5042" s="653"/>
      <c r="K5042" s="132"/>
      <c r="L5042" s="133"/>
    </row>
    <row r="5043" spans="1:12" ht="12.75" customHeight="1" x14ac:dyDescent="0.2">
      <c r="A5043" s="158"/>
      <c r="B5043" s="55"/>
      <c r="C5043" s="55"/>
      <c r="D5043" s="55"/>
      <c r="E5043" s="55"/>
      <c r="F5043" s="55"/>
      <c r="G5043" s="55"/>
      <c r="H5043" s="55"/>
      <c r="I5043" s="55"/>
      <c r="J5043" s="196"/>
      <c r="K5043" s="132"/>
      <c r="L5043" s="133"/>
    </row>
    <row r="5044" spans="1:12" x14ac:dyDescent="0.2">
      <c r="A5044" s="158" t="s">
        <v>64</v>
      </c>
      <c r="B5044" s="55"/>
      <c r="C5044" s="55" t="s">
        <v>500</v>
      </c>
      <c r="D5044" s="55"/>
      <c r="E5044" s="55"/>
      <c r="F5044" s="55"/>
      <c r="G5044" s="55"/>
      <c r="H5044" s="55"/>
      <c r="I5044" s="55"/>
      <c r="J5044" s="196"/>
      <c r="K5044" s="132"/>
      <c r="L5044" s="133"/>
    </row>
    <row r="5045" spans="1:12" x14ac:dyDescent="0.2">
      <c r="A5045" s="598"/>
      <c r="B5045" s="638"/>
      <c r="C5045" s="675"/>
      <c r="D5045" s="675"/>
      <c r="E5045" s="675"/>
      <c r="F5045" s="675"/>
      <c r="G5045" s="675"/>
      <c r="H5045" s="675"/>
      <c r="I5045" s="675"/>
      <c r="J5045" s="676"/>
      <c r="K5045" s="132"/>
      <c r="L5045" s="133"/>
    </row>
    <row r="5046" spans="1:12" x14ac:dyDescent="0.2">
      <c r="A5046" s="158"/>
      <c r="B5046" s="55"/>
      <c r="C5046" s="159"/>
      <c r="D5046" s="159"/>
      <c r="E5046" s="159"/>
      <c r="F5046" s="159"/>
      <c r="G5046" s="159"/>
      <c r="H5046" s="159"/>
      <c r="I5046" s="159"/>
      <c r="J5046" s="160"/>
      <c r="K5046" s="132"/>
      <c r="L5046" s="133"/>
    </row>
    <row r="5047" spans="1:12" x14ac:dyDescent="0.2">
      <c r="A5047" s="158"/>
      <c r="B5047" s="55"/>
      <c r="C5047" s="159"/>
      <c r="D5047" s="159"/>
      <c r="E5047" s="159"/>
      <c r="F5047" s="159"/>
      <c r="G5047" s="159"/>
      <c r="H5047" s="159"/>
      <c r="I5047" s="159"/>
      <c r="J5047" s="160"/>
      <c r="K5047" s="132"/>
      <c r="L5047" s="133"/>
    </row>
    <row r="5048" spans="1:12" x14ac:dyDescent="0.2">
      <c r="A5048" s="158"/>
      <c r="B5048" s="55"/>
      <c r="C5048" s="159"/>
      <c r="D5048" s="159"/>
      <c r="E5048" s="159"/>
      <c r="F5048" s="159"/>
      <c r="G5048" s="159"/>
      <c r="H5048" s="159"/>
      <c r="I5048" s="159"/>
      <c r="J5048" s="160"/>
      <c r="K5048" s="132"/>
      <c r="L5048" s="133"/>
    </row>
    <row r="5049" spans="1:12" x14ac:dyDescent="0.2">
      <c r="A5049" s="158"/>
      <c r="B5049" s="55"/>
      <c r="C5049" s="55"/>
      <c r="D5049" s="55"/>
      <c r="E5049" s="55"/>
      <c r="F5049" s="55"/>
      <c r="G5049" s="55"/>
      <c r="H5049" s="55"/>
      <c r="I5049" s="55"/>
      <c r="J5049" s="196"/>
      <c r="K5049" s="132"/>
      <c r="L5049" s="133"/>
    </row>
    <row r="5050" spans="1:12" x14ac:dyDescent="0.2">
      <c r="A5050" s="158"/>
      <c r="B5050" s="55"/>
      <c r="C5050" s="159"/>
      <c r="D5050" s="159"/>
      <c r="E5050" s="159"/>
      <c r="F5050" s="159"/>
      <c r="G5050" s="159"/>
      <c r="H5050" s="159"/>
      <c r="I5050" s="159"/>
      <c r="J5050" s="160"/>
      <c r="K5050" s="132"/>
      <c r="L5050" s="133"/>
    </row>
    <row r="5051" spans="1:12" x14ac:dyDescent="0.2">
      <c r="A5051" s="158"/>
      <c r="B5051" s="55"/>
      <c r="C5051" s="159"/>
      <c r="D5051" s="159"/>
      <c r="E5051" s="159"/>
      <c r="F5051" s="159"/>
      <c r="G5051" s="159"/>
      <c r="H5051" s="159"/>
      <c r="I5051" s="159"/>
      <c r="J5051" s="160"/>
      <c r="K5051" s="132"/>
      <c r="L5051" s="133"/>
    </row>
    <row r="5052" spans="1:12" x14ac:dyDescent="0.2">
      <c r="A5052" s="158"/>
      <c r="B5052" s="55"/>
      <c r="C5052" s="159"/>
      <c r="D5052" s="159"/>
      <c r="E5052" s="159"/>
      <c r="F5052" s="159"/>
      <c r="G5052" s="159"/>
      <c r="H5052" s="159"/>
      <c r="I5052" s="159"/>
      <c r="J5052" s="160"/>
      <c r="K5052" s="132"/>
      <c r="L5052" s="133"/>
    </row>
    <row r="5053" spans="1:12" x14ac:dyDescent="0.2">
      <c r="A5053" s="158"/>
      <c r="B5053" s="55"/>
      <c r="C5053" s="159"/>
      <c r="D5053" s="159"/>
      <c r="E5053" s="159"/>
      <c r="F5053" s="159"/>
      <c r="G5053" s="159"/>
      <c r="H5053" s="159"/>
      <c r="I5053" s="159"/>
      <c r="J5053" s="160"/>
      <c r="K5053" s="132"/>
      <c r="L5053" s="133"/>
    </row>
    <row r="5054" spans="1:12" x14ac:dyDescent="0.2">
      <c r="A5054" s="158"/>
      <c r="B5054" s="55"/>
      <c r="C5054" s="159"/>
      <c r="D5054" s="159"/>
      <c r="E5054" s="159"/>
      <c r="F5054" s="159"/>
      <c r="G5054" s="159"/>
      <c r="H5054" s="159"/>
      <c r="I5054" s="159"/>
      <c r="J5054" s="160"/>
      <c r="K5054" s="132"/>
      <c r="L5054" s="133"/>
    </row>
    <row r="5055" spans="1:12" ht="12.75" customHeight="1" x14ac:dyDescent="0.2">
      <c r="A5055" s="158"/>
      <c r="B5055" s="55"/>
      <c r="C5055" s="159"/>
      <c r="D5055" s="159"/>
      <c r="E5055" s="159"/>
      <c r="F5055" s="159"/>
      <c r="G5055" s="159"/>
      <c r="H5055" s="159"/>
      <c r="I5055" s="159"/>
      <c r="J5055" s="160"/>
      <c r="K5055" s="132"/>
      <c r="L5055" s="133"/>
    </row>
    <row r="5056" spans="1:12" x14ac:dyDescent="0.2">
      <c r="A5056" s="139"/>
      <c r="B5056" s="56"/>
      <c r="C5056" s="159"/>
      <c r="D5056" s="159"/>
      <c r="E5056" s="159"/>
      <c r="F5056" s="159"/>
      <c r="G5056" s="159"/>
      <c r="H5056" s="159"/>
      <c r="I5056" s="159"/>
      <c r="J5056" s="160"/>
      <c r="K5056" s="132"/>
      <c r="L5056" s="133"/>
    </row>
    <row r="5057" spans="1:14" x14ac:dyDescent="0.2">
      <c r="A5057" s="158"/>
      <c r="B5057" s="55"/>
      <c r="C5057" s="159"/>
      <c r="D5057" s="159"/>
      <c r="E5057" s="159"/>
      <c r="F5057" s="159"/>
      <c r="G5057" s="159"/>
      <c r="H5057" s="159"/>
      <c r="I5057" s="159"/>
      <c r="J5057" s="160"/>
      <c r="K5057" s="132"/>
      <c r="L5057" s="133"/>
    </row>
    <row r="5058" spans="1:14" x14ac:dyDescent="0.2">
      <c r="A5058" s="139"/>
      <c r="B5058" s="56"/>
      <c r="C5058" s="56"/>
      <c r="D5058" s="56"/>
      <c r="E5058" s="56"/>
      <c r="F5058" s="56"/>
      <c r="G5058" s="56"/>
      <c r="H5058" s="56"/>
      <c r="I5058" s="56"/>
      <c r="J5058" s="314"/>
      <c r="K5058" s="132"/>
      <c r="L5058" s="133"/>
    </row>
    <row r="5059" spans="1:14" x14ac:dyDescent="0.2">
      <c r="A5059" s="158"/>
      <c r="B5059" s="55"/>
      <c r="C5059" s="175"/>
      <c r="D5059" s="175"/>
      <c r="E5059" s="172"/>
      <c r="F5059" s="172"/>
      <c r="G5059" s="172"/>
      <c r="H5059" s="172"/>
      <c r="I5059" s="172"/>
      <c r="J5059" s="173"/>
      <c r="K5059" s="132"/>
      <c r="L5059" s="133"/>
    </row>
    <row r="5060" spans="1:14" x14ac:dyDescent="0.2">
      <c r="A5060" s="158"/>
      <c r="B5060" s="55"/>
      <c r="C5060" s="175"/>
      <c r="D5060" s="175"/>
      <c r="E5060" s="172"/>
      <c r="F5060" s="172"/>
      <c r="G5060" s="172"/>
      <c r="H5060" s="172"/>
      <c r="I5060" s="172"/>
      <c r="J5060" s="173"/>
      <c r="K5060" s="132"/>
      <c r="L5060" s="133"/>
    </row>
    <row r="5061" spans="1:14" x14ac:dyDescent="0.2">
      <c r="A5061" s="158"/>
      <c r="B5061" s="55"/>
      <c r="C5061" s="175"/>
      <c r="D5061" s="175"/>
      <c r="E5061" s="172"/>
      <c r="F5061" s="172"/>
      <c r="G5061" s="172"/>
      <c r="H5061" s="172"/>
      <c r="I5061" s="172"/>
      <c r="J5061" s="173"/>
      <c r="K5061" s="132"/>
      <c r="L5061" s="133"/>
    </row>
    <row r="5062" spans="1:14" x14ac:dyDescent="0.2">
      <c r="A5062" s="139"/>
      <c r="B5062" s="56"/>
      <c r="C5062" s="56"/>
      <c r="D5062" s="56"/>
      <c r="E5062" s="56"/>
      <c r="F5062" s="56"/>
      <c r="G5062" s="56"/>
      <c r="H5062" s="56"/>
      <c r="I5062" s="56"/>
      <c r="J5062" s="314"/>
      <c r="K5062" s="132"/>
      <c r="L5062" s="133"/>
    </row>
    <row r="5063" spans="1:14" ht="13.5" thickBot="1" x14ac:dyDescent="0.25">
      <c r="A5063" s="149"/>
      <c r="B5063" s="167"/>
      <c r="C5063" s="151"/>
      <c r="D5063" s="151"/>
      <c r="E5063" s="151"/>
      <c r="F5063" s="151"/>
      <c r="G5063" s="151"/>
      <c r="H5063" s="151"/>
      <c r="I5063" s="151"/>
      <c r="J5063" s="168"/>
      <c r="K5063" s="132"/>
      <c r="L5063" s="133"/>
    </row>
    <row r="5064" spans="1:14" ht="15.75" x14ac:dyDescent="0.2">
      <c r="A5064" s="602" t="s">
        <v>4</v>
      </c>
      <c r="B5064" s="603"/>
      <c r="C5064" s="603" t="str">
        <f>'A IV.A'!$B$155</f>
        <v>SERVIÇOS COMPLEMENTARES - ITEM 12.0 DO TERMO DE REFERÊNCIA</v>
      </c>
      <c r="D5064" s="603"/>
      <c r="E5064" s="603"/>
      <c r="F5064" s="603"/>
      <c r="G5064" s="603"/>
      <c r="H5064" s="603"/>
      <c r="I5064" s="603"/>
      <c r="J5064" s="604"/>
      <c r="K5064" s="132"/>
      <c r="L5064" s="133"/>
    </row>
    <row r="5065" spans="1:14" x14ac:dyDescent="0.2">
      <c r="A5065" s="609" t="str">
        <f>'A IV.A'!$A$155</f>
        <v>7.0</v>
      </c>
      <c r="B5065" s="610"/>
      <c r="C5065" s="605"/>
      <c r="D5065" s="605"/>
      <c r="E5065" s="605"/>
      <c r="F5065" s="605"/>
      <c r="G5065" s="605"/>
      <c r="H5065" s="605"/>
      <c r="I5065" s="605"/>
      <c r="J5065" s="606"/>
      <c r="K5065" s="132"/>
      <c r="L5065" s="133"/>
    </row>
    <row r="5066" spans="1:14" ht="13.5" thickBot="1" x14ac:dyDescent="0.25">
      <c r="A5066" s="611"/>
      <c r="B5066" s="612"/>
      <c r="C5066" s="607"/>
      <c r="D5066" s="607"/>
      <c r="E5066" s="607"/>
      <c r="F5066" s="607"/>
      <c r="G5066" s="607"/>
      <c r="H5066" s="607"/>
      <c r="I5066" s="607"/>
      <c r="J5066" s="608"/>
      <c r="K5066" s="132"/>
      <c r="L5066" s="133"/>
    </row>
    <row r="5067" spans="1:14" ht="13.5" thickBot="1" x14ac:dyDescent="0.25">
      <c r="A5067" s="169"/>
      <c r="B5067" s="169"/>
      <c r="C5067" s="613"/>
      <c r="D5067" s="613"/>
      <c r="E5067" s="613"/>
      <c r="F5067" s="613"/>
      <c r="G5067" s="613"/>
      <c r="H5067" s="613"/>
      <c r="I5067" s="613"/>
      <c r="J5067" s="169"/>
      <c r="K5067" s="132"/>
      <c r="L5067" s="133"/>
    </row>
    <row r="5068" spans="1:14" ht="13.5" thickBot="1" x14ac:dyDescent="0.25">
      <c r="A5068" s="632" t="s">
        <v>60</v>
      </c>
      <c r="B5068" s="633"/>
      <c r="C5068" s="656" t="s">
        <v>61</v>
      </c>
      <c r="D5068" s="656"/>
      <c r="E5068" s="656"/>
      <c r="F5068" s="656"/>
      <c r="G5068" s="656"/>
      <c r="H5068" s="656"/>
      <c r="I5068" s="656"/>
      <c r="J5068" s="260" t="s">
        <v>0</v>
      </c>
      <c r="K5068" s="132"/>
      <c r="L5068" s="133"/>
    </row>
    <row r="5069" spans="1:14" x14ac:dyDescent="0.2">
      <c r="A5069" s="136"/>
      <c r="B5069" s="137"/>
      <c r="C5069" s="619"/>
      <c r="D5069" s="620"/>
      <c r="E5069" s="621"/>
      <c r="F5069" s="621"/>
      <c r="G5069" s="621"/>
      <c r="H5069" s="621"/>
      <c r="I5069" s="622"/>
      <c r="J5069" s="138"/>
      <c r="K5069" s="132"/>
      <c r="L5069" s="133"/>
    </row>
    <row r="5070" spans="1:14" x14ac:dyDescent="0.2">
      <c r="A5070" s="623" t="str">
        <f>'A IV.A'!$A$163</f>
        <v>7.7</v>
      </c>
      <c r="B5070" s="624"/>
      <c r="C5070" s="626" t="str">
        <f>'A IV.A'!$B$163</f>
        <v>LOCAÇÃO DE ANDAIMES METÁLICOS TIPO TORRE</v>
      </c>
      <c r="D5070" s="627"/>
      <c r="E5070" s="627"/>
      <c r="F5070" s="627"/>
      <c r="G5070" s="627"/>
      <c r="H5070" s="627"/>
      <c r="I5070" s="628"/>
      <c r="J5070" s="668" t="str">
        <f>'A IV.A'!$C$163</f>
        <v>M.MÊS</v>
      </c>
      <c r="K5070" s="630" t="str">
        <f>VLOOKUP(A5070,'A IV.A'!$A$14:$M$233,2,FALSE)</f>
        <v>LOCAÇÃO DE ANDAIMES METÁLICOS TIPO TORRE</v>
      </c>
      <c r="L5070" s="631" t="str">
        <f>IF(C5070=K5070,"sim","nao")</f>
        <v>sim</v>
      </c>
      <c r="M5070" s="631" t="str">
        <f>VLOOKUP(A5070,'A IV.A'!$A$14:$M$233,3,FALSE)</f>
        <v>M.MÊS</v>
      </c>
      <c r="N5070" s="631" t="str">
        <f>IF(J5070=M5070,"sim","nao")</f>
        <v>sim</v>
      </c>
    </row>
    <row r="5071" spans="1:14" x14ac:dyDescent="0.2">
      <c r="A5071" s="625"/>
      <c r="B5071" s="624"/>
      <c r="C5071" s="626"/>
      <c r="D5071" s="627"/>
      <c r="E5071" s="627"/>
      <c r="F5071" s="627"/>
      <c r="G5071" s="627"/>
      <c r="H5071" s="627"/>
      <c r="I5071" s="628"/>
      <c r="J5071" s="629"/>
      <c r="K5071" s="630"/>
      <c r="L5071" s="631"/>
      <c r="M5071" s="631"/>
      <c r="N5071" s="631"/>
    </row>
    <row r="5072" spans="1:14" x14ac:dyDescent="0.2">
      <c r="A5072" s="139"/>
      <c r="B5072" s="140"/>
      <c r="C5072" s="141"/>
      <c r="D5072" s="142"/>
      <c r="E5072" s="142"/>
      <c r="F5072" s="142"/>
      <c r="G5072" s="142"/>
      <c r="H5072" s="142"/>
      <c r="I5072" s="143"/>
      <c r="J5072" s="144"/>
      <c r="K5072" s="132"/>
      <c r="L5072" s="133"/>
    </row>
    <row r="5073" spans="1:14" x14ac:dyDescent="0.2">
      <c r="A5073" s="199"/>
      <c r="B5073" s="188"/>
      <c r="C5073" s="189"/>
      <c r="D5073" s="165"/>
      <c r="E5073" s="165"/>
      <c r="F5073" s="165"/>
      <c r="G5073" s="165"/>
      <c r="H5073" s="165"/>
      <c r="I5073" s="190"/>
      <c r="J5073" s="191"/>
      <c r="K5073" s="192"/>
      <c r="L5073" s="55"/>
      <c r="M5073" s="55"/>
      <c r="N5073" s="55"/>
    </row>
    <row r="5074" spans="1:14" x14ac:dyDescent="0.2">
      <c r="A5074" s="158"/>
      <c r="B5074" s="188"/>
      <c r="C5074" s="189"/>
      <c r="D5074" s="165"/>
      <c r="E5074" s="165"/>
      <c r="F5074" s="165"/>
      <c r="G5074" s="165"/>
      <c r="H5074" s="165"/>
      <c r="I5074" s="190"/>
      <c r="J5074" s="191"/>
      <c r="K5074" s="192"/>
      <c r="L5074" s="55"/>
      <c r="M5074" s="55"/>
      <c r="N5074" s="55"/>
    </row>
    <row r="5075" spans="1:14" x14ac:dyDescent="0.2">
      <c r="A5075" s="145"/>
      <c r="B5075" s="146"/>
      <c r="C5075" s="147"/>
      <c r="D5075" s="147"/>
      <c r="E5075" s="147"/>
      <c r="F5075" s="147"/>
      <c r="G5075" s="147"/>
      <c r="H5075" s="147"/>
      <c r="I5075" s="147"/>
      <c r="J5075" s="148"/>
      <c r="K5075" s="132"/>
      <c r="L5075" s="133"/>
    </row>
    <row r="5076" spans="1:14" x14ac:dyDescent="0.2">
      <c r="A5076" s="199"/>
      <c r="B5076" s="188"/>
      <c r="C5076" s="189"/>
      <c r="D5076" s="165"/>
      <c r="E5076" s="165"/>
      <c r="F5076" s="165"/>
      <c r="G5076" s="165"/>
      <c r="H5076" s="165"/>
      <c r="I5076" s="190"/>
      <c r="J5076" s="191"/>
      <c r="K5076" s="192"/>
      <c r="L5076" s="55"/>
      <c r="M5076" s="55"/>
      <c r="N5076" s="55"/>
    </row>
    <row r="5077" spans="1:14" x14ac:dyDescent="0.2">
      <c r="A5077" s="158"/>
      <c r="B5077" s="188"/>
      <c r="C5077" s="189"/>
      <c r="D5077" s="165"/>
      <c r="E5077" s="165"/>
      <c r="F5077" s="165"/>
      <c r="G5077" s="165"/>
      <c r="H5077" s="165"/>
      <c r="I5077" s="190"/>
      <c r="J5077" s="191"/>
      <c r="K5077" s="192"/>
      <c r="L5077" s="55"/>
      <c r="M5077" s="55"/>
      <c r="N5077" s="55"/>
    </row>
    <row r="5078" spans="1:14" x14ac:dyDescent="0.2">
      <c r="A5078" s="145"/>
      <c r="B5078" s="146"/>
      <c r="C5078" s="147"/>
      <c r="D5078" s="147"/>
      <c r="E5078" s="147"/>
      <c r="F5078" s="147"/>
      <c r="G5078" s="147"/>
      <c r="H5078" s="147"/>
      <c r="I5078" s="147"/>
      <c r="J5078" s="148"/>
      <c r="K5078" s="132"/>
      <c r="L5078" s="133"/>
    </row>
    <row r="5079" spans="1:14" x14ac:dyDescent="0.2">
      <c r="A5079" s="199"/>
      <c r="B5079" s="188"/>
      <c r="C5079" s="189"/>
      <c r="D5079" s="165"/>
      <c r="E5079" s="165"/>
      <c r="F5079" s="165"/>
      <c r="G5079" s="165"/>
      <c r="H5079" s="165"/>
      <c r="I5079" s="190"/>
      <c r="J5079" s="191"/>
      <c r="K5079" s="192"/>
      <c r="L5079" s="55"/>
      <c r="M5079" s="55"/>
      <c r="N5079" s="55"/>
    </row>
    <row r="5080" spans="1:14" x14ac:dyDescent="0.2">
      <c r="A5080" s="158"/>
      <c r="B5080" s="188"/>
      <c r="C5080" s="189"/>
      <c r="D5080" s="165"/>
      <c r="E5080" s="165"/>
      <c r="F5080" s="165"/>
      <c r="G5080" s="165"/>
      <c r="H5080" s="165"/>
      <c r="I5080" s="190"/>
      <c r="J5080" s="191"/>
      <c r="K5080" s="192"/>
      <c r="L5080" s="55"/>
      <c r="M5080" s="55"/>
      <c r="N5080" s="55"/>
    </row>
    <row r="5081" spans="1:14" x14ac:dyDescent="0.2">
      <c r="A5081" s="145"/>
      <c r="B5081" s="146"/>
      <c r="C5081" s="147"/>
      <c r="D5081" s="147"/>
      <c r="E5081" s="147"/>
      <c r="F5081" s="147"/>
      <c r="G5081" s="147"/>
      <c r="H5081" s="147"/>
      <c r="I5081" s="147"/>
      <c r="J5081" s="148"/>
      <c r="K5081" s="132"/>
      <c r="L5081" s="133"/>
    </row>
    <row r="5082" spans="1:14" x14ac:dyDescent="0.2">
      <c r="A5082" s="199"/>
      <c r="B5082" s="188"/>
      <c r="C5082" s="189"/>
      <c r="D5082" s="165"/>
      <c r="E5082" s="165"/>
      <c r="F5082" s="165"/>
      <c r="G5082" s="165"/>
      <c r="H5082" s="165"/>
      <c r="I5082" s="190"/>
      <c r="J5082" s="191"/>
      <c r="K5082" s="192"/>
      <c r="L5082" s="55"/>
      <c r="M5082" s="55"/>
      <c r="N5082" s="55"/>
    </row>
    <row r="5083" spans="1:14" x14ac:dyDescent="0.2">
      <c r="A5083" s="158"/>
      <c r="B5083" s="188"/>
      <c r="C5083" s="189"/>
      <c r="D5083" s="165"/>
      <c r="E5083" s="165"/>
      <c r="F5083" s="165"/>
      <c r="G5083" s="165"/>
      <c r="H5083" s="165"/>
      <c r="I5083" s="190"/>
      <c r="J5083" s="191"/>
      <c r="K5083" s="192"/>
      <c r="L5083" s="55"/>
      <c r="M5083" s="55"/>
      <c r="N5083" s="55"/>
    </row>
    <row r="5084" spans="1:14" x14ac:dyDescent="0.2">
      <c r="A5084" s="145"/>
      <c r="B5084" s="146"/>
      <c r="C5084" s="147"/>
      <c r="D5084" s="147"/>
      <c r="E5084" s="147"/>
      <c r="F5084" s="147"/>
      <c r="G5084" s="147"/>
      <c r="H5084" s="147"/>
      <c r="I5084" s="147"/>
      <c r="J5084" s="148"/>
      <c r="K5084" s="132"/>
      <c r="L5084" s="133"/>
    </row>
    <row r="5085" spans="1:14" x14ac:dyDescent="0.2">
      <c r="A5085" s="199"/>
      <c r="B5085" s="188"/>
      <c r="C5085" s="189"/>
      <c r="D5085" s="165"/>
      <c r="E5085" s="165"/>
      <c r="F5085" s="165"/>
      <c r="G5085" s="165"/>
      <c r="H5085" s="165"/>
      <c r="I5085" s="190"/>
      <c r="J5085" s="191"/>
      <c r="K5085" s="192"/>
      <c r="L5085" s="55"/>
      <c r="M5085" s="55"/>
      <c r="N5085" s="55"/>
    </row>
    <row r="5086" spans="1:14" x14ac:dyDescent="0.2">
      <c r="A5086" s="158"/>
      <c r="B5086" s="188"/>
      <c r="C5086" s="189"/>
      <c r="D5086" s="165"/>
      <c r="E5086" s="165"/>
      <c r="F5086" s="165"/>
      <c r="G5086" s="165"/>
      <c r="H5086" s="165"/>
      <c r="I5086" s="190"/>
      <c r="J5086" s="191"/>
      <c r="K5086" s="192"/>
      <c r="L5086" s="55"/>
      <c r="M5086" s="55"/>
      <c r="N5086" s="55"/>
    </row>
    <row r="5087" spans="1:14" x14ac:dyDescent="0.2">
      <c r="A5087" s="145"/>
      <c r="B5087" s="146"/>
      <c r="C5087" s="147"/>
      <c r="D5087" s="147"/>
      <c r="E5087" s="147"/>
      <c r="F5087" s="147"/>
      <c r="G5087" s="147"/>
      <c r="H5087" s="147"/>
      <c r="I5087" s="147"/>
      <c r="J5087" s="148"/>
      <c r="K5087" s="132"/>
      <c r="L5087" s="133"/>
    </row>
    <row r="5088" spans="1:14" x14ac:dyDescent="0.2">
      <c r="A5088" s="199"/>
      <c r="B5088" s="188"/>
      <c r="C5088" s="189"/>
      <c r="D5088" s="165"/>
      <c r="E5088" s="165"/>
      <c r="F5088" s="165"/>
      <c r="G5088" s="165"/>
      <c r="H5088" s="165"/>
      <c r="I5088" s="190"/>
      <c r="J5088" s="191"/>
      <c r="K5088" s="192"/>
      <c r="L5088" s="55"/>
      <c r="M5088" s="55"/>
      <c r="N5088" s="55"/>
    </row>
    <row r="5089" spans="1:14" x14ac:dyDescent="0.2">
      <c r="A5089" s="158"/>
      <c r="B5089" s="188"/>
      <c r="C5089" s="189"/>
      <c r="D5089" s="165"/>
      <c r="E5089" s="165"/>
      <c r="F5089" s="165"/>
      <c r="G5089" s="165"/>
      <c r="H5089" s="165"/>
      <c r="I5089" s="190"/>
      <c r="J5089" s="191"/>
      <c r="K5089" s="192"/>
      <c r="L5089" s="55"/>
      <c r="M5089" s="55"/>
      <c r="N5089" s="55"/>
    </row>
    <row r="5090" spans="1:14" x14ac:dyDescent="0.2">
      <c r="A5090" s="145"/>
      <c r="B5090" s="146"/>
      <c r="C5090" s="147"/>
      <c r="D5090" s="147"/>
      <c r="E5090" s="147"/>
      <c r="F5090" s="147"/>
      <c r="G5090" s="147"/>
      <c r="H5090" s="147"/>
      <c r="I5090" s="147"/>
      <c r="J5090" s="148"/>
      <c r="K5090" s="132"/>
      <c r="L5090" s="133"/>
    </row>
    <row r="5091" spans="1:14" ht="13.5" thickBot="1" x14ac:dyDescent="0.25">
      <c r="A5091" s="149"/>
      <c r="B5091" s="150"/>
      <c r="C5091" s="151"/>
      <c r="D5091" s="151"/>
      <c r="E5091" s="151"/>
      <c r="F5091" s="151"/>
      <c r="G5091" s="151"/>
      <c r="H5091" s="151"/>
      <c r="I5091" s="151"/>
      <c r="J5091" s="152"/>
      <c r="K5091" s="132"/>
      <c r="L5091" s="133"/>
    </row>
    <row r="5092" spans="1:14" ht="13.5" thickBot="1" x14ac:dyDescent="0.25">
      <c r="A5092" s="153"/>
      <c r="B5092" s="153"/>
      <c r="C5092" s="154"/>
      <c r="D5092" s="154"/>
      <c r="E5092" s="154"/>
      <c r="F5092" s="154"/>
      <c r="G5092" s="154"/>
      <c r="H5092" s="154"/>
      <c r="I5092" s="154"/>
      <c r="J5092" s="153"/>
      <c r="K5092" s="132"/>
      <c r="L5092" s="133"/>
    </row>
    <row r="5093" spans="1:14" ht="13.5" thickBot="1" x14ac:dyDescent="0.25">
      <c r="A5093" s="614" t="s">
        <v>62</v>
      </c>
      <c r="B5093" s="648"/>
      <c r="C5093" s="648"/>
      <c r="D5093" s="648"/>
      <c r="E5093" s="648"/>
      <c r="F5093" s="648"/>
      <c r="G5093" s="648"/>
      <c r="H5093" s="648"/>
      <c r="I5093" s="648"/>
      <c r="J5093" s="649"/>
      <c r="K5093" s="132"/>
      <c r="L5093" s="133"/>
    </row>
    <row r="5094" spans="1:14" x14ac:dyDescent="0.2">
      <c r="A5094" s="136"/>
      <c r="B5094" s="155"/>
      <c r="C5094" s="156"/>
      <c r="D5094" s="156"/>
      <c r="E5094" s="156"/>
      <c r="F5094" s="156"/>
      <c r="G5094" s="156"/>
      <c r="H5094" s="156"/>
      <c r="I5094" s="156"/>
      <c r="J5094" s="157"/>
      <c r="K5094" s="132"/>
      <c r="L5094" s="133"/>
    </row>
    <row r="5095" spans="1:14" ht="12.75" customHeight="1" x14ac:dyDescent="0.2">
      <c r="A5095" s="158" t="s">
        <v>63</v>
      </c>
      <c r="B5095" s="202"/>
      <c r="C5095" s="638" t="s">
        <v>525</v>
      </c>
      <c r="D5095" s="638"/>
      <c r="E5095" s="638"/>
      <c r="F5095" s="638"/>
      <c r="G5095" s="638"/>
      <c r="H5095" s="638"/>
      <c r="I5095" s="638"/>
      <c r="J5095" s="718"/>
      <c r="K5095" s="132"/>
      <c r="L5095" s="133"/>
    </row>
    <row r="5096" spans="1:14" x14ac:dyDescent="0.2">
      <c r="A5096" s="257"/>
      <c r="B5096" s="202"/>
      <c r="C5096" s="638"/>
      <c r="D5096" s="638"/>
      <c r="E5096" s="638"/>
      <c r="F5096" s="638"/>
      <c r="G5096" s="638"/>
      <c r="H5096" s="638"/>
      <c r="I5096" s="638"/>
      <c r="J5096" s="718"/>
      <c r="K5096" s="132"/>
      <c r="L5096" s="133"/>
    </row>
    <row r="5097" spans="1:14" x14ac:dyDescent="0.2">
      <c r="A5097" s="257"/>
      <c r="B5097" s="202"/>
      <c r="C5097" s="638"/>
      <c r="D5097" s="638"/>
      <c r="E5097" s="638"/>
      <c r="F5097" s="638"/>
      <c r="G5097" s="638"/>
      <c r="H5097" s="638"/>
      <c r="I5097" s="638"/>
      <c r="J5097" s="718"/>
      <c r="K5097" s="132"/>
      <c r="L5097" s="133"/>
    </row>
    <row r="5098" spans="1:14" x14ac:dyDescent="0.2">
      <c r="J5098" s="315"/>
      <c r="K5098" s="132"/>
      <c r="L5098" s="133"/>
    </row>
    <row r="5099" spans="1:14" x14ac:dyDescent="0.2">
      <c r="A5099" s="158" t="s">
        <v>64</v>
      </c>
      <c r="B5099" s="55"/>
      <c r="C5099" s="638" t="s">
        <v>523</v>
      </c>
      <c r="D5099" s="638"/>
      <c r="E5099" s="638"/>
      <c r="F5099" s="638"/>
      <c r="G5099" s="638"/>
      <c r="H5099" s="638"/>
      <c r="I5099" s="638"/>
      <c r="J5099" s="718"/>
      <c r="K5099" s="132"/>
      <c r="L5099" s="133"/>
    </row>
    <row r="5100" spans="1:14" x14ac:dyDescent="0.2">
      <c r="A5100" s="158"/>
      <c r="B5100" s="55"/>
      <c r="C5100" s="638"/>
      <c r="D5100" s="638"/>
      <c r="E5100" s="638"/>
      <c r="F5100" s="638"/>
      <c r="G5100" s="638"/>
      <c r="H5100" s="638"/>
      <c r="I5100" s="638"/>
      <c r="J5100" s="718"/>
      <c r="K5100" s="132"/>
      <c r="L5100" s="133"/>
    </row>
    <row r="5101" spans="1:14" ht="12.75" customHeight="1" x14ac:dyDescent="0.2">
      <c r="A5101" s="158"/>
      <c r="B5101" s="55"/>
      <c r="C5101" s="171" t="s">
        <v>524</v>
      </c>
      <c r="D5101" s="171"/>
      <c r="E5101" s="171"/>
      <c r="F5101" s="171"/>
      <c r="G5101" s="171"/>
      <c r="H5101" s="171"/>
      <c r="I5101" s="171"/>
      <c r="J5101" s="303"/>
      <c r="K5101" s="132"/>
      <c r="L5101" s="133"/>
    </row>
    <row r="5102" spans="1:14" x14ac:dyDescent="0.2">
      <c r="A5102" s="158"/>
      <c r="B5102" s="55"/>
      <c r="C5102" s="159"/>
      <c r="D5102" s="159"/>
      <c r="E5102" s="159"/>
      <c r="F5102" s="159"/>
      <c r="G5102" s="159"/>
      <c r="H5102" s="159"/>
      <c r="I5102" s="159"/>
      <c r="J5102" s="160"/>
      <c r="K5102" s="132"/>
      <c r="L5102" s="133"/>
    </row>
    <row r="5103" spans="1:14" ht="12.75" customHeight="1" x14ac:dyDescent="0.2">
      <c r="A5103" s="158" t="s">
        <v>157</v>
      </c>
      <c r="B5103" s="55"/>
      <c r="C5103" s="652" t="s">
        <v>880</v>
      </c>
      <c r="D5103" s="652"/>
      <c r="E5103" s="652"/>
      <c r="F5103" s="652"/>
      <c r="G5103" s="652"/>
      <c r="H5103" s="652"/>
      <c r="I5103" s="652"/>
      <c r="J5103" s="653"/>
      <c r="K5103" s="132"/>
      <c r="L5103" s="133"/>
    </row>
    <row r="5104" spans="1:14" x14ac:dyDescent="0.2">
      <c r="A5104" s="158"/>
      <c r="B5104" s="55"/>
      <c r="C5104" s="652"/>
      <c r="D5104" s="652"/>
      <c r="E5104" s="652"/>
      <c r="F5104" s="652"/>
      <c r="G5104" s="652"/>
      <c r="H5104" s="652"/>
      <c r="I5104" s="652"/>
      <c r="J5104" s="653"/>
      <c r="K5104" s="132"/>
      <c r="L5104" s="133"/>
    </row>
    <row r="5105" spans="1:12" x14ac:dyDescent="0.2">
      <c r="A5105" s="158"/>
      <c r="B5105" s="55"/>
      <c r="C5105" s="652" t="s">
        <v>881</v>
      </c>
      <c r="D5105" s="652"/>
      <c r="E5105" s="652"/>
      <c r="F5105" s="652"/>
      <c r="G5105" s="652"/>
      <c r="H5105" s="652"/>
      <c r="I5105" s="652"/>
      <c r="J5105" s="653"/>
      <c r="K5105" s="132"/>
      <c r="L5105" s="133"/>
    </row>
    <row r="5106" spans="1:12" x14ac:dyDescent="0.2">
      <c r="A5106" s="158"/>
      <c r="B5106" s="55"/>
      <c r="C5106" s="652"/>
      <c r="D5106" s="652"/>
      <c r="E5106" s="652"/>
      <c r="F5106" s="652"/>
      <c r="G5106" s="652"/>
      <c r="H5106" s="652"/>
      <c r="I5106" s="652"/>
      <c r="J5106" s="653"/>
      <c r="K5106" s="132"/>
      <c r="L5106" s="133"/>
    </row>
    <row r="5107" spans="1:12" x14ac:dyDescent="0.2">
      <c r="A5107" s="158"/>
      <c r="B5107" s="55"/>
      <c r="C5107" s="71"/>
      <c r="D5107" s="71"/>
      <c r="E5107" s="71"/>
      <c r="F5107" s="71"/>
      <c r="G5107" s="71"/>
      <c r="H5107" s="71"/>
      <c r="I5107" s="71"/>
      <c r="J5107" s="174"/>
      <c r="K5107" s="132"/>
      <c r="L5107" s="133"/>
    </row>
    <row r="5108" spans="1:12" x14ac:dyDescent="0.2">
      <c r="A5108" s="158"/>
      <c r="B5108" s="55"/>
      <c r="C5108" s="71"/>
      <c r="D5108" s="71"/>
      <c r="E5108" s="71"/>
      <c r="F5108" s="71"/>
      <c r="G5108" s="71"/>
      <c r="H5108" s="71"/>
      <c r="I5108" s="71"/>
      <c r="J5108" s="174"/>
      <c r="K5108" s="132"/>
      <c r="L5108" s="133"/>
    </row>
    <row r="5109" spans="1:12" x14ac:dyDescent="0.2">
      <c r="A5109" s="158"/>
      <c r="B5109" s="55"/>
      <c r="C5109" s="55"/>
      <c r="D5109" s="55"/>
      <c r="E5109" s="55"/>
      <c r="F5109" s="55"/>
      <c r="G5109" s="55"/>
      <c r="H5109" s="55"/>
      <c r="I5109" s="55"/>
      <c r="J5109" s="196"/>
      <c r="K5109" s="132"/>
      <c r="L5109" s="133"/>
    </row>
    <row r="5110" spans="1:12" ht="12.75" customHeight="1" x14ac:dyDescent="0.2">
      <c r="J5110" s="315"/>
      <c r="K5110" s="132"/>
      <c r="L5110" s="133"/>
    </row>
    <row r="5111" spans="1:12" x14ac:dyDescent="0.2">
      <c r="A5111" s="158"/>
      <c r="B5111" s="55"/>
      <c r="C5111" s="71"/>
      <c r="D5111" s="71"/>
      <c r="E5111" s="71"/>
      <c r="F5111" s="71"/>
      <c r="G5111" s="71"/>
      <c r="H5111" s="71"/>
      <c r="I5111" s="71"/>
      <c r="J5111" s="174"/>
      <c r="K5111" s="132"/>
      <c r="L5111" s="133"/>
    </row>
    <row r="5112" spans="1:12" x14ac:dyDescent="0.2">
      <c r="A5112" s="158"/>
      <c r="B5112" s="55"/>
      <c r="C5112" s="71"/>
      <c r="D5112" s="71"/>
      <c r="E5112" s="71"/>
      <c r="F5112" s="71"/>
      <c r="G5112" s="71"/>
      <c r="H5112" s="71"/>
      <c r="I5112" s="71"/>
      <c r="J5112" s="174"/>
      <c r="K5112" s="132"/>
      <c r="L5112" s="133"/>
    </row>
    <row r="5113" spans="1:12" x14ac:dyDescent="0.2">
      <c r="A5113" s="158"/>
      <c r="B5113" s="55"/>
      <c r="C5113" s="71"/>
      <c r="D5113" s="71"/>
      <c r="E5113" s="71"/>
      <c r="F5113" s="71"/>
      <c r="G5113" s="71"/>
      <c r="H5113" s="71"/>
      <c r="I5113" s="71"/>
      <c r="J5113" s="174"/>
      <c r="K5113" s="132"/>
      <c r="L5113" s="133"/>
    </row>
    <row r="5114" spans="1:12" x14ac:dyDescent="0.2">
      <c r="A5114" s="158"/>
      <c r="B5114" s="55"/>
      <c r="C5114" s="71"/>
      <c r="D5114" s="71"/>
      <c r="E5114" s="71"/>
      <c r="F5114" s="71"/>
      <c r="G5114" s="71"/>
      <c r="H5114" s="71"/>
      <c r="I5114" s="71"/>
      <c r="J5114" s="174"/>
      <c r="K5114" s="132"/>
      <c r="L5114" s="133"/>
    </row>
    <row r="5115" spans="1:12" x14ac:dyDescent="0.2">
      <c r="A5115" s="158"/>
      <c r="B5115" s="55"/>
      <c r="C5115" s="71"/>
      <c r="D5115" s="71"/>
      <c r="E5115" s="71"/>
      <c r="F5115" s="71"/>
      <c r="G5115" s="71"/>
      <c r="H5115" s="71"/>
      <c r="I5115" s="71"/>
      <c r="J5115" s="174"/>
      <c r="K5115" s="132"/>
      <c r="L5115" s="133"/>
    </row>
    <row r="5116" spans="1:12" x14ac:dyDescent="0.2">
      <c r="A5116" s="158"/>
      <c r="B5116" s="55"/>
      <c r="C5116" s="71"/>
      <c r="D5116" s="71"/>
      <c r="E5116" s="71"/>
      <c r="F5116" s="71"/>
      <c r="G5116" s="71"/>
      <c r="H5116" s="71"/>
      <c r="I5116" s="71"/>
      <c r="J5116" s="174"/>
      <c r="K5116" s="132"/>
      <c r="L5116" s="133"/>
    </row>
    <row r="5117" spans="1:12" ht="13.5" thickBot="1" x14ac:dyDescent="0.25">
      <c r="A5117" s="149"/>
      <c r="B5117" s="167"/>
      <c r="C5117" s="151"/>
      <c r="D5117" s="151"/>
      <c r="E5117" s="151"/>
      <c r="F5117" s="151"/>
      <c r="G5117" s="151"/>
      <c r="H5117" s="151"/>
      <c r="I5117" s="151"/>
      <c r="J5117" s="168"/>
      <c r="K5117" s="132"/>
      <c r="L5117" s="133"/>
    </row>
    <row r="5118" spans="1:12" ht="15.75" x14ac:dyDescent="0.2">
      <c r="A5118" s="602" t="s">
        <v>4</v>
      </c>
      <c r="B5118" s="603"/>
      <c r="C5118" s="603" t="str">
        <f>'A IV.A'!$B$155</f>
        <v>SERVIÇOS COMPLEMENTARES - ITEM 12.0 DO TERMO DE REFERÊNCIA</v>
      </c>
      <c r="D5118" s="603"/>
      <c r="E5118" s="603"/>
      <c r="F5118" s="603"/>
      <c r="G5118" s="603"/>
      <c r="H5118" s="603"/>
      <c r="I5118" s="603"/>
      <c r="J5118" s="604"/>
      <c r="K5118" s="132"/>
      <c r="L5118" s="133"/>
    </row>
    <row r="5119" spans="1:12" x14ac:dyDescent="0.2">
      <c r="A5119" s="609" t="str">
        <f>'A IV.A'!$A$155</f>
        <v>7.0</v>
      </c>
      <c r="B5119" s="610"/>
      <c r="C5119" s="605"/>
      <c r="D5119" s="605"/>
      <c r="E5119" s="605"/>
      <c r="F5119" s="605"/>
      <c r="G5119" s="605"/>
      <c r="H5119" s="605"/>
      <c r="I5119" s="605"/>
      <c r="J5119" s="606"/>
      <c r="K5119" s="132"/>
      <c r="L5119" s="133"/>
    </row>
    <row r="5120" spans="1:12" ht="13.5" thickBot="1" x14ac:dyDescent="0.25">
      <c r="A5120" s="611"/>
      <c r="B5120" s="612"/>
      <c r="C5120" s="607"/>
      <c r="D5120" s="607"/>
      <c r="E5120" s="607"/>
      <c r="F5120" s="607"/>
      <c r="G5120" s="607"/>
      <c r="H5120" s="607"/>
      <c r="I5120" s="607"/>
      <c r="J5120" s="608"/>
      <c r="K5120" s="132"/>
      <c r="L5120" s="133"/>
    </row>
    <row r="5121" spans="1:14" ht="13.5" thickBot="1" x14ac:dyDescent="0.25">
      <c r="A5121" s="169"/>
      <c r="B5121" s="169"/>
      <c r="C5121" s="613"/>
      <c r="D5121" s="613"/>
      <c r="E5121" s="613"/>
      <c r="F5121" s="613"/>
      <c r="G5121" s="613"/>
      <c r="H5121" s="613"/>
      <c r="I5121" s="613"/>
      <c r="J5121" s="169"/>
      <c r="K5121" s="132"/>
      <c r="L5121" s="133"/>
    </row>
    <row r="5122" spans="1:14" ht="13.5" thickBot="1" x14ac:dyDescent="0.25">
      <c r="A5122" s="632" t="s">
        <v>60</v>
      </c>
      <c r="B5122" s="633"/>
      <c r="C5122" s="656" t="s">
        <v>61</v>
      </c>
      <c r="D5122" s="656"/>
      <c r="E5122" s="656"/>
      <c r="F5122" s="656"/>
      <c r="G5122" s="656"/>
      <c r="H5122" s="656"/>
      <c r="I5122" s="656"/>
      <c r="J5122" s="260" t="s">
        <v>0</v>
      </c>
      <c r="K5122" s="132"/>
      <c r="L5122" s="133"/>
    </row>
    <row r="5123" spans="1:14" x14ac:dyDescent="0.2">
      <c r="A5123" s="136"/>
      <c r="B5123" s="137"/>
      <c r="C5123" s="619"/>
      <c r="D5123" s="620"/>
      <c r="E5123" s="621"/>
      <c r="F5123" s="621"/>
      <c r="G5123" s="621"/>
      <c r="H5123" s="621"/>
      <c r="I5123" s="622"/>
      <c r="J5123" s="138"/>
      <c r="K5123" s="132"/>
      <c r="L5123" s="133"/>
    </row>
    <row r="5124" spans="1:14" x14ac:dyDescent="0.2">
      <c r="A5124" s="623" t="str">
        <f>'A IV.A'!$A$164</f>
        <v>7.8</v>
      </c>
      <c r="B5124" s="624"/>
      <c r="C5124" s="626" t="str">
        <f>'A IV.A'!$B$164</f>
        <v>ANDAIMES METÁLICOS TIPO TORRE - MONTAGEM E DESMONTAGEM</v>
      </c>
      <c r="D5124" s="627"/>
      <c r="E5124" s="627"/>
      <c r="F5124" s="627"/>
      <c r="G5124" s="627"/>
      <c r="H5124" s="627"/>
      <c r="I5124" s="628"/>
      <c r="J5124" s="668" t="str">
        <f>'A IV.A'!$C$164</f>
        <v>M</v>
      </c>
      <c r="K5124" s="630" t="str">
        <f>VLOOKUP(A5124,'A IV.A'!$A$14:$M$233,2,FALSE)</f>
        <v>ANDAIMES METÁLICOS TIPO TORRE - MONTAGEM E DESMONTAGEM</v>
      </c>
      <c r="L5124" s="631" t="str">
        <f>IF(C5124=K5124,"sim","nao")</f>
        <v>sim</v>
      </c>
      <c r="M5124" s="631" t="str">
        <f>VLOOKUP(A5124,'A IV.A'!$A$14:$M$233,3,FALSE)</f>
        <v>M</v>
      </c>
      <c r="N5124" s="631" t="str">
        <f>IF(J5124=M5124,"sim","nao")</f>
        <v>sim</v>
      </c>
    </row>
    <row r="5125" spans="1:14" x14ac:dyDescent="0.2">
      <c r="A5125" s="625"/>
      <c r="B5125" s="624"/>
      <c r="C5125" s="626"/>
      <c r="D5125" s="627"/>
      <c r="E5125" s="627"/>
      <c r="F5125" s="627"/>
      <c r="G5125" s="627"/>
      <c r="H5125" s="627"/>
      <c r="I5125" s="628"/>
      <c r="J5125" s="629"/>
      <c r="K5125" s="630"/>
      <c r="L5125" s="631"/>
      <c r="M5125" s="631"/>
      <c r="N5125" s="631"/>
    </row>
    <row r="5126" spans="1:14" x14ac:dyDescent="0.2">
      <c r="A5126" s="139"/>
      <c r="B5126" s="140"/>
      <c r="C5126" s="141"/>
      <c r="D5126" s="142"/>
      <c r="E5126" s="142"/>
      <c r="F5126" s="142"/>
      <c r="G5126" s="142"/>
      <c r="H5126" s="142"/>
      <c r="I5126" s="143"/>
      <c r="J5126" s="144"/>
      <c r="K5126" s="132"/>
      <c r="L5126" s="133"/>
    </row>
    <row r="5127" spans="1:14" x14ac:dyDescent="0.2">
      <c r="A5127" s="199"/>
      <c r="B5127" s="188"/>
      <c r="C5127" s="189"/>
      <c r="D5127" s="165"/>
      <c r="E5127" s="165"/>
      <c r="F5127" s="165"/>
      <c r="G5127" s="165"/>
      <c r="H5127" s="165"/>
      <c r="I5127" s="190"/>
      <c r="J5127" s="191"/>
      <c r="K5127" s="192"/>
      <c r="L5127" s="55"/>
      <c r="M5127" s="55"/>
      <c r="N5127" s="55"/>
    </row>
    <row r="5128" spans="1:14" x14ac:dyDescent="0.2">
      <c r="A5128" s="158"/>
      <c r="B5128" s="188"/>
      <c r="C5128" s="189"/>
      <c r="D5128" s="165"/>
      <c r="E5128" s="165"/>
      <c r="F5128" s="165"/>
      <c r="G5128" s="165"/>
      <c r="H5128" s="165"/>
      <c r="I5128" s="190"/>
      <c r="J5128" s="191"/>
      <c r="K5128" s="192"/>
      <c r="L5128" s="55"/>
      <c r="M5128" s="55"/>
      <c r="N5128" s="55"/>
    </row>
    <row r="5129" spans="1:14" x14ac:dyDescent="0.2">
      <c r="A5129" s="145"/>
      <c r="B5129" s="146"/>
      <c r="C5129" s="147"/>
      <c r="D5129" s="147"/>
      <c r="E5129" s="147"/>
      <c r="F5129" s="147"/>
      <c r="G5129" s="147"/>
      <c r="H5129" s="147"/>
      <c r="I5129" s="147"/>
      <c r="J5129" s="148"/>
      <c r="K5129" s="132"/>
      <c r="L5129" s="133"/>
    </row>
    <row r="5130" spans="1:14" x14ac:dyDescent="0.2">
      <c r="A5130" s="199"/>
      <c r="B5130" s="188"/>
      <c r="C5130" s="189"/>
      <c r="D5130" s="165"/>
      <c r="E5130" s="165"/>
      <c r="F5130" s="165"/>
      <c r="G5130" s="165"/>
      <c r="H5130" s="165"/>
      <c r="I5130" s="190"/>
      <c r="J5130" s="191"/>
      <c r="K5130" s="192"/>
      <c r="L5130" s="55"/>
      <c r="M5130" s="55"/>
      <c r="N5130" s="55"/>
    </row>
    <row r="5131" spans="1:14" x14ac:dyDescent="0.2">
      <c r="A5131" s="158"/>
      <c r="B5131" s="188"/>
      <c r="C5131" s="189"/>
      <c r="D5131" s="165"/>
      <c r="E5131" s="165"/>
      <c r="F5131" s="165"/>
      <c r="G5131" s="165"/>
      <c r="H5131" s="165"/>
      <c r="I5131" s="190"/>
      <c r="J5131" s="191"/>
      <c r="K5131" s="192"/>
      <c r="L5131" s="55"/>
      <c r="M5131" s="55"/>
      <c r="N5131" s="55"/>
    </row>
    <row r="5132" spans="1:14" x14ac:dyDescent="0.2">
      <c r="A5132" s="145"/>
      <c r="B5132" s="146"/>
      <c r="C5132" s="147"/>
      <c r="D5132" s="147"/>
      <c r="E5132" s="147"/>
      <c r="F5132" s="147"/>
      <c r="G5132" s="147"/>
      <c r="H5132" s="147"/>
      <c r="I5132" s="147"/>
      <c r="J5132" s="148"/>
      <c r="K5132" s="132"/>
      <c r="L5132" s="133"/>
    </row>
    <row r="5133" spans="1:14" x14ac:dyDescent="0.2">
      <c r="A5133" s="199"/>
      <c r="B5133" s="188"/>
      <c r="C5133" s="189"/>
      <c r="D5133" s="165"/>
      <c r="E5133" s="165"/>
      <c r="F5133" s="165"/>
      <c r="G5133" s="165"/>
      <c r="H5133" s="165"/>
      <c r="I5133" s="190"/>
      <c r="J5133" s="191"/>
      <c r="K5133" s="192"/>
      <c r="L5133" s="55"/>
      <c r="M5133" s="55"/>
      <c r="N5133" s="55"/>
    </row>
    <row r="5134" spans="1:14" x14ac:dyDescent="0.2">
      <c r="A5134" s="158"/>
      <c r="B5134" s="188"/>
      <c r="C5134" s="189"/>
      <c r="D5134" s="165"/>
      <c r="E5134" s="165"/>
      <c r="F5134" s="165"/>
      <c r="G5134" s="165"/>
      <c r="H5134" s="165"/>
      <c r="I5134" s="190"/>
      <c r="J5134" s="191"/>
      <c r="K5134" s="192"/>
      <c r="L5134" s="55"/>
      <c r="M5134" s="55"/>
      <c r="N5134" s="55"/>
    </row>
    <row r="5135" spans="1:14" x14ac:dyDescent="0.2">
      <c r="A5135" s="145"/>
      <c r="B5135" s="146"/>
      <c r="C5135" s="147"/>
      <c r="D5135" s="147"/>
      <c r="E5135" s="147"/>
      <c r="F5135" s="147"/>
      <c r="G5135" s="147"/>
      <c r="H5135" s="147"/>
      <c r="I5135" s="147"/>
      <c r="J5135" s="148"/>
      <c r="K5135" s="132"/>
      <c r="L5135" s="133"/>
    </row>
    <row r="5136" spans="1:14" x14ac:dyDescent="0.2">
      <c r="A5136" s="199"/>
      <c r="B5136" s="188"/>
      <c r="C5136" s="189"/>
      <c r="D5136" s="165"/>
      <c r="E5136" s="165"/>
      <c r="F5136" s="165"/>
      <c r="G5136" s="165"/>
      <c r="H5136" s="165"/>
      <c r="I5136" s="190"/>
      <c r="J5136" s="191"/>
      <c r="K5136" s="192"/>
      <c r="L5136" s="55"/>
      <c r="M5136" s="55"/>
      <c r="N5136" s="55"/>
    </row>
    <row r="5137" spans="1:14" x14ac:dyDescent="0.2">
      <c r="A5137" s="158"/>
      <c r="B5137" s="188"/>
      <c r="C5137" s="189"/>
      <c r="D5137" s="165"/>
      <c r="E5137" s="165"/>
      <c r="F5137" s="165"/>
      <c r="G5137" s="165"/>
      <c r="H5137" s="165"/>
      <c r="I5137" s="190"/>
      <c r="J5137" s="191"/>
      <c r="K5137" s="192"/>
      <c r="L5137" s="55"/>
      <c r="M5137" s="55"/>
      <c r="N5137" s="55"/>
    </row>
    <row r="5138" spans="1:14" x14ac:dyDescent="0.2">
      <c r="A5138" s="145"/>
      <c r="B5138" s="146"/>
      <c r="C5138" s="147"/>
      <c r="D5138" s="147"/>
      <c r="E5138" s="147"/>
      <c r="F5138" s="147"/>
      <c r="G5138" s="147"/>
      <c r="H5138" s="147"/>
      <c r="I5138" s="147"/>
      <c r="J5138" s="148"/>
      <c r="K5138" s="132"/>
      <c r="L5138" s="133"/>
    </row>
    <row r="5139" spans="1:14" x14ac:dyDescent="0.2">
      <c r="A5139" s="199"/>
      <c r="B5139" s="188"/>
      <c r="C5139" s="189"/>
      <c r="D5139" s="165"/>
      <c r="E5139" s="165"/>
      <c r="F5139" s="165"/>
      <c r="G5139" s="165"/>
      <c r="H5139" s="165"/>
      <c r="I5139" s="190"/>
      <c r="J5139" s="191"/>
      <c r="K5139" s="192"/>
      <c r="L5139" s="55"/>
      <c r="M5139" s="55"/>
      <c r="N5139" s="55"/>
    </row>
    <row r="5140" spans="1:14" x14ac:dyDescent="0.2">
      <c r="A5140" s="158"/>
      <c r="B5140" s="188"/>
      <c r="C5140" s="189"/>
      <c r="D5140" s="165"/>
      <c r="E5140" s="165"/>
      <c r="F5140" s="165"/>
      <c r="G5140" s="165"/>
      <c r="H5140" s="165"/>
      <c r="I5140" s="190"/>
      <c r="J5140" s="191"/>
      <c r="K5140" s="192"/>
      <c r="L5140" s="55"/>
      <c r="M5140" s="55"/>
      <c r="N5140" s="55"/>
    </row>
    <row r="5141" spans="1:14" x14ac:dyDescent="0.2">
      <c r="A5141" s="145"/>
      <c r="B5141" s="146"/>
      <c r="C5141" s="147"/>
      <c r="D5141" s="147"/>
      <c r="E5141" s="147"/>
      <c r="F5141" s="147"/>
      <c r="G5141" s="147"/>
      <c r="H5141" s="147"/>
      <c r="I5141" s="147"/>
      <c r="J5141" s="148"/>
      <c r="K5141" s="132"/>
      <c r="L5141" s="133"/>
    </row>
    <row r="5142" spans="1:14" x14ac:dyDescent="0.2">
      <c r="A5142" s="199"/>
      <c r="B5142" s="188"/>
      <c r="C5142" s="189"/>
      <c r="D5142" s="165"/>
      <c r="E5142" s="165"/>
      <c r="F5142" s="165"/>
      <c r="G5142" s="165"/>
      <c r="H5142" s="165"/>
      <c r="I5142" s="190"/>
      <c r="J5142" s="191"/>
      <c r="K5142" s="192"/>
      <c r="L5142" s="55"/>
      <c r="M5142" s="55"/>
      <c r="N5142" s="55"/>
    </row>
    <row r="5143" spans="1:14" x14ac:dyDescent="0.2">
      <c r="A5143" s="158"/>
      <c r="B5143" s="188"/>
      <c r="C5143" s="189"/>
      <c r="D5143" s="165"/>
      <c r="E5143" s="165"/>
      <c r="F5143" s="165"/>
      <c r="G5143" s="165"/>
      <c r="H5143" s="165"/>
      <c r="I5143" s="190"/>
      <c r="J5143" s="191"/>
      <c r="K5143" s="192"/>
      <c r="L5143" s="55"/>
      <c r="M5143" s="55"/>
      <c r="N5143" s="55"/>
    </row>
    <row r="5144" spans="1:14" x14ac:dyDescent="0.2">
      <c r="A5144" s="145"/>
      <c r="B5144" s="146"/>
      <c r="C5144" s="147"/>
      <c r="D5144" s="147"/>
      <c r="E5144" s="147"/>
      <c r="F5144" s="147"/>
      <c r="G5144" s="147"/>
      <c r="H5144" s="147"/>
      <c r="I5144" s="147"/>
      <c r="J5144" s="148"/>
      <c r="K5144" s="132"/>
      <c r="L5144" s="133"/>
    </row>
    <row r="5145" spans="1:14" ht="13.5" thickBot="1" x14ac:dyDescent="0.25">
      <c r="A5145" s="149"/>
      <c r="B5145" s="150"/>
      <c r="C5145" s="151"/>
      <c r="D5145" s="151"/>
      <c r="E5145" s="151"/>
      <c r="F5145" s="151"/>
      <c r="G5145" s="151"/>
      <c r="H5145" s="151"/>
      <c r="I5145" s="151"/>
      <c r="J5145" s="152"/>
      <c r="K5145" s="132"/>
      <c r="L5145" s="133"/>
    </row>
    <row r="5146" spans="1:14" ht="13.5" thickBot="1" x14ac:dyDescent="0.25">
      <c r="A5146" s="153"/>
      <c r="B5146" s="153"/>
      <c r="C5146" s="154"/>
      <c r="D5146" s="154"/>
      <c r="E5146" s="154"/>
      <c r="F5146" s="154"/>
      <c r="G5146" s="154"/>
      <c r="H5146" s="154"/>
      <c r="I5146" s="154"/>
      <c r="J5146" s="153"/>
      <c r="K5146" s="132"/>
      <c r="L5146" s="133"/>
    </row>
    <row r="5147" spans="1:14" ht="13.5" thickBot="1" x14ac:dyDescent="0.25">
      <c r="A5147" s="614" t="s">
        <v>62</v>
      </c>
      <c r="B5147" s="648"/>
      <c r="C5147" s="648"/>
      <c r="D5147" s="648"/>
      <c r="E5147" s="648"/>
      <c r="F5147" s="648"/>
      <c r="G5147" s="648"/>
      <c r="H5147" s="648"/>
      <c r="I5147" s="648"/>
      <c r="J5147" s="649"/>
      <c r="K5147" s="132"/>
      <c r="L5147" s="133"/>
    </row>
    <row r="5148" spans="1:14" x14ac:dyDescent="0.2">
      <c r="A5148" s="136"/>
      <c r="B5148" s="155"/>
      <c r="C5148" s="156"/>
      <c r="D5148" s="156"/>
      <c r="E5148" s="156"/>
      <c r="F5148" s="156"/>
      <c r="G5148" s="156"/>
      <c r="H5148" s="156"/>
      <c r="I5148" s="156"/>
      <c r="J5148" s="157"/>
      <c r="K5148" s="132"/>
      <c r="L5148" s="133"/>
    </row>
    <row r="5149" spans="1:14" ht="12.75" customHeight="1" x14ac:dyDescent="0.2">
      <c r="A5149" s="677" t="s">
        <v>63</v>
      </c>
      <c r="B5149" s="662"/>
      <c r="C5149" s="652" t="s">
        <v>72</v>
      </c>
      <c r="D5149" s="652"/>
      <c r="E5149" s="652"/>
      <c r="F5149" s="652"/>
      <c r="G5149" s="652"/>
      <c r="H5149" s="652"/>
      <c r="I5149" s="652"/>
      <c r="J5149" s="653"/>
      <c r="K5149" s="132"/>
      <c r="L5149" s="133"/>
    </row>
    <row r="5150" spans="1:14" x14ac:dyDescent="0.2">
      <c r="A5150" s="213"/>
      <c r="B5150" s="214"/>
      <c r="C5150" s="652"/>
      <c r="D5150" s="652"/>
      <c r="E5150" s="652"/>
      <c r="F5150" s="652"/>
      <c r="G5150" s="652"/>
      <c r="H5150" s="652"/>
      <c r="I5150" s="652"/>
      <c r="J5150" s="653"/>
      <c r="K5150" s="132"/>
      <c r="L5150" s="133"/>
    </row>
    <row r="5151" spans="1:14" x14ac:dyDescent="0.2">
      <c r="A5151" s="213"/>
      <c r="B5151" s="214"/>
      <c r="C5151" s="652"/>
      <c r="D5151" s="652"/>
      <c r="E5151" s="652"/>
      <c r="F5151" s="652"/>
      <c r="G5151" s="652"/>
      <c r="H5151" s="652"/>
      <c r="I5151" s="652"/>
      <c r="J5151" s="653"/>
      <c r="K5151" s="132"/>
      <c r="L5151" s="133"/>
    </row>
    <row r="5152" spans="1:14" x14ac:dyDescent="0.2">
      <c r="A5152" s="158"/>
      <c r="B5152" s="55"/>
      <c r="C5152" s="159"/>
      <c r="D5152" s="159"/>
      <c r="E5152" s="159"/>
      <c r="F5152" s="159"/>
      <c r="G5152" s="159"/>
      <c r="H5152" s="159"/>
      <c r="I5152" s="159"/>
      <c r="J5152" s="160"/>
      <c r="K5152" s="132"/>
      <c r="L5152" s="133"/>
    </row>
    <row r="5153" spans="1:12" ht="12.75" customHeight="1" x14ac:dyDescent="0.2">
      <c r="A5153" s="680" t="s">
        <v>64</v>
      </c>
      <c r="B5153" s="652"/>
      <c r="C5153" s="638" t="s">
        <v>751</v>
      </c>
      <c r="D5153" s="638"/>
      <c r="E5153" s="638"/>
      <c r="F5153" s="638"/>
      <c r="G5153" s="638"/>
      <c r="H5153" s="638"/>
      <c r="I5153" s="638"/>
      <c r="J5153" s="718"/>
      <c r="K5153" s="132"/>
      <c r="L5153" s="133"/>
    </row>
    <row r="5154" spans="1:12" x14ac:dyDescent="0.2">
      <c r="A5154" s="213"/>
      <c r="B5154" s="214"/>
      <c r="C5154" s="657" t="s">
        <v>524</v>
      </c>
      <c r="D5154" s="657"/>
      <c r="E5154" s="657"/>
      <c r="F5154" s="657"/>
      <c r="G5154" s="657"/>
      <c r="H5154" s="657"/>
      <c r="I5154" s="657"/>
      <c r="J5154" s="717"/>
      <c r="K5154" s="132"/>
      <c r="L5154" s="133"/>
    </row>
    <row r="5155" spans="1:12" x14ac:dyDescent="0.2">
      <c r="A5155" s="158"/>
      <c r="B5155" s="55"/>
      <c r="C5155" s="159"/>
      <c r="D5155" s="159"/>
      <c r="E5155" s="159"/>
      <c r="F5155" s="159"/>
      <c r="G5155" s="159"/>
      <c r="H5155" s="159"/>
      <c r="I5155" s="159"/>
      <c r="J5155" s="160"/>
      <c r="K5155" s="132"/>
      <c r="L5155" s="133"/>
    </row>
    <row r="5156" spans="1:12" x14ac:dyDescent="0.2">
      <c r="A5156" s="213"/>
      <c r="B5156" s="214"/>
      <c r="C5156" s="214"/>
      <c r="D5156" s="214"/>
      <c r="E5156" s="214"/>
      <c r="F5156" s="214"/>
      <c r="G5156" s="214"/>
      <c r="H5156" s="214"/>
      <c r="I5156" s="214"/>
      <c r="J5156" s="289"/>
      <c r="K5156" s="132"/>
      <c r="L5156" s="133"/>
    </row>
    <row r="5157" spans="1:12" x14ac:dyDescent="0.2">
      <c r="A5157" s="158"/>
      <c r="B5157" s="55"/>
      <c r="C5157" s="159"/>
      <c r="D5157" s="159"/>
      <c r="E5157" s="159"/>
      <c r="F5157" s="159"/>
      <c r="G5157" s="159"/>
      <c r="H5157" s="159"/>
      <c r="I5157" s="159"/>
      <c r="J5157" s="160"/>
      <c r="K5157" s="132"/>
      <c r="L5157" s="133"/>
    </row>
    <row r="5158" spans="1:12" x14ac:dyDescent="0.2">
      <c r="A5158" s="158"/>
      <c r="B5158" s="55"/>
      <c r="C5158" s="159"/>
      <c r="D5158" s="159"/>
      <c r="E5158" s="159"/>
      <c r="F5158" s="159"/>
      <c r="G5158" s="159"/>
      <c r="H5158" s="159"/>
      <c r="I5158" s="159"/>
      <c r="J5158" s="160"/>
      <c r="K5158" s="132"/>
      <c r="L5158" s="133"/>
    </row>
    <row r="5159" spans="1:12" x14ac:dyDescent="0.2">
      <c r="A5159" s="158"/>
      <c r="B5159" s="55"/>
      <c r="C5159" s="159"/>
      <c r="D5159" s="159"/>
      <c r="E5159" s="159"/>
      <c r="F5159" s="159"/>
      <c r="G5159" s="159"/>
      <c r="H5159" s="159"/>
      <c r="I5159" s="159"/>
      <c r="J5159" s="160"/>
      <c r="K5159" s="132"/>
      <c r="L5159" s="133"/>
    </row>
    <row r="5160" spans="1:12" x14ac:dyDescent="0.2">
      <c r="A5160" s="158"/>
      <c r="B5160" s="55"/>
      <c r="C5160" s="159"/>
      <c r="D5160" s="159"/>
      <c r="E5160" s="159"/>
      <c r="F5160" s="159"/>
      <c r="G5160" s="159"/>
      <c r="H5160" s="159"/>
      <c r="I5160" s="159"/>
      <c r="J5160" s="160"/>
      <c r="K5160" s="132"/>
      <c r="L5160" s="133"/>
    </row>
    <row r="5161" spans="1:12" x14ac:dyDescent="0.2">
      <c r="A5161" s="158"/>
      <c r="B5161" s="55"/>
      <c r="C5161" s="71"/>
      <c r="D5161" s="71"/>
      <c r="E5161" s="71"/>
      <c r="F5161" s="71"/>
      <c r="G5161" s="71"/>
      <c r="H5161" s="71"/>
      <c r="I5161" s="71"/>
      <c r="J5161" s="174"/>
      <c r="K5161" s="132"/>
      <c r="L5161" s="133"/>
    </row>
    <row r="5162" spans="1:12" x14ac:dyDescent="0.2">
      <c r="A5162" s="158"/>
      <c r="B5162" s="55"/>
      <c r="C5162" s="71"/>
      <c r="D5162" s="71"/>
      <c r="E5162" s="71"/>
      <c r="F5162" s="71"/>
      <c r="G5162" s="71"/>
      <c r="H5162" s="71"/>
      <c r="I5162" s="71"/>
      <c r="J5162" s="174"/>
      <c r="K5162" s="132"/>
      <c r="L5162" s="133"/>
    </row>
    <row r="5163" spans="1:12" x14ac:dyDescent="0.2">
      <c r="A5163" s="158"/>
      <c r="B5163" s="55"/>
      <c r="C5163" s="71"/>
      <c r="D5163" s="71"/>
      <c r="E5163" s="71"/>
      <c r="F5163" s="71"/>
      <c r="G5163" s="71"/>
      <c r="H5163" s="71"/>
      <c r="I5163" s="71"/>
      <c r="J5163" s="174"/>
      <c r="K5163" s="132"/>
      <c r="L5163" s="133"/>
    </row>
    <row r="5164" spans="1:12" x14ac:dyDescent="0.2">
      <c r="A5164" s="158"/>
      <c r="B5164" s="55"/>
      <c r="C5164" s="71"/>
      <c r="D5164" s="71"/>
      <c r="E5164" s="71"/>
      <c r="F5164" s="71"/>
      <c r="G5164" s="71"/>
      <c r="H5164" s="71"/>
      <c r="I5164" s="71"/>
      <c r="J5164" s="174"/>
      <c r="K5164" s="132"/>
      <c r="L5164" s="133"/>
    </row>
    <row r="5165" spans="1:12" x14ac:dyDescent="0.2">
      <c r="A5165" s="158"/>
      <c r="B5165" s="55"/>
      <c r="C5165" s="71"/>
      <c r="D5165" s="71"/>
      <c r="E5165" s="71"/>
      <c r="F5165" s="71"/>
      <c r="G5165" s="71"/>
      <c r="H5165" s="71"/>
      <c r="I5165" s="71"/>
      <c r="J5165" s="174"/>
      <c r="K5165" s="132"/>
      <c r="L5165" s="133"/>
    </row>
    <row r="5166" spans="1:12" x14ac:dyDescent="0.2">
      <c r="A5166" s="158"/>
      <c r="B5166" s="55"/>
      <c r="C5166" s="71"/>
      <c r="D5166" s="71"/>
      <c r="E5166" s="71"/>
      <c r="F5166" s="71"/>
      <c r="G5166" s="71"/>
      <c r="H5166" s="71"/>
      <c r="I5166" s="71"/>
      <c r="J5166" s="174"/>
      <c r="K5166" s="132"/>
      <c r="L5166" s="133"/>
    </row>
    <row r="5167" spans="1:12" x14ac:dyDescent="0.2">
      <c r="A5167" s="158"/>
      <c r="B5167" s="55"/>
      <c r="C5167" s="71"/>
      <c r="D5167" s="71"/>
      <c r="E5167" s="71"/>
      <c r="F5167" s="71"/>
      <c r="G5167" s="71"/>
      <c r="H5167" s="71"/>
      <c r="I5167" s="71"/>
      <c r="J5167" s="174"/>
      <c r="K5167" s="132"/>
      <c r="L5167" s="133"/>
    </row>
    <row r="5168" spans="1:12" x14ac:dyDescent="0.2">
      <c r="A5168" s="158"/>
      <c r="B5168" s="55"/>
      <c r="C5168" s="71"/>
      <c r="D5168" s="71"/>
      <c r="E5168" s="71"/>
      <c r="F5168" s="71"/>
      <c r="G5168" s="71"/>
      <c r="H5168" s="71"/>
      <c r="I5168" s="71"/>
      <c r="J5168" s="174"/>
      <c r="K5168" s="132"/>
      <c r="L5168" s="133"/>
    </row>
    <row r="5169" spans="1:14" x14ac:dyDescent="0.2">
      <c r="A5169" s="158"/>
      <c r="B5169" s="55"/>
      <c r="C5169" s="71"/>
      <c r="D5169" s="71"/>
      <c r="E5169" s="71"/>
      <c r="F5169" s="71"/>
      <c r="G5169" s="71"/>
      <c r="H5169" s="71"/>
      <c r="I5169" s="71"/>
      <c r="J5169" s="174"/>
      <c r="K5169" s="132"/>
      <c r="L5169" s="133"/>
    </row>
    <row r="5170" spans="1:14" x14ac:dyDescent="0.2">
      <c r="A5170" s="158"/>
      <c r="B5170" s="55"/>
      <c r="C5170" s="71"/>
      <c r="D5170" s="71"/>
      <c r="E5170" s="71"/>
      <c r="F5170" s="71"/>
      <c r="G5170" s="71"/>
      <c r="H5170" s="71"/>
      <c r="I5170" s="71"/>
      <c r="J5170" s="174"/>
      <c r="K5170" s="132"/>
      <c r="L5170" s="133"/>
    </row>
    <row r="5171" spans="1:14" ht="13.5" thickBot="1" x14ac:dyDescent="0.25">
      <c r="A5171" s="149"/>
      <c r="B5171" s="167"/>
      <c r="C5171" s="151"/>
      <c r="D5171" s="151"/>
      <c r="E5171" s="151"/>
      <c r="F5171" s="151"/>
      <c r="G5171" s="151"/>
      <c r="H5171" s="151"/>
      <c r="I5171" s="151"/>
      <c r="J5171" s="168"/>
      <c r="K5171" s="132"/>
      <c r="L5171" s="133"/>
    </row>
    <row r="5172" spans="1:14" ht="15.75" x14ac:dyDescent="0.2">
      <c r="A5172" s="602" t="s">
        <v>4</v>
      </c>
      <c r="B5172" s="603"/>
      <c r="C5172" s="603" t="str">
        <f>'A IV.A'!$B$155</f>
        <v>SERVIÇOS COMPLEMENTARES - ITEM 12.0 DO TERMO DE REFERÊNCIA</v>
      </c>
      <c r="D5172" s="603"/>
      <c r="E5172" s="603"/>
      <c r="F5172" s="603"/>
      <c r="G5172" s="603"/>
      <c r="H5172" s="603"/>
      <c r="I5172" s="603"/>
      <c r="J5172" s="604"/>
      <c r="K5172" s="132"/>
      <c r="L5172" s="133"/>
    </row>
    <row r="5173" spans="1:14" x14ac:dyDescent="0.2">
      <c r="A5173" s="609" t="str">
        <f>'A IV.A'!$A$155</f>
        <v>7.0</v>
      </c>
      <c r="B5173" s="610"/>
      <c r="C5173" s="605"/>
      <c r="D5173" s="605"/>
      <c r="E5173" s="605"/>
      <c r="F5173" s="605"/>
      <c r="G5173" s="605"/>
      <c r="H5173" s="605"/>
      <c r="I5173" s="605"/>
      <c r="J5173" s="606"/>
      <c r="K5173" s="132"/>
      <c r="L5173" s="133"/>
    </row>
    <row r="5174" spans="1:14" ht="13.5" thickBot="1" x14ac:dyDescent="0.25">
      <c r="A5174" s="611"/>
      <c r="B5174" s="612"/>
      <c r="C5174" s="607"/>
      <c r="D5174" s="607"/>
      <c r="E5174" s="607"/>
      <c r="F5174" s="607"/>
      <c r="G5174" s="607"/>
      <c r="H5174" s="607"/>
      <c r="I5174" s="607"/>
      <c r="J5174" s="608"/>
      <c r="K5174" s="132"/>
      <c r="L5174" s="133"/>
    </row>
    <row r="5175" spans="1:14" ht="13.5" thickBot="1" x14ac:dyDescent="0.25">
      <c r="A5175" s="169"/>
      <c r="B5175" s="169"/>
      <c r="C5175" s="613"/>
      <c r="D5175" s="613"/>
      <c r="E5175" s="613"/>
      <c r="F5175" s="613"/>
      <c r="G5175" s="613"/>
      <c r="H5175" s="613"/>
      <c r="I5175" s="613"/>
      <c r="J5175" s="169"/>
      <c r="K5175" s="132"/>
      <c r="L5175" s="133"/>
    </row>
    <row r="5176" spans="1:14" ht="13.5" thickBot="1" x14ac:dyDescent="0.25">
      <c r="A5176" s="632" t="s">
        <v>60</v>
      </c>
      <c r="B5176" s="633"/>
      <c r="C5176" s="656" t="s">
        <v>61</v>
      </c>
      <c r="D5176" s="656"/>
      <c r="E5176" s="656"/>
      <c r="F5176" s="656"/>
      <c r="G5176" s="656"/>
      <c r="H5176" s="656"/>
      <c r="I5176" s="656"/>
      <c r="J5176" s="260" t="s">
        <v>0</v>
      </c>
      <c r="K5176" s="132"/>
      <c r="L5176" s="133"/>
    </row>
    <row r="5177" spans="1:14" x14ac:dyDescent="0.2">
      <c r="A5177" s="136"/>
      <c r="B5177" s="137"/>
      <c r="C5177" s="619"/>
      <c r="D5177" s="620"/>
      <c r="E5177" s="621"/>
      <c r="F5177" s="621"/>
      <c r="G5177" s="621"/>
      <c r="H5177" s="621"/>
      <c r="I5177" s="622"/>
      <c r="J5177" s="138"/>
      <c r="K5177" s="132"/>
      <c r="L5177" s="133"/>
    </row>
    <row r="5178" spans="1:14" x14ac:dyDescent="0.2">
      <c r="A5178" s="623" t="str">
        <f>'A IV.A'!$A$165</f>
        <v>7.9</v>
      </c>
      <c r="B5178" s="624"/>
      <c r="C5178" s="626" t="str">
        <f>'A IV.A'!$B$165</f>
        <v>CORTE COM SERRA CLIPPER EM PISO CIMENTADO OU PAVIMENTAÇÃO ASFÁLTICA</v>
      </c>
      <c r="D5178" s="627"/>
      <c r="E5178" s="627"/>
      <c r="F5178" s="627"/>
      <c r="G5178" s="627"/>
      <c r="H5178" s="627"/>
      <c r="I5178" s="628"/>
      <c r="J5178" s="668" t="str">
        <f>'A IV.A'!$C$165</f>
        <v>M</v>
      </c>
      <c r="K5178" s="630" t="str">
        <f>VLOOKUP(A5178,'A IV.A'!$A$14:$M$233,2,FALSE)</f>
        <v>CORTE COM SERRA CLIPPER EM PISO CIMENTADO OU PAVIMENTAÇÃO ASFÁLTICA</v>
      </c>
      <c r="L5178" s="631" t="str">
        <f>IF(C5178=K5178,"sim","nao")</f>
        <v>sim</v>
      </c>
      <c r="M5178" s="631" t="str">
        <f>VLOOKUP(A5178,'A IV.A'!$A$14:$M$233,3,FALSE)</f>
        <v>M</v>
      </c>
      <c r="N5178" s="631" t="str">
        <f>IF(J5178=M5178,"sim","nao")</f>
        <v>sim</v>
      </c>
    </row>
    <row r="5179" spans="1:14" x14ac:dyDescent="0.2">
      <c r="A5179" s="625"/>
      <c r="B5179" s="624"/>
      <c r="C5179" s="626"/>
      <c r="D5179" s="627"/>
      <c r="E5179" s="627"/>
      <c r="F5179" s="627"/>
      <c r="G5179" s="627"/>
      <c r="H5179" s="627"/>
      <c r="I5179" s="628"/>
      <c r="J5179" s="629"/>
      <c r="K5179" s="630"/>
      <c r="L5179" s="631"/>
      <c r="M5179" s="631"/>
      <c r="N5179" s="631"/>
    </row>
    <row r="5180" spans="1:14" x14ac:dyDescent="0.2">
      <c r="A5180" s="139"/>
      <c r="B5180" s="140"/>
      <c r="C5180" s="141"/>
      <c r="D5180" s="142"/>
      <c r="E5180" s="142"/>
      <c r="F5180" s="142"/>
      <c r="G5180" s="142"/>
      <c r="H5180" s="142"/>
      <c r="I5180" s="143"/>
      <c r="J5180" s="144"/>
      <c r="K5180" s="132"/>
      <c r="L5180" s="133"/>
    </row>
    <row r="5181" spans="1:14" x14ac:dyDescent="0.2">
      <c r="A5181" s="199"/>
      <c r="B5181" s="188"/>
      <c r="C5181" s="189"/>
      <c r="D5181" s="165"/>
      <c r="E5181" s="165"/>
      <c r="F5181" s="165"/>
      <c r="G5181" s="165"/>
      <c r="H5181" s="165"/>
      <c r="I5181" s="190"/>
      <c r="J5181" s="191"/>
      <c r="K5181" s="192"/>
      <c r="L5181" s="55"/>
      <c r="M5181" s="55"/>
      <c r="N5181" s="55"/>
    </row>
    <row r="5182" spans="1:14" x14ac:dyDescent="0.2">
      <c r="A5182" s="158"/>
      <c r="B5182" s="188"/>
      <c r="C5182" s="189"/>
      <c r="D5182" s="165"/>
      <c r="E5182" s="165"/>
      <c r="F5182" s="165"/>
      <c r="G5182" s="165"/>
      <c r="H5182" s="165"/>
      <c r="I5182" s="190"/>
      <c r="J5182" s="191"/>
      <c r="K5182" s="192"/>
      <c r="L5182" s="55"/>
      <c r="M5182" s="55"/>
      <c r="N5182" s="55"/>
    </row>
    <row r="5183" spans="1:14" x14ac:dyDescent="0.2">
      <c r="A5183" s="145"/>
      <c r="B5183" s="146"/>
      <c r="C5183" s="147"/>
      <c r="D5183" s="147"/>
      <c r="E5183" s="147"/>
      <c r="F5183" s="147"/>
      <c r="G5183" s="147"/>
      <c r="H5183" s="147"/>
      <c r="I5183" s="147"/>
      <c r="J5183" s="148"/>
      <c r="K5183" s="132"/>
      <c r="L5183" s="133"/>
    </row>
    <row r="5184" spans="1:14" x14ac:dyDescent="0.2">
      <c r="A5184" s="199"/>
      <c r="B5184" s="188"/>
      <c r="C5184" s="189"/>
      <c r="D5184" s="165"/>
      <c r="E5184" s="165"/>
      <c r="F5184" s="165"/>
      <c r="G5184" s="165"/>
      <c r="H5184" s="165"/>
      <c r="I5184" s="190"/>
      <c r="J5184" s="191"/>
      <c r="K5184" s="192"/>
      <c r="L5184" s="55"/>
      <c r="M5184" s="55"/>
      <c r="N5184" s="55"/>
    </row>
    <row r="5185" spans="1:14" x14ac:dyDescent="0.2">
      <c r="A5185" s="158"/>
      <c r="B5185" s="188"/>
      <c r="C5185" s="189"/>
      <c r="D5185" s="165"/>
      <c r="E5185" s="165"/>
      <c r="F5185" s="165"/>
      <c r="G5185" s="165"/>
      <c r="H5185" s="165"/>
      <c r="I5185" s="190"/>
      <c r="J5185" s="191"/>
      <c r="K5185" s="192"/>
      <c r="L5185" s="55"/>
      <c r="M5185" s="55"/>
      <c r="N5185" s="55"/>
    </row>
    <row r="5186" spans="1:14" x14ac:dyDescent="0.2">
      <c r="A5186" s="145"/>
      <c r="B5186" s="146"/>
      <c r="C5186" s="147"/>
      <c r="D5186" s="147"/>
      <c r="E5186" s="147"/>
      <c r="F5186" s="147"/>
      <c r="G5186" s="147"/>
      <c r="H5186" s="147"/>
      <c r="I5186" s="147"/>
      <c r="J5186" s="148"/>
      <c r="K5186" s="132"/>
      <c r="L5186" s="133"/>
    </row>
    <row r="5187" spans="1:14" x14ac:dyDescent="0.2">
      <c r="A5187" s="199"/>
      <c r="B5187" s="188"/>
      <c r="C5187" s="189"/>
      <c r="D5187" s="165"/>
      <c r="E5187" s="165"/>
      <c r="F5187" s="165"/>
      <c r="G5187" s="165"/>
      <c r="H5187" s="165"/>
      <c r="I5187" s="190"/>
      <c r="J5187" s="191"/>
      <c r="K5187" s="192"/>
      <c r="L5187" s="55"/>
      <c r="M5187" s="55"/>
      <c r="N5187" s="55"/>
    </row>
    <row r="5188" spans="1:14" x14ac:dyDescent="0.2">
      <c r="A5188" s="158"/>
      <c r="B5188" s="188"/>
      <c r="C5188" s="189"/>
      <c r="D5188" s="165"/>
      <c r="E5188" s="165"/>
      <c r="F5188" s="165"/>
      <c r="G5188" s="165"/>
      <c r="H5188" s="165"/>
      <c r="I5188" s="190"/>
      <c r="J5188" s="191"/>
      <c r="K5188" s="192"/>
      <c r="L5188" s="55"/>
      <c r="M5188" s="55"/>
      <c r="N5188" s="55"/>
    </row>
    <row r="5189" spans="1:14" x14ac:dyDescent="0.2">
      <c r="A5189" s="145"/>
      <c r="B5189" s="146"/>
      <c r="C5189" s="147"/>
      <c r="D5189" s="147"/>
      <c r="E5189" s="147"/>
      <c r="F5189" s="147"/>
      <c r="G5189" s="147"/>
      <c r="H5189" s="147"/>
      <c r="I5189" s="147"/>
      <c r="J5189" s="148"/>
      <c r="K5189" s="132"/>
      <c r="L5189" s="133"/>
    </row>
    <row r="5190" spans="1:14" x14ac:dyDescent="0.2">
      <c r="A5190" s="199"/>
      <c r="B5190" s="188"/>
      <c r="C5190" s="189"/>
      <c r="D5190" s="165"/>
      <c r="E5190" s="165"/>
      <c r="F5190" s="165"/>
      <c r="G5190" s="165"/>
      <c r="H5190" s="165"/>
      <c r="I5190" s="190"/>
      <c r="J5190" s="191"/>
      <c r="K5190" s="192"/>
      <c r="L5190" s="55"/>
      <c r="M5190" s="55"/>
      <c r="N5190" s="55"/>
    </row>
    <row r="5191" spans="1:14" x14ac:dyDescent="0.2">
      <c r="A5191" s="158"/>
      <c r="B5191" s="188"/>
      <c r="C5191" s="189"/>
      <c r="D5191" s="165"/>
      <c r="E5191" s="165"/>
      <c r="F5191" s="165"/>
      <c r="G5191" s="165"/>
      <c r="H5191" s="165"/>
      <c r="I5191" s="190"/>
      <c r="J5191" s="191"/>
      <c r="K5191" s="192"/>
      <c r="L5191" s="55"/>
      <c r="M5191" s="55"/>
      <c r="N5191" s="55"/>
    </row>
    <row r="5192" spans="1:14" x14ac:dyDescent="0.2">
      <c r="A5192" s="145"/>
      <c r="B5192" s="146"/>
      <c r="C5192" s="147"/>
      <c r="D5192" s="147"/>
      <c r="E5192" s="147"/>
      <c r="F5192" s="147"/>
      <c r="G5192" s="147"/>
      <c r="H5192" s="147"/>
      <c r="I5192" s="147"/>
      <c r="J5192" s="148"/>
      <c r="K5192" s="132"/>
      <c r="L5192" s="133"/>
    </row>
    <row r="5193" spans="1:14" x14ac:dyDescent="0.2">
      <c r="A5193" s="199"/>
      <c r="B5193" s="188"/>
      <c r="C5193" s="189"/>
      <c r="D5193" s="165"/>
      <c r="E5193" s="165"/>
      <c r="F5193" s="165"/>
      <c r="G5193" s="165"/>
      <c r="H5193" s="165"/>
      <c r="I5193" s="190"/>
      <c r="J5193" s="191"/>
      <c r="K5193" s="192"/>
      <c r="L5193" s="55"/>
      <c r="M5193" s="55"/>
      <c r="N5193" s="55"/>
    </row>
    <row r="5194" spans="1:14" x14ac:dyDescent="0.2">
      <c r="A5194" s="158"/>
      <c r="B5194" s="188"/>
      <c r="C5194" s="189"/>
      <c r="D5194" s="165"/>
      <c r="E5194" s="165"/>
      <c r="F5194" s="165"/>
      <c r="G5194" s="165"/>
      <c r="H5194" s="165"/>
      <c r="I5194" s="190"/>
      <c r="J5194" s="191"/>
      <c r="K5194" s="192"/>
      <c r="L5194" s="55"/>
      <c r="M5194" s="55"/>
      <c r="N5194" s="55"/>
    </row>
    <row r="5195" spans="1:14" x14ac:dyDescent="0.2">
      <c r="A5195" s="145"/>
      <c r="B5195" s="146"/>
      <c r="C5195" s="147"/>
      <c r="D5195" s="147"/>
      <c r="E5195" s="147"/>
      <c r="F5195" s="147"/>
      <c r="G5195" s="147"/>
      <c r="H5195" s="147"/>
      <c r="I5195" s="147"/>
      <c r="J5195" s="148"/>
      <c r="K5195" s="132"/>
      <c r="L5195" s="133"/>
    </row>
    <row r="5196" spans="1:14" x14ac:dyDescent="0.2">
      <c r="A5196" s="199"/>
      <c r="B5196" s="188"/>
      <c r="C5196" s="189"/>
      <c r="D5196" s="165"/>
      <c r="E5196" s="165"/>
      <c r="F5196" s="165"/>
      <c r="G5196" s="165"/>
      <c r="H5196" s="165"/>
      <c r="I5196" s="190"/>
      <c r="J5196" s="191"/>
      <c r="K5196" s="192"/>
      <c r="L5196" s="55"/>
      <c r="M5196" s="55"/>
      <c r="N5196" s="55"/>
    </row>
    <row r="5197" spans="1:14" x14ac:dyDescent="0.2">
      <c r="A5197" s="158"/>
      <c r="B5197" s="188"/>
      <c r="C5197" s="189"/>
      <c r="D5197" s="165"/>
      <c r="E5197" s="165"/>
      <c r="F5197" s="165"/>
      <c r="G5197" s="165"/>
      <c r="H5197" s="165"/>
      <c r="I5197" s="190"/>
      <c r="J5197" s="191"/>
      <c r="K5197" s="192"/>
      <c r="L5197" s="55"/>
      <c r="M5197" s="55"/>
      <c r="N5197" s="55"/>
    </row>
    <row r="5198" spans="1:14" x14ac:dyDescent="0.2">
      <c r="A5198" s="145"/>
      <c r="B5198" s="146"/>
      <c r="C5198" s="147"/>
      <c r="D5198" s="147"/>
      <c r="E5198" s="147"/>
      <c r="F5198" s="147"/>
      <c r="G5198" s="147"/>
      <c r="H5198" s="147"/>
      <c r="I5198" s="147"/>
      <c r="J5198" s="148"/>
      <c r="K5198" s="132"/>
      <c r="L5198" s="133"/>
    </row>
    <row r="5199" spans="1:14" ht="13.5" thickBot="1" x14ac:dyDescent="0.25">
      <c r="A5199" s="149"/>
      <c r="B5199" s="150"/>
      <c r="C5199" s="151"/>
      <c r="D5199" s="151"/>
      <c r="E5199" s="151"/>
      <c r="F5199" s="151"/>
      <c r="G5199" s="151"/>
      <c r="H5199" s="151"/>
      <c r="I5199" s="151"/>
      <c r="J5199" s="152"/>
      <c r="K5199" s="132"/>
      <c r="L5199" s="133"/>
    </row>
    <row r="5200" spans="1:14" ht="13.5" thickBot="1" x14ac:dyDescent="0.25">
      <c r="A5200" s="153"/>
      <c r="B5200" s="153"/>
      <c r="C5200" s="154"/>
      <c r="D5200" s="154"/>
      <c r="E5200" s="154"/>
      <c r="F5200" s="154"/>
      <c r="G5200" s="154"/>
      <c r="H5200" s="154"/>
      <c r="I5200" s="154"/>
      <c r="J5200" s="153"/>
      <c r="K5200" s="132"/>
      <c r="L5200" s="133"/>
    </row>
    <row r="5201" spans="1:12" ht="13.5" thickBot="1" x14ac:dyDescent="0.25">
      <c r="A5201" s="614" t="s">
        <v>62</v>
      </c>
      <c r="B5201" s="648"/>
      <c r="C5201" s="648"/>
      <c r="D5201" s="648"/>
      <c r="E5201" s="648"/>
      <c r="F5201" s="648"/>
      <c r="G5201" s="648"/>
      <c r="H5201" s="648"/>
      <c r="I5201" s="648"/>
      <c r="J5201" s="649"/>
      <c r="K5201" s="132"/>
      <c r="L5201" s="133"/>
    </row>
    <row r="5202" spans="1:12" x14ac:dyDescent="0.2">
      <c r="A5202" s="136"/>
      <c r="B5202" s="155"/>
      <c r="C5202" s="156"/>
      <c r="D5202" s="156"/>
      <c r="E5202" s="156"/>
      <c r="F5202" s="156"/>
      <c r="G5202" s="156"/>
      <c r="H5202" s="156"/>
      <c r="I5202" s="156"/>
      <c r="J5202" s="157"/>
      <c r="K5202" s="132"/>
      <c r="L5202" s="133"/>
    </row>
    <row r="5203" spans="1:12" ht="12.75" customHeight="1" x14ac:dyDescent="0.2">
      <c r="A5203" s="677" t="s">
        <v>63</v>
      </c>
      <c r="B5203" s="662"/>
      <c r="C5203" s="652" t="s">
        <v>1029</v>
      </c>
      <c r="D5203" s="652"/>
      <c r="E5203" s="652"/>
      <c r="F5203" s="652"/>
      <c r="G5203" s="652"/>
      <c r="H5203" s="652"/>
      <c r="I5203" s="652"/>
      <c r="J5203" s="653"/>
      <c r="K5203" s="132"/>
      <c r="L5203" s="133"/>
    </row>
    <row r="5204" spans="1:12" x14ac:dyDescent="0.2">
      <c r="A5204" s="213"/>
      <c r="B5204" s="214"/>
      <c r="C5204" s="652"/>
      <c r="D5204" s="652"/>
      <c r="E5204" s="652"/>
      <c r="F5204" s="652"/>
      <c r="G5204" s="652"/>
      <c r="H5204" s="652"/>
      <c r="I5204" s="652"/>
      <c r="J5204" s="653"/>
      <c r="K5204" s="132"/>
      <c r="L5204" s="133"/>
    </row>
    <row r="5205" spans="1:12" x14ac:dyDescent="0.2">
      <c r="A5205" s="213"/>
      <c r="B5205" s="214"/>
      <c r="C5205" s="652"/>
      <c r="D5205" s="652"/>
      <c r="E5205" s="652"/>
      <c r="F5205" s="652"/>
      <c r="G5205" s="652"/>
      <c r="H5205" s="652"/>
      <c r="I5205" s="652"/>
      <c r="J5205" s="653"/>
      <c r="K5205" s="132"/>
      <c r="L5205" s="133"/>
    </row>
    <row r="5206" spans="1:12" x14ac:dyDescent="0.2">
      <c r="A5206" s="158"/>
      <c r="B5206" s="55"/>
      <c r="C5206" s="159"/>
      <c r="D5206" s="159"/>
      <c r="E5206" s="159"/>
      <c r="F5206" s="159"/>
      <c r="G5206" s="159"/>
      <c r="H5206" s="159"/>
      <c r="I5206" s="159"/>
      <c r="J5206" s="160"/>
      <c r="K5206" s="132"/>
      <c r="L5206" s="133"/>
    </row>
    <row r="5207" spans="1:12" ht="12.75" customHeight="1" x14ac:dyDescent="0.2">
      <c r="A5207" s="680" t="s">
        <v>64</v>
      </c>
      <c r="B5207" s="652"/>
      <c r="C5207" s="638" t="s">
        <v>1030</v>
      </c>
      <c r="D5207" s="638"/>
      <c r="E5207" s="638"/>
      <c r="F5207" s="638"/>
      <c r="G5207" s="638"/>
      <c r="H5207" s="638"/>
      <c r="I5207" s="638"/>
      <c r="J5207" s="718"/>
      <c r="K5207" s="132"/>
      <c r="L5207" s="133"/>
    </row>
    <row r="5208" spans="1:12" x14ac:dyDescent="0.2">
      <c r="A5208" s="213"/>
      <c r="B5208" s="214"/>
      <c r="C5208" s="657"/>
      <c r="D5208" s="657"/>
      <c r="E5208" s="657"/>
      <c r="F5208" s="657"/>
      <c r="G5208" s="657"/>
      <c r="H5208" s="657"/>
      <c r="I5208" s="657"/>
      <c r="J5208" s="717"/>
      <c r="K5208" s="132"/>
      <c r="L5208" s="133"/>
    </row>
    <row r="5209" spans="1:12" x14ac:dyDescent="0.2">
      <c r="A5209" s="158"/>
      <c r="B5209" s="55"/>
      <c r="C5209" s="159"/>
      <c r="D5209" s="159"/>
      <c r="E5209" s="159"/>
      <c r="F5209" s="159"/>
      <c r="G5209" s="159"/>
      <c r="H5209" s="159"/>
      <c r="I5209" s="159"/>
      <c r="J5209" s="160"/>
      <c r="K5209" s="132"/>
      <c r="L5209" s="133"/>
    </row>
    <row r="5210" spans="1:12" x14ac:dyDescent="0.2">
      <c r="A5210" s="213"/>
      <c r="B5210" s="214"/>
      <c r="C5210" s="214"/>
      <c r="D5210" s="214"/>
      <c r="E5210" s="214"/>
      <c r="F5210" s="214"/>
      <c r="G5210" s="214"/>
      <c r="H5210" s="214"/>
      <c r="I5210" s="214"/>
      <c r="J5210" s="289"/>
      <c r="K5210" s="132"/>
      <c r="L5210" s="133"/>
    </row>
    <row r="5211" spans="1:12" x14ac:dyDescent="0.2">
      <c r="A5211" s="158"/>
      <c r="B5211" s="55"/>
      <c r="C5211" s="159"/>
      <c r="D5211" s="159"/>
      <c r="E5211" s="159"/>
      <c r="F5211" s="159"/>
      <c r="G5211" s="159"/>
      <c r="H5211" s="159"/>
      <c r="I5211" s="159"/>
      <c r="J5211" s="160"/>
      <c r="K5211" s="132"/>
      <c r="L5211" s="133"/>
    </row>
    <row r="5212" spans="1:12" x14ac:dyDescent="0.2">
      <c r="A5212" s="158"/>
      <c r="B5212" s="55"/>
      <c r="C5212" s="159"/>
      <c r="D5212" s="159"/>
      <c r="E5212" s="159"/>
      <c r="F5212" s="159"/>
      <c r="G5212" s="159"/>
      <c r="H5212" s="159"/>
      <c r="I5212" s="159"/>
      <c r="J5212" s="160"/>
      <c r="K5212" s="132"/>
      <c r="L5212" s="133"/>
    </row>
    <row r="5213" spans="1:12" x14ac:dyDescent="0.2">
      <c r="A5213" s="158"/>
      <c r="B5213" s="55"/>
      <c r="C5213" s="159"/>
      <c r="D5213" s="159"/>
      <c r="E5213" s="159"/>
      <c r="F5213" s="159"/>
      <c r="G5213" s="159"/>
      <c r="H5213" s="159"/>
      <c r="I5213" s="159"/>
      <c r="J5213" s="160"/>
      <c r="K5213" s="132"/>
      <c r="L5213" s="133"/>
    </row>
    <row r="5214" spans="1:12" x14ac:dyDescent="0.2">
      <c r="A5214" s="158"/>
      <c r="B5214" s="55"/>
      <c r="C5214" s="159"/>
      <c r="D5214" s="159"/>
      <c r="E5214" s="159"/>
      <c r="F5214" s="159"/>
      <c r="G5214" s="159"/>
      <c r="H5214" s="159"/>
      <c r="I5214" s="159"/>
      <c r="J5214" s="160"/>
      <c r="K5214" s="132"/>
      <c r="L5214" s="133"/>
    </row>
    <row r="5215" spans="1:12" x14ac:dyDescent="0.2">
      <c r="A5215" s="158"/>
      <c r="B5215" s="55"/>
      <c r="C5215" s="71"/>
      <c r="D5215" s="71"/>
      <c r="E5215" s="71"/>
      <c r="F5215" s="71"/>
      <c r="G5215" s="71"/>
      <c r="H5215" s="71"/>
      <c r="I5215" s="71"/>
      <c r="J5215" s="174"/>
      <c r="K5215" s="132"/>
      <c r="L5215" s="133"/>
    </row>
    <row r="5216" spans="1:12" x14ac:dyDescent="0.2">
      <c r="A5216" s="158"/>
      <c r="B5216" s="55"/>
      <c r="C5216" s="71"/>
      <c r="D5216" s="71"/>
      <c r="E5216" s="71"/>
      <c r="F5216" s="71"/>
      <c r="G5216" s="71"/>
      <c r="H5216" s="71"/>
      <c r="I5216" s="71"/>
      <c r="J5216" s="174"/>
      <c r="K5216" s="132"/>
      <c r="L5216" s="133"/>
    </row>
    <row r="5217" spans="1:14" x14ac:dyDescent="0.2">
      <c r="A5217" s="158"/>
      <c r="B5217" s="55"/>
      <c r="C5217" s="71"/>
      <c r="D5217" s="71"/>
      <c r="E5217" s="71"/>
      <c r="F5217" s="71"/>
      <c r="G5217" s="71"/>
      <c r="H5217" s="71"/>
      <c r="I5217" s="71"/>
      <c r="J5217" s="174"/>
      <c r="K5217" s="132"/>
      <c r="L5217" s="133"/>
    </row>
    <row r="5218" spans="1:14" x14ac:dyDescent="0.2">
      <c r="A5218" s="158"/>
      <c r="B5218" s="55"/>
      <c r="C5218" s="71"/>
      <c r="D5218" s="71"/>
      <c r="E5218" s="71"/>
      <c r="F5218" s="71"/>
      <c r="G5218" s="71"/>
      <c r="H5218" s="71"/>
      <c r="I5218" s="71"/>
      <c r="J5218" s="174"/>
      <c r="K5218" s="132"/>
      <c r="L5218" s="133"/>
    </row>
    <row r="5219" spans="1:14" x14ac:dyDescent="0.2">
      <c r="A5219" s="158"/>
      <c r="B5219" s="55"/>
      <c r="C5219" s="71"/>
      <c r="D5219" s="71"/>
      <c r="E5219" s="71"/>
      <c r="F5219" s="71"/>
      <c r="G5219" s="71"/>
      <c r="H5219" s="71"/>
      <c r="I5219" s="71"/>
      <c r="J5219" s="174"/>
      <c r="K5219" s="132"/>
      <c r="L5219" s="133"/>
    </row>
    <row r="5220" spans="1:14" x14ac:dyDescent="0.2">
      <c r="A5220" s="158"/>
      <c r="B5220" s="55"/>
      <c r="C5220" s="71"/>
      <c r="D5220" s="71"/>
      <c r="E5220" s="71"/>
      <c r="F5220" s="71"/>
      <c r="G5220" s="71"/>
      <c r="H5220" s="71"/>
      <c r="I5220" s="71"/>
      <c r="J5220" s="174"/>
      <c r="K5220" s="132"/>
      <c r="L5220" s="133"/>
    </row>
    <row r="5221" spans="1:14" x14ac:dyDescent="0.2">
      <c r="A5221" s="158"/>
      <c r="B5221" s="55"/>
      <c r="C5221" s="71"/>
      <c r="D5221" s="71"/>
      <c r="E5221" s="71"/>
      <c r="F5221" s="71"/>
      <c r="G5221" s="71"/>
      <c r="H5221" s="71"/>
      <c r="I5221" s="71"/>
      <c r="J5221" s="174"/>
      <c r="K5221" s="132"/>
      <c r="L5221" s="133"/>
    </row>
    <row r="5222" spans="1:14" x14ac:dyDescent="0.2">
      <c r="A5222" s="158"/>
      <c r="B5222" s="55"/>
      <c r="C5222" s="71"/>
      <c r="D5222" s="71"/>
      <c r="E5222" s="71"/>
      <c r="F5222" s="71"/>
      <c r="G5222" s="71"/>
      <c r="H5222" s="71"/>
      <c r="I5222" s="71"/>
      <c r="J5222" s="174"/>
      <c r="K5222" s="132"/>
      <c r="L5222" s="133"/>
    </row>
    <row r="5223" spans="1:14" x14ac:dyDescent="0.2">
      <c r="A5223" s="158"/>
      <c r="B5223" s="55"/>
      <c r="C5223" s="71"/>
      <c r="D5223" s="71"/>
      <c r="E5223" s="71"/>
      <c r="F5223" s="71"/>
      <c r="G5223" s="71"/>
      <c r="H5223" s="71"/>
      <c r="I5223" s="71"/>
      <c r="J5223" s="174"/>
      <c r="K5223" s="132"/>
      <c r="L5223" s="133"/>
    </row>
    <row r="5224" spans="1:14" x14ac:dyDescent="0.2">
      <c r="A5224" s="158"/>
      <c r="B5224" s="55"/>
      <c r="C5224" s="71"/>
      <c r="D5224" s="71"/>
      <c r="E5224" s="71"/>
      <c r="F5224" s="71"/>
      <c r="G5224" s="71"/>
      <c r="H5224" s="71"/>
      <c r="I5224" s="71"/>
      <c r="J5224" s="174"/>
      <c r="K5224" s="132"/>
      <c r="L5224" s="133"/>
    </row>
    <row r="5225" spans="1:14" ht="13.5" thickBot="1" x14ac:dyDescent="0.25">
      <c r="A5225" s="149"/>
      <c r="B5225" s="167"/>
      <c r="C5225" s="151"/>
      <c r="D5225" s="151"/>
      <c r="E5225" s="151"/>
      <c r="F5225" s="151"/>
      <c r="G5225" s="151"/>
      <c r="H5225" s="151"/>
      <c r="I5225" s="151"/>
      <c r="J5225" s="168"/>
      <c r="K5225" s="132"/>
      <c r="L5225" s="133"/>
    </row>
    <row r="5226" spans="1:14" ht="15.75" x14ac:dyDescent="0.2">
      <c r="A5226" s="602" t="s">
        <v>4</v>
      </c>
      <c r="B5226" s="603"/>
      <c r="C5226" s="603" t="str">
        <f>'A IV.A'!$B$155</f>
        <v>SERVIÇOS COMPLEMENTARES - ITEM 12.0 DO TERMO DE REFERÊNCIA</v>
      </c>
      <c r="D5226" s="603"/>
      <c r="E5226" s="603"/>
      <c r="F5226" s="603"/>
      <c r="G5226" s="603"/>
      <c r="H5226" s="603"/>
      <c r="I5226" s="603"/>
      <c r="J5226" s="604"/>
      <c r="K5226" s="132"/>
      <c r="L5226" s="133"/>
    </row>
    <row r="5227" spans="1:14" x14ac:dyDescent="0.2">
      <c r="A5227" s="609" t="str">
        <f>'A IV.A'!$A$155</f>
        <v>7.0</v>
      </c>
      <c r="B5227" s="610"/>
      <c r="C5227" s="605"/>
      <c r="D5227" s="605"/>
      <c r="E5227" s="605"/>
      <c r="F5227" s="605"/>
      <c r="G5227" s="605"/>
      <c r="H5227" s="605"/>
      <c r="I5227" s="605"/>
      <c r="J5227" s="606"/>
      <c r="K5227" s="132"/>
      <c r="L5227" s="133"/>
    </row>
    <row r="5228" spans="1:14" ht="13.5" thickBot="1" x14ac:dyDescent="0.25">
      <c r="A5228" s="611"/>
      <c r="B5228" s="612"/>
      <c r="C5228" s="607"/>
      <c r="D5228" s="607"/>
      <c r="E5228" s="607"/>
      <c r="F5228" s="607"/>
      <c r="G5228" s="607"/>
      <c r="H5228" s="607"/>
      <c r="I5228" s="607"/>
      <c r="J5228" s="608"/>
      <c r="K5228" s="132"/>
      <c r="L5228" s="133"/>
    </row>
    <row r="5229" spans="1:14" ht="13.5" thickBot="1" x14ac:dyDescent="0.25">
      <c r="A5229" s="169"/>
      <c r="B5229" s="169"/>
      <c r="C5229" s="613"/>
      <c r="D5229" s="613"/>
      <c r="E5229" s="613"/>
      <c r="F5229" s="613"/>
      <c r="G5229" s="613"/>
      <c r="H5229" s="613"/>
      <c r="I5229" s="613"/>
      <c r="J5229" s="169"/>
      <c r="K5229" s="132"/>
      <c r="L5229" s="133"/>
    </row>
    <row r="5230" spans="1:14" ht="13.5" thickBot="1" x14ac:dyDescent="0.25">
      <c r="A5230" s="632" t="s">
        <v>60</v>
      </c>
      <c r="B5230" s="633"/>
      <c r="C5230" s="656" t="s">
        <v>61</v>
      </c>
      <c r="D5230" s="656"/>
      <c r="E5230" s="656"/>
      <c r="F5230" s="656"/>
      <c r="G5230" s="656"/>
      <c r="H5230" s="656"/>
      <c r="I5230" s="656"/>
      <c r="J5230" s="260" t="s">
        <v>0</v>
      </c>
      <c r="K5230" s="132"/>
      <c r="L5230" s="133"/>
    </row>
    <row r="5231" spans="1:14" x14ac:dyDescent="0.2">
      <c r="A5231" s="136"/>
      <c r="B5231" s="137"/>
      <c r="C5231" s="619"/>
      <c r="D5231" s="620"/>
      <c r="E5231" s="621"/>
      <c r="F5231" s="621"/>
      <c r="G5231" s="621"/>
      <c r="H5231" s="621"/>
      <c r="I5231" s="622"/>
      <c r="J5231" s="138"/>
      <c r="K5231" s="132"/>
      <c r="L5231" s="133"/>
    </row>
    <row r="5232" spans="1:14" x14ac:dyDescent="0.2">
      <c r="A5232" s="623" t="str">
        <f>'A IV.A'!A166</f>
        <v>7.10</v>
      </c>
      <c r="B5232" s="624"/>
      <c r="C5232" s="626" t="str">
        <f>'A IV.A'!B166</f>
        <v>ALUGUEL DE GERADOR 15 KVA, BIVOLT</v>
      </c>
      <c r="D5232" s="627"/>
      <c r="E5232" s="627"/>
      <c r="F5232" s="627"/>
      <c r="G5232" s="627"/>
      <c r="H5232" s="627"/>
      <c r="I5232" s="628"/>
      <c r="J5232" s="668" t="str">
        <f>'A IV.A'!C166</f>
        <v>UND.MÊS</v>
      </c>
      <c r="K5232" s="630" t="str">
        <f>VLOOKUP(A5232,'A IV.A'!$A$14:$M$233,2,FALSE)</f>
        <v>ALUGUEL DE GERADOR 15 KVA, BIVOLT</v>
      </c>
      <c r="L5232" s="631" t="str">
        <f>IF(C5232=K5232,"sim","nao")</f>
        <v>sim</v>
      </c>
      <c r="M5232" s="631" t="str">
        <f>VLOOKUP(A5232,'A IV.A'!$A$14:$M$233,3,FALSE)</f>
        <v>UND.MÊS</v>
      </c>
      <c r="N5232" s="631" t="str">
        <f>IF(J5232=M5232,"sim","nao")</f>
        <v>sim</v>
      </c>
    </row>
    <row r="5233" spans="1:14" x14ac:dyDescent="0.2">
      <c r="A5233" s="625"/>
      <c r="B5233" s="624"/>
      <c r="C5233" s="626"/>
      <c r="D5233" s="627"/>
      <c r="E5233" s="627"/>
      <c r="F5233" s="627"/>
      <c r="G5233" s="627"/>
      <c r="H5233" s="627"/>
      <c r="I5233" s="628"/>
      <c r="J5233" s="629"/>
      <c r="K5233" s="630"/>
      <c r="L5233" s="631"/>
      <c r="M5233" s="631"/>
      <c r="N5233" s="631"/>
    </row>
    <row r="5234" spans="1:14" x14ac:dyDescent="0.2">
      <c r="A5234" s="139"/>
      <c r="B5234" s="140"/>
      <c r="C5234" s="141"/>
      <c r="D5234" s="142"/>
      <c r="E5234" s="142"/>
      <c r="F5234" s="142"/>
      <c r="G5234" s="142"/>
      <c r="H5234" s="142"/>
      <c r="I5234" s="143"/>
      <c r="J5234" s="144"/>
      <c r="K5234" s="132"/>
      <c r="L5234" s="133"/>
    </row>
    <row r="5235" spans="1:14" x14ac:dyDescent="0.2">
      <c r="A5235" s="199"/>
      <c r="B5235" s="188"/>
      <c r="C5235" s="189"/>
      <c r="D5235" s="165"/>
      <c r="E5235" s="165"/>
      <c r="F5235" s="165"/>
      <c r="G5235" s="165"/>
      <c r="H5235" s="165"/>
      <c r="I5235" s="190"/>
      <c r="J5235" s="191"/>
      <c r="K5235" s="192"/>
      <c r="L5235" s="55"/>
      <c r="M5235" s="55"/>
      <c r="N5235" s="55"/>
    </row>
    <row r="5236" spans="1:14" x14ac:dyDescent="0.2">
      <c r="A5236" s="158"/>
      <c r="B5236" s="188"/>
      <c r="C5236" s="189"/>
      <c r="D5236" s="165"/>
      <c r="E5236" s="165"/>
      <c r="F5236" s="165"/>
      <c r="G5236" s="165"/>
      <c r="H5236" s="165"/>
      <c r="I5236" s="190"/>
      <c r="J5236" s="191"/>
      <c r="K5236" s="192"/>
      <c r="L5236" s="55"/>
      <c r="M5236" s="55"/>
      <c r="N5236" s="55"/>
    </row>
    <row r="5237" spans="1:14" x14ac:dyDescent="0.2">
      <c r="A5237" s="145"/>
      <c r="B5237" s="146"/>
      <c r="C5237" s="147"/>
      <c r="D5237" s="147"/>
      <c r="E5237" s="147"/>
      <c r="F5237" s="147"/>
      <c r="G5237" s="147"/>
      <c r="H5237" s="147"/>
      <c r="I5237" s="147"/>
      <c r="J5237" s="148"/>
      <c r="K5237" s="132"/>
      <c r="L5237" s="133"/>
    </row>
    <row r="5238" spans="1:14" x14ac:dyDescent="0.2">
      <c r="A5238" s="199"/>
      <c r="B5238" s="188"/>
      <c r="C5238" s="189"/>
      <c r="D5238" s="165"/>
      <c r="E5238" s="165"/>
      <c r="F5238" s="165"/>
      <c r="G5238" s="165"/>
      <c r="H5238" s="165"/>
      <c r="I5238" s="190"/>
      <c r="J5238" s="191"/>
      <c r="K5238" s="192"/>
      <c r="L5238" s="55"/>
      <c r="M5238" s="55"/>
      <c r="N5238" s="55"/>
    </row>
    <row r="5239" spans="1:14" x14ac:dyDescent="0.2">
      <c r="A5239" s="158"/>
      <c r="B5239" s="188"/>
      <c r="C5239" s="189"/>
      <c r="D5239" s="165"/>
      <c r="E5239" s="165"/>
      <c r="F5239" s="165"/>
      <c r="G5239" s="165"/>
      <c r="H5239" s="165"/>
      <c r="I5239" s="190"/>
      <c r="J5239" s="191"/>
      <c r="K5239" s="192"/>
      <c r="L5239" s="55"/>
      <c r="M5239" s="55"/>
      <c r="N5239" s="55"/>
    </row>
    <row r="5240" spans="1:14" x14ac:dyDescent="0.2">
      <c r="A5240" s="145"/>
      <c r="B5240" s="146"/>
      <c r="C5240" s="147"/>
      <c r="D5240" s="147"/>
      <c r="E5240" s="147"/>
      <c r="F5240" s="147"/>
      <c r="G5240" s="147"/>
      <c r="H5240" s="147"/>
      <c r="I5240" s="147"/>
      <c r="J5240" s="148"/>
      <c r="K5240" s="132"/>
      <c r="L5240" s="133"/>
    </row>
    <row r="5241" spans="1:14" x14ac:dyDescent="0.2">
      <c r="A5241" s="199"/>
      <c r="B5241" s="188"/>
      <c r="C5241" s="189"/>
      <c r="D5241" s="165"/>
      <c r="E5241" s="165"/>
      <c r="F5241" s="165"/>
      <c r="G5241" s="165"/>
      <c r="H5241" s="165"/>
      <c r="I5241" s="190"/>
      <c r="J5241" s="191"/>
      <c r="K5241" s="192"/>
      <c r="L5241" s="55"/>
      <c r="M5241" s="55"/>
      <c r="N5241" s="55"/>
    </row>
    <row r="5242" spans="1:14" x14ac:dyDescent="0.2">
      <c r="A5242" s="158"/>
      <c r="B5242" s="188"/>
      <c r="C5242" s="189"/>
      <c r="D5242" s="165"/>
      <c r="E5242" s="165"/>
      <c r="F5242" s="165"/>
      <c r="G5242" s="165"/>
      <c r="H5242" s="165"/>
      <c r="I5242" s="190"/>
      <c r="J5242" s="191"/>
      <c r="K5242" s="192"/>
      <c r="L5242" s="55"/>
      <c r="M5242" s="55"/>
      <c r="N5242" s="55"/>
    </row>
    <row r="5243" spans="1:14" x14ac:dyDescent="0.2">
      <c r="A5243" s="145"/>
      <c r="B5243" s="146"/>
      <c r="C5243" s="147"/>
      <c r="D5243" s="147"/>
      <c r="E5243" s="147"/>
      <c r="F5243" s="147"/>
      <c r="G5243" s="147"/>
      <c r="H5243" s="147"/>
      <c r="I5243" s="147"/>
      <c r="J5243" s="148"/>
      <c r="K5243" s="132"/>
      <c r="L5243" s="133"/>
    </row>
    <row r="5244" spans="1:14" x14ac:dyDescent="0.2">
      <c r="A5244" s="199"/>
      <c r="B5244" s="188"/>
      <c r="C5244" s="189"/>
      <c r="D5244" s="165"/>
      <c r="E5244" s="165"/>
      <c r="F5244" s="165"/>
      <c r="G5244" s="165"/>
      <c r="H5244" s="165"/>
      <c r="I5244" s="190"/>
      <c r="J5244" s="191"/>
      <c r="K5244" s="192"/>
      <c r="L5244" s="55"/>
      <c r="M5244" s="55"/>
      <c r="N5244" s="55"/>
    </row>
    <row r="5245" spans="1:14" x14ac:dyDescent="0.2">
      <c r="A5245" s="158"/>
      <c r="B5245" s="188"/>
      <c r="C5245" s="189"/>
      <c r="D5245" s="165"/>
      <c r="E5245" s="165"/>
      <c r="F5245" s="165"/>
      <c r="G5245" s="165"/>
      <c r="H5245" s="165"/>
      <c r="I5245" s="190"/>
      <c r="J5245" s="191"/>
      <c r="K5245" s="192"/>
      <c r="L5245" s="55"/>
      <c r="M5245" s="55"/>
      <c r="N5245" s="55"/>
    </row>
    <row r="5246" spans="1:14" x14ac:dyDescent="0.2">
      <c r="A5246" s="145"/>
      <c r="B5246" s="146"/>
      <c r="C5246" s="147"/>
      <c r="D5246" s="147"/>
      <c r="E5246" s="147"/>
      <c r="F5246" s="147"/>
      <c r="G5246" s="147"/>
      <c r="H5246" s="147"/>
      <c r="I5246" s="147"/>
      <c r="J5246" s="148"/>
      <c r="K5246" s="132"/>
      <c r="L5246" s="133"/>
    </row>
    <row r="5247" spans="1:14" x14ac:dyDescent="0.2">
      <c r="A5247" s="199"/>
      <c r="B5247" s="188"/>
      <c r="C5247" s="189"/>
      <c r="D5247" s="165"/>
      <c r="E5247" s="165"/>
      <c r="F5247" s="165"/>
      <c r="G5247" s="165"/>
      <c r="H5247" s="165"/>
      <c r="I5247" s="190"/>
      <c r="J5247" s="191"/>
      <c r="K5247" s="192"/>
      <c r="L5247" s="55"/>
      <c r="M5247" s="55"/>
      <c r="N5247" s="55"/>
    </row>
    <row r="5248" spans="1:14" x14ac:dyDescent="0.2">
      <c r="A5248" s="158"/>
      <c r="B5248" s="188"/>
      <c r="C5248" s="189"/>
      <c r="D5248" s="165"/>
      <c r="E5248" s="165"/>
      <c r="F5248" s="165"/>
      <c r="G5248" s="165"/>
      <c r="H5248" s="165"/>
      <c r="I5248" s="190"/>
      <c r="J5248" s="191"/>
      <c r="K5248" s="192"/>
      <c r="L5248" s="55"/>
      <c r="M5248" s="55"/>
      <c r="N5248" s="55"/>
    </row>
    <row r="5249" spans="1:14" x14ac:dyDescent="0.2">
      <c r="A5249" s="145"/>
      <c r="B5249" s="146"/>
      <c r="C5249" s="147"/>
      <c r="D5249" s="147"/>
      <c r="E5249" s="147"/>
      <c r="F5249" s="147"/>
      <c r="G5249" s="147"/>
      <c r="H5249" s="147"/>
      <c r="I5249" s="147"/>
      <c r="J5249" s="148"/>
      <c r="K5249" s="132"/>
      <c r="L5249" s="133"/>
    </row>
    <row r="5250" spans="1:14" x14ac:dyDescent="0.2">
      <c r="A5250" s="199"/>
      <c r="B5250" s="188"/>
      <c r="C5250" s="189"/>
      <c r="D5250" s="165"/>
      <c r="E5250" s="165"/>
      <c r="F5250" s="165"/>
      <c r="G5250" s="165"/>
      <c r="H5250" s="165"/>
      <c r="I5250" s="190"/>
      <c r="J5250" s="191"/>
      <c r="K5250" s="192"/>
      <c r="L5250" s="55"/>
      <c r="M5250" s="55"/>
      <c r="N5250" s="55"/>
    </row>
    <row r="5251" spans="1:14" x14ac:dyDescent="0.2">
      <c r="A5251" s="158"/>
      <c r="B5251" s="188"/>
      <c r="C5251" s="189"/>
      <c r="D5251" s="165"/>
      <c r="E5251" s="165"/>
      <c r="F5251" s="165"/>
      <c r="G5251" s="165"/>
      <c r="H5251" s="165"/>
      <c r="I5251" s="190"/>
      <c r="J5251" s="191"/>
      <c r="K5251" s="192"/>
      <c r="L5251" s="55"/>
      <c r="M5251" s="55"/>
      <c r="N5251" s="55"/>
    </row>
    <row r="5252" spans="1:14" x14ac:dyDescent="0.2">
      <c r="A5252" s="145"/>
      <c r="B5252" s="146"/>
      <c r="C5252" s="147"/>
      <c r="D5252" s="147"/>
      <c r="E5252" s="147"/>
      <c r="F5252" s="147"/>
      <c r="G5252" s="147"/>
      <c r="H5252" s="147"/>
      <c r="I5252" s="147"/>
      <c r="J5252" s="148"/>
      <c r="K5252" s="132"/>
      <c r="L5252" s="133"/>
    </row>
    <row r="5253" spans="1:14" ht="13.5" thickBot="1" x14ac:dyDescent="0.25">
      <c r="A5253" s="149"/>
      <c r="B5253" s="150"/>
      <c r="C5253" s="151"/>
      <c r="D5253" s="151"/>
      <c r="E5253" s="151"/>
      <c r="F5253" s="151"/>
      <c r="G5253" s="151"/>
      <c r="H5253" s="151"/>
      <c r="I5253" s="151"/>
      <c r="J5253" s="152"/>
      <c r="K5253" s="132"/>
      <c r="L5253" s="133"/>
    </row>
    <row r="5254" spans="1:14" ht="13.5" thickBot="1" x14ac:dyDescent="0.25">
      <c r="A5254" s="153"/>
      <c r="B5254" s="153"/>
      <c r="C5254" s="154"/>
      <c r="D5254" s="154"/>
      <c r="E5254" s="154"/>
      <c r="F5254" s="154"/>
      <c r="G5254" s="154"/>
      <c r="H5254" s="154"/>
      <c r="I5254" s="154"/>
      <c r="J5254" s="153"/>
      <c r="K5254" s="132"/>
      <c r="L5254" s="133"/>
    </row>
    <row r="5255" spans="1:14" ht="13.5" thickBot="1" x14ac:dyDescent="0.25">
      <c r="A5255" s="614" t="s">
        <v>62</v>
      </c>
      <c r="B5255" s="648"/>
      <c r="C5255" s="648"/>
      <c r="D5255" s="648"/>
      <c r="E5255" s="648"/>
      <c r="F5255" s="648"/>
      <c r="G5255" s="648"/>
      <c r="H5255" s="648"/>
      <c r="I5255" s="648"/>
      <c r="J5255" s="649"/>
      <c r="K5255" s="132"/>
      <c r="L5255" s="133"/>
    </row>
    <row r="5256" spans="1:14" x14ac:dyDescent="0.2">
      <c r="A5256" s="136"/>
      <c r="B5256" s="155"/>
      <c r="C5256" s="156"/>
      <c r="D5256" s="156"/>
      <c r="E5256" s="156"/>
      <c r="F5256" s="156"/>
      <c r="G5256" s="156"/>
      <c r="H5256" s="156"/>
      <c r="I5256" s="156"/>
      <c r="J5256" s="157"/>
      <c r="K5256" s="132"/>
      <c r="L5256" s="133"/>
    </row>
    <row r="5257" spans="1:14" ht="12.75" customHeight="1" x14ac:dyDescent="0.2">
      <c r="A5257" s="677" t="s">
        <v>63</v>
      </c>
      <c r="B5257" s="662"/>
      <c r="C5257" s="652" t="s">
        <v>1127</v>
      </c>
      <c r="D5257" s="652"/>
      <c r="E5257" s="652"/>
      <c r="F5257" s="652"/>
      <c r="G5257" s="652"/>
      <c r="H5257" s="652"/>
      <c r="I5257" s="652"/>
      <c r="J5257" s="653"/>
      <c r="K5257" s="132"/>
      <c r="L5257" s="133"/>
    </row>
    <row r="5258" spans="1:14" x14ac:dyDescent="0.2">
      <c r="A5258" s="213"/>
      <c r="B5258" s="214"/>
      <c r="C5258" s="652"/>
      <c r="D5258" s="652"/>
      <c r="E5258" s="652"/>
      <c r="F5258" s="652"/>
      <c r="G5258" s="652"/>
      <c r="H5258" s="652"/>
      <c r="I5258" s="652"/>
      <c r="J5258" s="653"/>
      <c r="K5258" s="132"/>
      <c r="L5258" s="133"/>
    </row>
    <row r="5259" spans="1:14" x14ac:dyDescent="0.2">
      <c r="A5259" s="213"/>
      <c r="B5259" s="214"/>
      <c r="C5259" s="652"/>
      <c r="D5259" s="652"/>
      <c r="E5259" s="652"/>
      <c r="F5259" s="652"/>
      <c r="G5259" s="652"/>
      <c r="H5259" s="652"/>
      <c r="I5259" s="652"/>
      <c r="J5259" s="653"/>
      <c r="K5259" s="132"/>
      <c r="L5259" s="133"/>
    </row>
    <row r="5260" spans="1:14" x14ac:dyDescent="0.2">
      <c r="A5260" s="158"/>
      <c r="B5260" s="55"/>
      <c r="C5260" s="159"/>
      <c r="D5260" s="159"/>
      <c r="E5260" s="159"/>
      <c r="F5260" s="159"/>
      <c r="G5260" s="159"/>
      <c r="H5260" s="159"/>
      <c r="I5260" s="159"/>
      <c r="J5260" s="160"/>
      <c r="K5260" s="132"/>
      <c r="L5260" s="133"/>
    </row>
    <row r="5261" spans="1:14" ht="12.75" customHeight="1" x14ac:dyDescent="0.2">
      <c r="A5261" s="680" t="s">
        <v>64</v>
      </c>
      <c r="B5261" s="652"/>
      <c r="C5261" s="638" t="s">
        <v>1030</v>
      </c>
      <c r="D5261" s="638"/>
      <c r="E5261" s="638"/>
      <c r="F5261" s="638"/>
      <c r="G5261" s="638"/>
      <c r="H5261" s="638"/>
      <c r="I5261" s="638"/>
      <c r="J5261" s="718"/>
      <c r="K5261" s="132"/>
      <c r="L5261" s="133"/>
    </row>
    <row r="5262" spans="1:14" x14ac:dyDescent="0.2">
      <c r="A5262" s="213"/>
      <c r="B5262" s="214"/>
      <c r="C5262" s="657"/>
      <c r="D5262" s="657"/>
      <c r="E5262" s="657"/>
      <c r="F5262" s="657"/>
      <c r="G5262" s="657"/>
      <c r="H5262" s="657"/>
      <c r="I5262" s="657"/>
      <c r="J5262" s="717"/>
      <c r="K5262" s="132"/>
      <c r="L5262" s="133"/>
    </row>
    <row r="5263" spans="1:14" x14ac:dyDescent="0.2">
      <c r="A5263" s="158"/>
      <c r="B5263" s="55"/>
      <c r="C5263" s="159"/>
      <c r="D5263" s="159"/>
      <c r="E5263" s="159"/>
      <c r="F5263" s="159"/>
      <c r="G5263" s="159"/>
      <c r="H5263" s="159"/>
      <c r="I5263" s="159"/>
      <c r="J5263" s="160"/>
      <c r="K5263" s="132"/>
      <c r="L5263" s="133"/>
    </row>
    <row r="5264" spans="1:14" x14ac:dyDescent="0.2">
      <c r="A5264" s="213"/>
      <c r="B5264" s="214"/>
      <c r="C5264" s="214"/>
      <c r="D5264" s="214"/>
      <c r="E5264" s="214"/>
      <c r="F5264" s="214"/>
      <c r="G5264" s="214"/>
      <c r="H5264" s="214"/>
      <c r="I5264" s="214"/>
      <c r="J5264" s="289"/>
      <c r="K5264" s="132"/>
      <c r="L5264" s="133"/>
    </row>
    <row r="5265" spans="1:12" x14ac:dyDescent="0.2">
      <c r="A5265" s="158"/>
      <c r="B5265" s="55"/>
      <c r="C5265" s="159"/>
      <c r="D5265" s="159"/>
      <c r="E5265" s="159"/>
      <c r="F5265" s="159"/>
      <c r="G5265" s="159"/>
      <c r="H5265" s="159"/>
      <c r="I5265" s="159"/>
      <c r="J5265" s="160"/>
      <c r="K5265" s="132"/>
      <c r="L5265" s="133"/>
    </row>
    <row r="5266" spans="1:12" x14ac:dyDescent="0.2">
      <c r="A5266" s="158"/>
      <c r="B5266" s="55"/>
      <c r="C5266" s="159"/>
      <c r="D5266" s="159"/>
      <c r="E5266" s="159"/>
      <c r="F5266" s="159"/>
      <c r="G5266" s="159"/>
      <c r="H5266" s="159"/>
      <c r="I5266" s="159"/>
      <c r="J5266" s="160"/>
      <c r="K5266" s="132"/>
      <c r="L5266" s="133"/>
    </row>
    <row r="5267" spans="1:12" x14ac:dyDescent="0.2">
      <c r="A5267" s="158"/>
      <c r="B5267" s="55"/>
      <c r="C5267" s="159"/>
      <c r="D5267" s="159"/>
      <c r="E5267" s="159"/>
      <c r="F5267" s="159"/>
      <c r="G5267" s="159"/>
      <c r="H5267" s="159"/>
      <c r="I5267" s="159"/>
      <c r="J5267" s="160"/>
      <c r="K5267" s="132"/>
      <c r="L5267" s="133"/>
    </row>
    <row r="5268" spans="1:12" x14ac:dyDescent="0.2">
      <c r="A5268" s="158"/>
      <c r="B5268" s="55"/>
      <c r="C5268" s="159"/>
      <c r="D5268" s="159"/>
      <c r="E5268" s="159"/>
      <c r="F5268" s="159"/>
      <c r="G5268" s="159"/>
      <c r="H5268" s="159"/>
      <c r="I5268" s="159"/>
      <c r="J5268" s="160"/>
      <c r="K5268" s="132"/>
      <c r="L5268" s="133"/>
    </row>
    <row r="5269" spans="1:12" x14ac:dyDescent="0.2">
      <c r="A5269" s="158"/>
      <c r="B5269" s="55"/>
      <c r="C5269" s="71"/>
      <c r="D5269" s="71"/>
      <c r="E5269" s="71"/>
      <c r="F5269" s="71"/>
      <c r="G5269" s="71"/>
      <c r="H5269" s="71"/>
      <c r="I5269" s="71"/>
      <c r="J5269" s="174"/>
      <c r="K5269" s="132"/>
      <c r="L5269" s="133"/>
    </row>
    <row r="5270" spans="1:12" x14ac:dyDescent="0.2">
      <c r="A5270" s="158"/>
      <c r="B5270" s="55"/>
      <c r="C5270" s="71"/>
      <c r="D5270" s="71"/>
      <c r="E5270" s="71"/>
      <c r="F5270" s="71"/>
      <c r="G5270" s="71"/>
      <c r="H5270" s="71"/>
      <c r="I5270" s="71"/>
      <c r="J5270" s="174"/>
      <c r="K5270" s="132"/>
      <c r="L5270" s="133"/>
    </row>
    <row r="5271" spans="1:12" x14ac:dyDescent="0.2">
      <c r="A5271" s="158"/>
      <c r="B5271" s="55"/>
      <c r="C5271" s="71"/>
      <c r="D5271" s="71"/>
      <c r="E5271" s="71"/>
      <c r="F5271" s="71"/>
      <c r="G5271" s="71"/>
      <c r="H5271" s="71"/>
      <c r="I5271" s="71"/>
      <c r="J5271" s="174"/>
      <c r="K5271" s="132"/>
      <c r="L5271" s="133"/>
    </row>
    <row r="5272" spans="1:12" x14ac:dyDescent="0.2">
      <c r="A5272" s="158"/>
      <c r="B5272" s="55"/>
      <c r="C5272" s="71"/>
      <c r="D5272" s="71"/>
      <c r="E5272" s="71"/>
      <c r="F5272" s="71"/>
      <c r="G5272" s="71"/>
      <c r="H5272" s="71"/>
      <c r="I5272" s="71"/>
      <c r="J5272" s="174"/>
      <c r="K5272" s="132"/>
      <c r="L5272" s="133"/>
    </row>
    <row r="5273" spans="1:12" x14ac:dyDescent="0.2">
      <c r="A5273" s="158"/>
      <c r="B5273" s="55"/>
      <c r="C5273" s="71"/>
      <c r="D5273" s="71"/>
      <c r="E5273" s="71"/>
      <c r="F5273" s="71"/>
      <c r="G5273" s="71"/>
      <c r="H5273" s="71"/>
      <c r="I5273" s="71"/>
      <c r="J5273" s="174"/>
      <c r="K5273" s="132"/>
      <c r="L5273" s="133"/>
    </row>
    <row r="5274" spans="1:12" x14ac:dyDescent="0.2">
      <c r="A5274" s="158"/>
      <c r="B5274" s="55"/>
      <c r="C5274" s="71"/>
      <c r="D5274" s="71"/>
      <c r="E5274" s="71"/>
      <c r="F5274" s="71"/>
      <c r="G5274" s="71"/>
      <c r="H5274" s="71"/>
      <c r="I5274" s="71"/>
      <c r="J5274" s="174"/>
      <c r="K5274" s="132"/>
      <c r="L5274" s="133"/>
    </row>
    <row r="5275" spans="1:12" x14ac:dyDescent="0.2">
      <c r="A5275" s="158"/>
      <c r="B5275" s="55"/>
      <c r="C5275" s="71"/>
      <c r="D5275" s="71"/>
      <c r="E5275" s="71"/>
      <c r="F5275" s="71"/>
      <c r="G5275" s="71"/>
      <c r="H5275" s="71"/>
      <c r="I5275" s="71"/>
      <c r="J5275" s="174"/>
      <c r="K5275" s="132"/>
      <c r="L5275" s="133"/>
    </row>
    <row r="5276" spans="1:12" x14ac:dyDescent="0.2">
      <c r="A5276" s="158"/>
      <c r="B5276" s="55"/>
      <c r="C5276" s="71"/>
      <c r="D5276" s="71"/>
      <c r="E5276" s="71"/>
      <c r="F5276" s="71"/>
      <c r="G5276" s="71"/>
      <c r="H5276" s="71"/>
      <c r="I5276" s="71"/>
      <c r="J5276" s="174"/>
      <c r="K5276" s="132"/>
      <c r="L5276" s="133"/>
    </row>
    <row r="5277" spans="1:12" x14ac:dyDescent="0.2">
      <c r="A5277" s="158"/>
      <c r="B5277" s="55"/>
      <c r="C5277" s="71"/>
      <c r="D5277" s="71"/>
      <c r="E5277" s="71"/>
      <c r="F5277" s="71"/>
      <c r="G5277" s="71"/>
      <c r="H5277" s="71"/>
      <c r="I5277" s="71"/>
      <c r="J5277" s="174"/>
      <c r="K5277" s="132"/>
      <c r="L5277" s="133"/>
    </row>
    <row r="5278" spans="1:12" x14ac:dyDescent="0.2">
      <c r="A5278" s="158"/>
      <c r="B5278" s="55"/>
      <c r="C5278" s="71"/>
      <c r="D5278" s="71"/>
      <c r="E5278" s="71"/>
      <c r="F5278" s="71"/>
      <c r="G5278" s="71"/>
      <c r="H5278" s="71"/>
      <c r="I5278" s="71"/>
      <c r="J5278" s="174"/>
      <c r="K5278" s="132"/>
      <c r="L5278" s="133"/>
    </row>
    <row r="5279" spans="1:12" ht="13.5" thickBot="1" x14ac:dyDescent="0.25">
      <c r="A5279" s="149"/>
      <c r="B5279" s="167"/>
      <c r="C5279" s="151"/>
      <c r="D5279" s="151"/>
      <c r="E5279" s="151"/>
      <c r="F5279" s="151"/>
      <c r="G5279" s="151"/>
      <c r="H5279" s="151"/>
      <c r="I5279" s="151"/>
      <c r="J5279" s="168"/>
      <c r="K5279" s="132"/>
      <c r="L5279" s="133"/>
    </row>
    <row r="5280" spans="1:12" ht="15.75" x14ac:dyDescent="0.2">
      <c r="A5280" s="602" t="s">
        <v>4</v>
      </c>
      <c r="B5280" s="603"/>
      <c r="C5280" s="603" t="str">
        <f>'A IV.A'!$B$155</f>
        <v>SERVIÇOS COMPLEMENTARES - ITEM 12.0 DO TERMO DE REFERÊNCIA</v>
      </c>
      <c r="D5280" s="603"/>
      <c r="E5280" s="603"/>
      <c r="F5280" s="603"/>
      <c r="G5280" s="603"/>
      <c r="H5280" s="603"/>
      <c r="I5280" s="603"/>
      <c r="J5280" s="604"/>
      <c r="K5280" s="132"/>
      <c r="L5280" s="133"/>
    </row>
    <row r="5281" spans="1:14" x14ac:dyDescent="0.2">
      <c r="A5281" s="609" t="str">
        <f>'A IV.A'!$A$155</f>
        <v>7.0</v>
      </c>
      <c r="B5281" s="610"/>
      <c r="C5281" s="605"/>
      <c r="D5281" s="605"/>
      <c r="E5281" s="605"/>
      <c r="F5281" s="605"/>
      <c r="G5281" s="605"/>
      <c r="H5281" s="605"/>
      <c r="I5281" s="605"/>
      <c r="J5281" s="606"/>
      <c r="K5281" s="132"/>
      <c r="L5281" s="133"/>
    </row>
    <row r="5282" spans="1:14" ht="13.5" thickBot="1" x14ac:dyDescent="0.25">
      <c r="A5282" s="611"/>
      <c r="B5282" s="612"/>
      <c r="C5282" s="607"/>
      <c r="D5282" s="607"/>
      <c r="E5282" s="607"/>
      <c r="F5282" s="607"/>
      <c r="G5282" s="607"/>
      <c r="H5282" s="607"/>
      <c r="I5282" s="607"/>
      <c r="J5282" s="608"/>
      <c r="K5282" s="132"/>
      <c r="L5282" s="133"/>
    </row>
    <row r="5283" spans="1:14" ht="13.5" thickBot="1" x14ac:dyDescent="0.25">
      <c r="A5283" s="169"/>
      <c r="B5283" s="169"/>
      <c r="C5283" s="613"/>
      <c r="D5283" s="613"/>
      <c r="E5283" s="613"/>
      <c r="F5283" s="613"/>
      <c r="G5283" s="613"/>
      <c r="H5283" s="613"/>
      <c r="I5283" s="613"/>
      <c r="J5283" s="169"/>
      <c r="K5283" s="132"/>
      <c r="L5283" s="133"/>
    </row>
    <row r="5284" spans="1:14" ht="13.5" thickBot="1" x14ac:dyDescent="0.25">
      <c r="A5284" s="632" t="s">
        <v>60</v>
      </c>
      <c r="B5284" s="633"/>
      <c r="C5284" s="656" t="s">
        <v>61</v>
      </c>
      <c r="D5284" s="656"/>
      <c r="E5284" s="656"/>
      <c r="F5284" s="656"/>
      <c r="G5284" s="656"/>
      <c r="H5284" s="656"/>
      <c r="I5284" s="656"/>
      <c r="J5284" s="260" t="s">
        <v>0</v>
      </c>
      <c r="K5284" s="132"/>
      <c r="L5284" s="133"/>
    </row>
    <row r="5285" spans="1:14" x14ac:dyDescent="0.2">
      <c r="A5285" s="136"/>
      <c r="B5285" s="137"/>
      <c r="C5285" s="619"/>
      <c r="D5285" s="620"/>
      <c r="E5285" s="621"/>
      <c r="F5285" s="621"/>
      <c r="G5285" s="621"/>
      <c r="H5285" s="621"/>
      <c r="I5285" s="622"/>
      <c r="J5285" s="138"/>
      <c r="K5285" s="132"/>
      <c r="L5285" s="133"/>
    </row>
    <row r="5286" spans="1:14" x14ac:dyDescent="0.2">
      <c r="A5286" s="623" t="str">
        <f>'A IV.A'!A167</f>
        <v>7.11</v>
      </c>
      <c r="B5286" s="624"/>
      <c r="C5286" s="626" t="str">
        <f>'A IV.A'!B167</f>
        <v>OPERAÇÃO DE GERADOR - MATERIAS DE CONSUMO</v>
      </c>
      <c r="D5286" s="627"/>
      <c r="E5286" s="627"/>
      <c r="F5286" s="627"/>
      <c r="G5286" s="627"/>
      <c r="H5286" s="627"/>
      <c r="I5286" s="628"/>
      <c r="J5286" s="668" t="str">
        <f>'A IV.A'!C167</f>
        <v>H</v>
      </c>
      <c r="K5286" s="630" t="str">
        <f>VLOOKUP(A5286,'A IV.A'!$A$14:$M$233,2,FALSE)</f>
        <v>OPERAÇÃO DE GERADOR - MATERIAS DE CONSUMO</v>
      </c>
      <c r="L5286" s="631" t="str">
        <f>IF(C5286=K5286,"sim","nao")</f>
        <v>sim</v>
      </c>
      <c r="M5286" s="631" t="str">
        <f>VLOOKUP(A5286,'A IV.A'!$A$14:$M$233,3,FALSE)</f>
        <v>H</v>
      </c>
      <c r="N5286" s="631" t="str">
        <f>IF(J5286=M5286,"sim","nao")</f>
        <v>sim</v>
      </c>
    </row>
    <row r="5287" spans="1:14" x14ac:dyDescent="0.2">
      <c r="A5287" s="625"/>
      <c r="B5287" s="624"/>
      <c r="C5287" s="626"/>
      <c r="D5287" s="627"/>
      <c r="E5287" s="627"/>
      <c r="F5287" s="627"/>
      <c r="G5287" s="627"/>
      <c r="H5287" s="627"/>
      <c r="I5287" s="628"/>
      <c r="J5287" s="629"/>
      <c r="K5287" s="630"/>
      <c r="L5287" s="631"/>
      <c r="M5287" s="631"/>
      <c r="N5287" s="631"/>
    </row>
    <row r="5288" spans="1:14" x14ac:dyDescent="0.2">
      <c r="A5288" s="139"/>
      <c r="B5288" s="140"/>
      <c r="C5288" s="141"/>
      <c r="D5288" s="142"/>
      <c r="E5288" s="142"/>
      <c r="F5288" s="142"/>
      <c r="G5288" s="142"/>
      <c r="H5288" s="142"/>
      <c r="I5288" s="143"/>
      <c r="J5288" s="144"/>
      <c r="K5288" s="132"/>
      <c r="L5288" s="133"/>
    </row>
    <row r="5289" spans="1:14" x14ac:dyDescent="0.2">
      <c r="A5289" s="199"/>
      <c r="B5289" s="188"/>
      <c r="C5289" s="189"/>
      <c r="D5289" s="165"/>
      <c r="E5289" s="165"/>
      <c r="F5289" s="165"/>
      <c r="G5289" s="165"/>
      <c r="H5289" s="165"/>
      <c r="I5289" s="190"/>
      <c r="J5289" s="191"/>
      <c r="K5289" s="192"/>
      <c r="L5289" s="55"/>
      <c r="M5289" s="55"/>
      <c r="N5289" s="55"/>
    </row>
    <row r="5290" spans="1:14" x14ac:dyDescent="0.2">
      <c r="A5290" s="158"/>
      <c r="B5290" s="188"/>
      <c r="C5290" s="189"/>
      <c r="D5290" s="165"/>
      <c r="E5290" s="165"/>
      <c r="F5290" s="165"/>
      <c r="G5290" s="165"/>
      <c r="H5290" s="165"/>
      <c r="I5290" s="190"/>
      <c r="J5290" s="191"/>
      <c r="K5290" s="192"/>
      <c r="L5290" s="55"/>
      <c r="M5290" s="55"/>
      <c r="N5290" s="55"/>
    </row>
    <row r="5291" spans="1:14" x14ac:dyDescent="0.2">
      <c r="A5291" s="145"/>
      <c r="B5291" s="146"/>
      <c r="C5291" s="147"/>
      <c r="D5291" s="147"/>
      <c r="E5291" s="147"/>
      <c r="F5291" s="147"/>
      <c r="G5291" s="147"/>
      <c r="H5291" s="147"/>
      <c r="I5291" s="147"/>
      <c r="J5291" s="148"/>
      <c r="K5291" s="132"/>
      <c r="L5291" s="133"/>
    </row>
    <row r="5292" spans="1:14" x14ac:dyDescent="0.2">
      <c r="A5292" s="199"/>
      <c r="B5292" s="188"/>
      <c r="C5292" s="189"/>
      <c r="D5292" s="165"/>
      <c r="E5292" s="165"/>
      <c r="F5292" s="165"/>
      <c r="G5292" s="165"/>
      <c r="H5292" s="165"/>
      <c r="I5292" s="190"/>
      <c r="J5292" s="191"/>
      <c r="K5292" s="192"/>
      <c r="L5292" s="55"/>
      <c r="M5292" s="55"/>
      <c r="N5292" s="55"/>
    </row>
    <row r="5293" spans="1:14" x14ac:dyDescent="0.2">
      <c r="A5293" s="158"/>
      <c r="B5293" s="188"/>
      <c r="C5293" s="189"/>
      <c r="D5293" s="165"/>
      <c r="E5293" s="165"/>
      <c r="F5293" s="165"/>
      <c r="G5293" s="165"/>
      <c r="H5293" s="165"/>
      <c r="I5293" s="190"/>
      <c r="J5293" s="191"/>
      <c r="K5293" s="192"/>
      <c r="L5293" s="55"/>
      <c r="M5293" s="55"/>
      <c r="N5293" s="55"/>
    </row>
    <row r="5294" spans="1:14" x14ac:dyDescent="0.2">
      <c r="A5294" s="145"/>
      <c r="B5294" s="146"/>
      <c r="C5294" s="147"/>
      <c r="D5294" s="147"/>
      <c r="E5294" s="147"/>
      <c r="F5294" s="147"/>
      <c r="G5294" s="147"/>
      <c r="H5294" s="147"/>
      <c r="I5294" s="147"/>
      <c r="J5294" s="148"/>
      <c r="K5294" s="132"/>
      <c r="L5294" s="133"/>
    </row>
    <row r="5295" spans="1:14" x14ac:dyDescent="0.2">
      <c r="A5295" s="199"/>
      <c r="B5295" s="188"/>
      <c r="C5295" s="189"/>
      <c r="D5295" s="165"/>
      <c r="E5295" s="165"/>
      <c r="F5295" s="165"/>
      <c r="G5295" s="165"/>
      <c r="H5295" s="165"/>
      <c r="I5295" s="190"/>
      <c r="J5295" s="191"/>
      <c r="K5295" s="192"/>
      <c r="L5295" s="55"/>
      <c r="M5295" s="55"/>
      <c r="N5295" s="55"/>
    </row>
    <row r="5296" spans="1:14" x14ac:dyDescent="0.2">
      <c r="A5296" s="158"/>
      <c r="B5296" s="188"/>
      <c r="C5296" s="189"/>
      <c r="D5296" s="165"/>
      <c r="E5296" s="165"/>
      <c r="F5296" s="165"/>
      <c r="G5296" s="165"/>
      <c r="H5296" s="165"/>
      <c r="I5296" s="190"/>
      <c r="J5296" s="191"/>
      <c r="K5296" s="192"/>
      <c r="L5296" s="55"/>
      <c r="M5296" s="55"/>
      <c r="N5296" s="55"/>
    </row>
    <row r="5297" spans="1:14" x14ac:dyDescent="0.2">
      <c r="A5297" s="145"/>
      <c r="B5297" s="146"/>
      <c r="C5297" s="147"/>
      <c r="D5297" s="147"/>
      <c r="E5297" s="147"/>
      <c r="F5297" s="147"/>
      <c r="G5297" s="147"/>
      <c r="H5297" s="147"/>
      <c r="I5297" s="147"/>
      <c r="J5297" s="148"/>
      <c r="K5297" s="132"/>
      <c r="L5297" s="133"/>
    </row>
    <row r="5298" spans="1:14" x14ac:dyDescent="0.2">
      <c r="A5298" s="199"/>
      <c r="B5298" s="188"/>
      <c r="C5298" s="189"/>
      <c r="D5298" s="165"/>
      <c r="E5298" s="165"/>
      <c r="F5298" s="165"/>
      <c r="G5298" s="165"/>
      <c r="H5298" s="165"/>
      <c r="I5298" s="190"/>
      <c r="J5298" s="191"/>
      <c r="K5298" s="192"/>
      <c r="L5298" s="55"/>
      <c r="M5298" s="55"/>
      <c r="N5298" s="55"/>
    </row>
    <row r="5299" spans="1:14" x14ac:dyDescent="0.2">
      <c r="A5299" s="158"/>
      <c r="B5299" s="188"/>
      <c r="C5299" s="189"/>
      <c r="D5299" s="165"/>
      <c r="E5299" s="165"/>
      <c r="F5299" s="165"/>
      <c r="G5299" s="165"/>
      <c r="H5299" s="165"/>
      <c r="I5299" s="190"/>
      <c r="J5299" s="191"/>
      <c r="K5299" s="192"/>
      <c r="L5299" s="55"/>
      <c r="M5299" s="55"/>
      <c r="N5299" s="55"/>
    </row>
    <row r="5300" spans="1:14" x14ac:dyDescent="0.2">
      <c r="A5300" s="145"/>
      <c r="B5300" s="146"/>
      <c r="C5300" s="147"/>
      <c r="D5300" s="147"/>
      <c r="E5300" s="147"/>
      <c r="F5300" s="147"/>
      <c r="G5300" s="147"/>
      <c r="H5300" s="147"/>
      <c r="I5300" s="147"/>
      <c r="J5300" s="148"/>
      <c r="K5300" s="132"/>
      <c r="L5300" s="133"/>
    </row>
    <row r="5301" spans="1:14" x14ac:dyDescent="0.2">
      <c r="A5301" s="199"/>
      <c r="B5301" s="188"/>
      <c r="C5301" s="189"/>
      <c r="D5301" s="165"/>
      <c r="E5301" s="165"/>
      <c r="F5301" s="165"/>
      <c r="G5301" s="165"/>
      <c r="H5301" s="165"/>
      <c r="I5301" s="190"/>
      <c r="J5301" s="191"/>
      <c r="K5301" s="192"/>
      <c r="L5301" s="55"/>
      <c r="M5301" s="55"/>
      <c r="N5301" s="55"/>
    </row>
    <row r="5302" spans="1:14" x14ac:dyDescent="0.2">
      <c r="A5302" s="158"/>
      <c r="B5302" s="188"/>
      <c r="C5302" s="189"/>
      <c r="D5302" s="165"/>
      <c r="E5302" s="165"/>
      <c r="F5302" s="165"/>
      <c r="G5302" s="165"/>
      <c r="H5302" s="165"/>
      <c r="I5302" s="190"/>
      <c r="J5302" s="191"/>
      <c r="K5302" s="192"/>
      <c r="L5302" s="55"/>
      <c r="M5302" s="55"/>
      <c r="N5302" s="55"/>
    </row>
    <row r="5303" spans="1:14" x14ac:dyDescent="0.2">
      <c r="A5303" s="145"/>
      <c r="B5303" s="146"/>
      <c r="C5303" s="147"/>
      <c r="D5303" s="147"/>
      <c r="E5303" s="147"/>
      <c r="F5303" s="147"/>
      <c r="G5303" s="147"/>
      <c r="H5303" s="147"/>
      <c r="I5303" s="147"/>
      <c r="J5303" s="148"/>
      <c r="K5303" s="132"/>
      <c r="L5303" s="133"/>
    </row>
    <row r="5304" spans="1:14" x14ac:dyDescent="0.2">
      <c r="A5304" s="199"/>
      <c r="B5304" s="188"/>
      <c r="C5304" s="189"/>
      <c r="D5304" s="165"/>
      <c r="E5304" s="165"/>
      <c r="F5304" s="165"/>
      <c r="G5304" s="165"/>
      <c r="H5304" s="165"/>
      <c r="I5304" s="190"/>
      <c r="J5304" s="191"/>
      <c r="K5304" s="192"/>
      <c r="L5304" s="55"/>
      <c r="M5304" s="55"/>
      <c r="N5304" s="55"/>
    </row>
    <row r="5305" spans="1:14" x14ac:dyDescent="0.2">
      <c r="A5305" s="158"/>
      <c r="B5305" s="188"/>
      <c r="C5305" s="189"/>
      <c r="D5305" s="165"/>
      <c r="E5305" s="165"/>
      <c r="F5305" s="165"/>
      <c r="G5305" s="165"/>
      <c r="H5305" s="165"/>
      <c r="I5305" s="190"/>
      <c r="J5305" s="191"/>
      <c r="K5305" s="192"/>
      <c r="L5305" s="55"/>
      <c r="M5305" s="55"/>
      <c r="N5305" s="55"/>
    </row>
    <row r="5306" spans="1:14" x14ac:dyDescent="0.2">
      <c r="A5306" s="145"/>
      <c r="B5306" s="146"/>
      <c r="C5306" s="147"/>
      <c r="D5306" s="147"/>
      <c r="E5306" s="147"/>
      <c r="F5306" s="147"/>
      <c r="G5306" s="147"/>
      <c r="H5306" s="147"/>
      <c r="I5306" s="147"/>
      <c r="J5306" s="148"/>
      <c r="K5306" s="132"/>
      <c r="L5306" s="133"/>
    </row>
    <row r="5307" spans="1:14" ht="13.5" thickBot="1" x14ac:dyDescent="0.25">
      <c r="A5307" s="149"/>
      <c r="B5307" s="150"/>
      <c r="C5307" s="151"/>
      <c r="D5307" s="151"/>
      <c r="E5307" s="151"/>
      <c r="F5307" s="151"/>
      <c r="G5307" s="151"/>
      <c r="H5307" s="151"/>
      <c r="I5307" s="151"/>
      <c r="J5307" s="152"/>
      <c r="K5307" s="132"/>
      <c r="L5307" s="133"/>
    </row>
    <row r="5308" spans="1:14" ht="13.5" thickBot="1" x14ac:dyDescent="0.25">
      <c r="A5308" s="153"/>
      <c r="B5308" s="153"/>
      <c r="C5308" s="154"/>
      <c r="D5308" s="154"/>
      <c r="E5308" s="154"/>
      <c r="F5308" s="154"/>
      <c r="G5308" s="154"/>
      <c r="H5308" s="154"/>
      <c r="I5308" s="154"/>
      <c r="J5308" s="153"/>
      <c r="K5308" s="132"/>
      <c r="L5308" s="133"/>
    </row>
    <row r="5309" spans="1:14" ht="13.5" thickBot="1" x14ac:dyDescent="0.25">
      <c r="A5309" s="614" t="s">
        <v>62</v>
      </c>
      <c r="B5309" s="648"/>
      <c r="C5309" s="648"/>
      <c r="D5309" s="648"/>
      <c r="E5309" s="648"/>
      <c r="F5309" s="648"/>
      <c r="G5309" s="648"/>
      <c r="H5309" s="648"/>
      <c r="I5309" s="648"/>
      <c r="J5309" s="649"/>
      <c r="K5309" s="132"/>
      <c r="L5309" s="133"/>
    </row>
    <row r="5310" spans="1:14" x14ac:dyDescent="0.2">
      <c r="A5310" s="136"/>
      <c r="B5310" s="155"/>
      <c r="C5310" s="156"/>
      <c r="D5310" s="156"/>
      <c r="E5310" s="156"/>
      <c r="F5310" s="156"/>
      <c r="G5310" s="156"/>
      <c r="H5310" s="156"/>
      <c r="I5310" s="156"/>
      <c r="J5310" s="157"/>
      <c r="K5310" s="132"/>
      <c r="L5310" s="133"/>
    </row>
    <row r="5311" spans="1:14" ht="12.75" customHeight="1" x14ac:dyDescent="0.2">
      <c r="A5311" s="677" t="s">
        <v>63</v>
      </c>
      <c r="B5311" s="662"/>
      <c r="C5311" s="652" t="s">
        <v>1029</v>
      </c>
      <c r="D5311" s="652"/>
      <c r="E5311" s="652"/>
      <c r="F5311" s="652"/>
      <c r="G5311" s="652"/>
      <c r="H5311" s="652"/>
      <c r="I5311" s="652"/>
      <c r="J5311" s="653"/>
      <c r="K5311" s="132"/>
      <c r="L5311" s="133"/>
    </row>
    <row r="5312" spans="1:14" x14ac:dyDescent="0.2">
      <c r="A5312" s="213"/>
      <c r="B5312" s="214"/>
      <c r="C5312" s="652"/>
      <c r="D5312" s="652"/>
      <c r="E5312" s="652"/>
      <c r="F5312" s="652"/>
      <c r="G5312" s="652"/>
      <c r="H5312" s="652"/>
      <c r="I5312" s="652"/>
      <c r="J5312" s="653"/>
      <c r="K5312" s="132"/>
      <c r="L5312" s="133"/>
    </row>
    <row r="5313" spans="1:12" x14ac:dyDescent="0.2">
      <c r="A5313" s="213"/>
      <c r="B5313" s="214"/>
      <c r="C5313" s="652"/>
      <c r="D5313" s="652"/>
      <c r="E5313" s="652"/>
      <c r="F5313" s="652"/>
      <c r="G5313" s="652"/>
      <c r="H5313" s="652"/>
      <c r="I5313" s="652"/>
      <c r="J5313" s="653"/>
      <c r="K5313" s="132"/>
      <c r="L5313" s="133"/>
    </row>
    <row r="5314" spans="1:12" x14ac:dyDescent="0.2">
      <c r="A5314" s="158"/>
      <c r="B5314" s="55"/>
      <c r="C5314" s="159"/>
      <c r="D5314" s="159"/>
      <c r="E5314" s="159"/>
      <c r="F5314" s="159"/>
      <c r="G5314" s="159"/>
      <c r="H5314" s="159"/>
      <c r="I5314" s="159"/>
      <c r="J5314" s="160"/>
      <c r="K5314" s="132"/>
      <c r="L5314" s="133"/>
    </row>
    <row r="5315" spans="1:12" ht="12.75" customHeight="1" x14ac:dyDescent="0.2">
      <c r="A5315" s="680" t="s">
        <v>64</v>
      </c>
      <c r="B5315" s="652"/>
      <c r="C5315" s="638" t="s">
        <v>1030</v>
      </c>
      <c r="D5315" s="638"/>
      <c r="E5315" s="638"/>
      <c r="F5315" s="638"/>
      <c r="G5315" s="638"/>
      <c r="H5315" s="638"/>
      <c r="I5315" s="638"/>
      <c r="J5315" s="718"/>
      <c r="K5315" s="132"/>
      <c r="L5315" s="133"/>
    </row>
    <row r="5316" spans="1:12" x14ac:dyDescent="0.2">
      <c r="A5316" s="213"/>
      <c r="B5316" s="214"/>
      <c r="C5316" s="657"/>
      <c r="D5316" s="657"/>
      <c r="E5316" s="657"/>
      <c r="F5316" s="657"/>
      <c r="G5316" s="657"/>
      <c r="H5316" s="657"/>
      <c r="I5316" s="657"/>
      <c r="J5316" s="717"/>
      <c r="K5316" s="132"/>
      <c r="L5316" s="133"/>
    </row>
    <row r="5317" spans="1:12" x14ac:dyDescent="0.2">
      <c r="A5317" s="158"/>
      <c r="B5317" s="55"/>
      <c r="C5317" s="159"/>
      <c r="D5317" s="159"/>
      <c r="E5317" s="159"/>
      <c r="F5317" s="159"/>
      <c r="G5317" s="159"/>
      <c r="H5317" s="159"/>
      <c r="I5317" s="159"/>
      <c r="J5317" s="160"/>
      <c r="K5317" s="132"/>
      <c r="L5317" s="133"/>
    </row>
    <row r="5318" spans="1:12" x14ac:dyDescent="0.2">
      <c r="A5318" s="213"/>
      <c r="B5318" s="214"/>
      <c r="C5318" s="214"/>
      <c r="D5318" s="214"/>
      <c r="E5318" s="214"/>
      <c r="F5318" s="214"/>
      <c r="G5318" s="214"/>
      <c r="H5318" s="214"/>
      <c r="I5318" s="214"/>
      <c r="J5318" s="289"/>
      <c r="K5318" s="132"/>
      <c r="L5318" s="133"/>
    </row>
    <row r="5319" spans="1:12" x14ac:dyDescent="0.2">
      <c r="A5319" s="158"/>
      <c r="B5319" s="55"/>
      <c r="C5319" s="159"/>
      <c r="D5319" s="159"/>
      <c r="E5319" s="159"/>
      <c r="F5319" s="159"/>
      <c r="G5319" s="159"/>
      <c r="H5319" s="159"/>
      <c r="I5319" s="159"/>
      <c r="J5319" s="160"/>
      <c r="K5319" s="132"/>
      <c r="L5319" s="133"/>
    </row>
    <row r="5320" spans="1:12" x14ac:dyDescent="0.2">
      <c r="A5320" s="158"/>
      <c r="B5320" s="55"/>
      <c r="C5320" s="159"/>
      <c r="D5320" s="159"/>
      <c r="E5320" s="159"/>
      <c r="F5320" s="159"/>
      <c r="G5320" s="159"/>
      <c r="H5320" s="159"/>
      <c r="I5320" s="159"/>
      <c r="J5320" s="160"/>
      <c r="K5320" s="132"/>
      <c r="L5320" s="133"/>
    </row>
    <row r="5321" spans="1:12" x14ac:dyDescent="0.2">
      <c r="A5321" s="158"/>
      <c r="B5321" s="55"/>
      <c r="C5321" s="159"/>
      <c r="D5321" s="159"/>
      <c r="E5321" s="159"/>
      <c r="F5321" s="159"/>
      <c r="G5321" s="159"/>
      <c r="H5321" s="159"/>
      <c r="I5321" s="159"/>
      <c r="J5321" s="160"/>
      <c r="K5321" s="132"/>
      <c r="L5321" s="133"/>
    </row>
    <row r="5322" spans="1:12" x14ac:dyDescent="0.2">
      <c r="A5322" s="158"/>
      <c r="B5322" s="55"/>
      <c r="C5322" s="159"/>
      <c r="D5322" s="159"/>
      <c r="E5322" s="159"/>
      <c r="F5322" s="159"/>
      <c r="G5322" s="159"/>
      <c r="H5322" s="159"/>
      <c r="I5322" s="159"/>
      <c r="J5322" s="160"/>
      <c r="K5322" s="132"/>
      <c r="L5322" s="133"/>
    </row>
    <row r="5323" spans="1:12" x14ac:dyDescent="0.2">
      <c r="A5323" s="158"/>
      <c r="B5323" s="55"/>
      <c r="C5323" s="71"/>
      <c r="D5323" s="71"/>
      <c r="E5323" s="71"/>
      <c r="F5323" s="71"/>
      <c r="G5323" s="71"/>
      <c r="H5323" s="71"/>
      <c r="I5323" s="71"/>
      <c r="J5323" s="174"/>
      <c r="K5323" s="132"/>
      <c r="L5323" s="133"/>
    </row>
    <row r="5324" spans="1:12" x14ac:dyDescent="0.2">
      <c r="A5324" s="158"/>
      <c r="B5324" s="55"/>
      <c r="C5324" s="71"/>
      <c r="D5324" s="71"/>
      <c r="E5324" s="71"/>
      <c r="F5324" s="71"/>
      <c r="G5324" s="71"/>
      <c r="H5324" s="71"/>
      <c r="I5324" s="71"/>
      <c r="J5324" s="174"/>
      <c r="K5324" s="132"/>
      <c r="L5324" s="133"/>
    </row>
    <row r="5325" spans="1:12" x14ac:dyDescent="0.2">
      <c r="A5325" s="158"/>
      <c r="B5325" s="55"/>
      <c r="C5325" s="71"/>
      <c r="D5325" s="71"/>
      <c r="E5325" s="71"/>
      <c r="F5325" s="71"/>
      <c r="G5325" s="71"/>
      <c r="H5325" s="71"/>
      <c r="I5325" s="71"/>
      <c r="J5325" s="174"/>
      <c r="K5325" s="132"/>
      <c r="L5325" s="133"/>
    </row>
    <row r="5326" spans="1:12" x14ac:dyDescent="0.2">
      <c r="A5326" s="158"/>
      <c r="B5326" s="55"/>
      <c r="C5326" s="71"/>
      <c r="D5326" s="71"/>
      <c r="E5326" s="71"/>
      <c r="F5326" s="71"/>
      <c r="G5326" s="71"/>
      <c r="H5326" s="71"/>
      <c r="I5326" s="71"/>
      <c r="J5326" s="174"/>
      <c r="K5326" s="132"/>
      <c r="L5326" s="133"/>
    </row>
    <row r="5327" spans="1:12" x14ac:dyDescent="0.2">
      <c r="A5327" s="158"/>
      <c r="B5327" s="55"/>
      <c r="C5327" s="71"/>
      <c r="D5327" s="71"/>
      <c r="E5327" s="71"/>
      <c r="F5327" s="71"/>
      <c r="G5327" s="71"/>
      <c r="H5327" s="71"/>
      <c r="I5327" s="71"/>
      <c r="J5327" s="174"/>
      <c r="K5327" s="132"/>
      <c r="L5327" s="133"/>
    </row>
    <row r="5328" spans="1:12" x14ac:dyDescent="0.2">
      <c r="A5328" s="158"/>
      <c r="B5328" s="55"/>
      <c r="C5328" s="71"/>
      <c r="D5328" s="71"/>
      <c r="E5328" s="71"/>
      <c r="F5328" s="71"/>
      <c r="G5328" s="71"/>
      <c r="H5328" s="71"/>
      <c r="I5328" s="71"/>
      <c r="J5328" s="174"/>
      <c r="K5328" s="132"/>
      <c r="L5328" s="133"/>
    </row>
    <row r="5329" spans="1:14" x14ac:dyDescent="0.2">
      <c r="A5329" s="158"/>
      <c r="B5329" s="55"/>
      <c r="C5329" s="71"/>
      <c r="D5329" s="71"/>
      <c r="E5329" s="71"/>
      <c r="F5329" s="71"/>
      <c r="G5329" s="71"/>
      <c r="H5329" s="71"/>
      <c r="I5329" s="71"/>
      <c r="J5329" s="174"/>
      <c r="K5329" s="132"/>
      <c r="L5329" s="133"/>
    </row>
    <row r="5330" spans="1:14" x14ac:dyDescent="0.2">
      <c r="A5330" s="158"/>
      <c r="B5330" s="55"/>
      <c r="C5330" s="71"/>
      <c r="D5330" s="71"/>
      <c r="E5330" s="71"/>
      <c r="F5330" s="71"/>
      <c r="G5330" s="71"/>
      <c r="H5330" s="71"/>
      <c r="I5330" s="71"/>
      <c r="J5330" s="174"/>
      <c r="K5330" s="132"/>
      <c r="L5330" s="133"/>
    </row>
    <row r="5331" spans="1:14" x14ac:dyDescent="0.2">
      <c r="A5331" s="158"/>
      <c r="B5331" s="55"/>
      <c r="C5331" s="71"/>
      <c r="D5331" s="71"/>
      <c r="E5331" s="71"/>
      <c r="F5331" s="71"/>
      <c r="G5331" s="71"/>
      <c r="H5331" s="71"/>
      <c r="I5331" s="71"/>
      <c r="J5331" s="174"/>
      <c r="K5331" s="132"/>
      <c r="L5331" s="133"/>
    </row>
    <row r="5332" spans="1:14" x14ac:dyDescent="0.2">
      <c r="A5332" s="158"/>
      <c r="B5332" s="55"/>
      <c r="C5332" s="71"/>
      <c r="D5332" s="71"/>
      <c r="E5332" s="71"/>
      <c r="F5332" s="71"/>
      <c r="G5332" s="71"/>
      <c r="H5332" s="71"/>
      <c r="I5332" s="71"/>
      <c r="J5332" s="174"/>
      <c r="K5332" s="132"/>
      <c r="L5332" s="133"/>
    </row>
    <row r="5333" spans="1:14" ht="13.5" thickBot="1" x14ac:dyDescent="0.25">
      <c r="A5333" s="149"/>
      <c r="B5333" s="167"/>
      <c r="C5333" s="151"/>
      <c r="D5333" s="151"/>
      <c r="E5333" s="151"/>
      <c r="F5333" s="151"/>
      <c r="G5333" s="151"/>
      <c r="H5333" s="151"/>
      <c r="I5333" s="151"/>
      <c r="J5333" s="168"/>
      <c r="K5333" s="132"/>
      <c r="L5333" s="133"/>
    </row>
    <row r="5334" spans="1:14" ht="15.75" x14ac:dyDescent="0.2">
      <c r="A5334" s="602" t="s">
        <v>4</v>
      </c>
      <c r="B5334" s="603"/>
      <c r="C5334" s="603" t="str">
        <f>'A IV.A'!$B$155</f>
        <v>SERVIÇOS COMPLEMENTARES - ITEM 12.0 DO TERMO DE REFERÊNCIA</v>
      </c>
      <c r="D5334" s="603"/>
      <c r="E5334" s="603"/>
      <c r="F5334" s="603"/>
      <c r="G5334" s="603"/>
      <c r="H5334" s="603"/>
      <c r="I5334" s="603"/>
      <c r="J5334" s="604"/>
      <c r="K5334" s="132"/>
      <c r="L5334" s="133"/>
    </row>
    <row r="5335" spans="1:14" x14ac:dyDescent="0.2">
      <c r="A5335" s="609" t="str">
        <f>'A IV.A'!$A$155</f>
        <v>7.0</v>
      </c>
      <c r="B5335" s="610"/>
      <c r="C5335" s="605"/>
      <c r="D5335" s="605"/>
      <c r="E5335" s="605"/>
      <c r="F5335" s="605"/>
      <c r="G5335" s="605"/>
      <c r="H5335" s="605"/>
      <c r="I5335" s="605"/>
      <c r="J5335" s="606"/>
      <c r="K5335" s="132"/>
      <c r="L5335" s="133"/>
    </row>
    <row r="5336" spans="1:14" ht="13.5" thickBot="1" x14ac:dyDescent="0.25">
      <c r="A5336" s="611"/>
      <c r="B5336" s="612"/>
      <c r="C5336" s="607"/>
      <c r="D5336" s="607"/>
      <c r="E5336" s="607"/>
      <c r="F5336" s="607"/>
      <c r="G5336" s="607"/>
      <c r="H5336" s="607"/>
      <c r="I5336" s="607"/>
      <c r="J5336" s="608"/>
      <c r="K5336" s="132"/>
      <c r="L5336" s="133"/>
    </row>
    <row r="5337" spans="1:14" ht="13.5" thickBot="1" x14ac:dyDescent="0.25">
      <c r="A5337" s="169"/>
      <c r="B5337" s="169"/>
      <c r="C5337" s="613"/>
      <c r="D5337" s="613"/>
      <c r="E5337" s="613"/>
      <c r="F5337" s="613"/>
      <c r="G5337" s="613"/>
      <c r="H5337" s="613"/>
      <c r="I5337" s="613"/>
      <c r="J5337" s="169"/>
      <c r="K5337" s="132"/>
      <c r="L5337" s="133"/>
    </row>
    <row r="5338" spans="1:14" ht="13.5" thickBot="1" x14ac:dyDescent="0.25">
      <c r="A5338" s="632" t="s">
        <v>60</v>
      </c>
      <c r="B5338" s="633"/>
      <c r="C5338" s="656" t="s">
        <v>61</v>
      </c>
      <c r="D5338" s="656"/>
      <c r="E5338" s="656"/>
      <c r="F5338" s="656"/>
      <c r="G5338" s="656"/>
      <c r="H5338" s="656"/>
      <c r="I5338" s="656"/>
      <c r="J5338" s="260" t="s">
        <v>0</v>
      </c>
      <c r="K5338" s="132"/>
      <c r="L5338" s="133"/>
    </row>
    <row r="5339" spans="1:14" x14ac:dyDescent="0.2">
      <c r="A5339" s="136"/>
      <c r="B5339" s="137"/>
      <c r="C5339" s="619"/>
      <c r="D5339" s="620"/>
      <c r="E5339" s="621"/>
      <c r="F5339" s="621"/>
      <c r="G5339" s="621"/>
      <c r="H5339" s="621"/>
      <c r="I5339" s="622"/>
      <c r="J5339" s="138"/>
      <c r="K5339" s="132"/>
      <c r="L5339" s="133"/>
    </row>
    <row r="5340" spans="1:14" x14ac:dyDescent="0.2">
      <c r="A5340" s="623" t="str">
        <f>'A IV.A'!A168</f>
        <v>7.12</v>
      </c>
      <c r="B5340" s="624"/>
      <c r="C5340" s="626" t="str">
        <f>'A IV.A'!B168</f>
        <v>FORNECIMENTO E INSTALAÇÃO DE BANCO PRÉ-FABRICADO DE CONCRETO, ESTILO EUROPEU</v>
      </c>
      <c r="D5340" s="627"/>
      <c r="E5340" s="627"/>
      <c r="F5340" s="627"/>
      <c r="G5340" s="627"/>
      <c r="H5340" s="627"/>
      <c r="I5340" s="628"/>
      <c r="J5340" s="668" t="str">
        <f>'A IV.A'!C168</f>
        <v>UN</v>
      </c>
      <c r="K5340" s="630" t="str">
        <f>VLOOKUP(A5340,'A IV.A'!$A$14:$M$233,2,FALSE)</f>
        <v>FORNECIMENTO E INSTALAÇÃO DE BANCO PRÉ-FABRICADO DE CONCRETO, ESTILO EUROPEU</v>
      </c>
      <c r="L5340" s="631" t="str">
        <f>IF(C5340=K5340,"sim","nao")</f>
        <v>sim</v>
      </c>
      <c r="M5340" s="631" t="str">
        <f>VLOOKUP(A5340,'A IV.A'!$A$14:$M$233,3,FALSE)</f>
        <v>UN</v>
      </c>
      <c r="N5340" s="631" t="str">
        <f>IF(J5340=M5340,"sim","nao")</f>
        <v>sim</v>
      </c>
    </row>
    <row r="5341" spans="1:14" x14ac:dyDescent="0.2">
      <c r="A5341" s="625"/>
      <c r="B5341" s="624"/>
      <c r="C5341" s="626"/>
      <c r="D5341" s="627"/>
      <c r="E5341" s="627"/>
      <c r="F5341" s="627"/>
      <c r="G5341" s="627"/>
      <c r="H5341" s="627"/>
      <c r="I5341" s="628"/>
      <c r="J5341" s="629"/>
      <c r="K5341" s="630"/>
      <c r="L5341" s="631"/>
      <c r="M5341" s="631"/>
      <c r="N5341" s="631"/>
    </row>
    <row r="5342" spans="1:14" x14ac:dyDescent="0.2">
      <c r="A5342" s="139"/>
      <c r="B5342" s="140"/>
      <c r="C5342" s="141"/>
      <c r="D5342" s="142"/>
      <c r="E5342" s="142"/>
      <c r="F5342" s="142"/>
      <c r="G5342" s="142"/>
      <c r="H5342" s="142"/>
      <c r="I5342" s="143"/>
      <c r="J5342" s="144"/>
      <c r="K5342" s="132"/>
      <c r="L5342" s="133"/>
    </row>
    <row r="5343" spans="1:14" x14ac:dyDescent="0.2">
      <c r="A5343" s="199"/>
      <c r="B5343" s="188"/>
      <c r="C5343" s="189"/>
      <c r="D5343" s="165"/>
      <c r="E5343" s="165"/>
      <c r="F5343" s="165"/>
      <c r="G5343" s="165"/>
      <c r="H5343" s="165"/>
      <c r="I5343" s="190"/>
      <c r="J5343" s="191"/>
      <c r="K5343" s="192"/>
      <c r="L5343" s="55"/>
      <c r="M5343" s="55"/>
      <c r="N5343" s="55"/>
    </row>
    <row r="5344" spans="1:14" x14ac:dyDescent="0.2">
      <c r="A5344" s="158"/>
      <c r="B5344" s="188"/>
      <c r="C5344" s="189"/>
      <c r="D5344" s="165"/>
      <c r="E5344" s="165"/>
      <c r="F5344" s="165"/>
      <c r="G5344" s="165"/>
      <c r="H5344" s="165"/>
      <c r="I5344" s="190"/>
      <c r="J5344" s="191"/>
      <c r="K5344" s="192"/>
      <c r="L5344" s="55"/>
      <c r="M5344" s="55"/>
      <c r="N5344" s="55"/>
    </row>
    <row r="5345" spans="1:14" x14ac:dyDescent="0.2">
      <c r="A5345" s="145"/>
      <c r="B5345" s="146"/>
      <c r="C5345" s="147"/>
      <c r="D5345" s="147"/>
      <c r="E5345" s="147"/>
      <c r="F5345" s="147"/>
      <c r="G5345" s="147"/>
      <c r="H5345" s="147"/>
      <c r="I5345" s="147"/>
      <c r="J5345" s="148"/>
      <c r="K5345" s="132"/>
      <c r="L5345" s="133"/>
    </row>
    <row r="5346" spans="1:14" x14ac:dyDescent="0.2">
      <c r="A5346" s="199"/>
      <c r="B5346" s="188"/>
      <c r="C5346" s="189"/>
      <c r="D5346" s="165"/>
      <c r="E5346" s="165"/>
      <c r="F5346" s="165"/>
      <c r="G5346" s="165"/>
      <c r="H5346" s="165"/>
      <c r="I5346" s="190"/>
      <c r="J5346" s="191"/>
      <c r="K5346" s="192"/>
      <c r="L5346" s="55"/>
      <c r="M5346" s="55"/>
      <c r="N5346" s="55"/>
    </row>
    <row r="5347" spans="1:14" x14ac:dyDescent="0.2">
      <c r="A5347" s="158"/>
      <c r="B5347" s="188"/>
      <c r="C5347" s="189"/>
      <c r="D5347" s="165"/>
      <c r="E5347" s="165"/>
      <c r="F5347" s="165"/>
      <c r="G5347" s="165"/>
      <c r="H5347" s="165"/>
      <c r="I5347" s="190"/>
      <c r="J5347" s="191"/>
      <c r="K5347" s="192"/>
      <c r="L5347" s="55"/>
      <c r="M5347" s="55"/>
      <c r="N5347" s="55"/>
    </row>
    <row r="5348" spans="1:14" x14ac:dyDescent="0.2">
      <c r="A5348" s="145"/>
      <c r="B5348" s="146"/>
      <c r="C5348" s="147"/>
      <c r="D5348" s="147"/>
      <c r="E5348" s="147"/>
      <c r="F5348" s="147"/>
      <c r="G5348" s="147"/>
      <c r="H5348" s="147"/>
      <c r="I5348" s="147"/>
      <c r="J5348" s="148"/>
      <c r="K5348" s="132"/>
      <c r="L5348" s="133"/>
    </row>
    <row r="5349" spans="1:14" x14ac:dyDescent="0.2">
      <c r="A5349" s="199"/>
      <c r="B5349" s="188"/>
      <c r="C5349" s="189"/>
      <c r="D5349" s="165"/>
      <c r="E5349" s="165"/>
      <c r="F5349" s="165"/>
      <c r="G5349" s="165"/>
      <c r="H5349" s="165"/>
      <c r="I5349" s="190"/>
      <c r="J5349" s="191"/>
      <c r="K5349" s="192"/>
      <c r="L5349" s="55"/>
      <c r="M5349" s="55"/>
      <c r="N5349" s="55"/>
    </row>
    <row r="5350" spans="1:14" x14ac:dyDescent="0.2">
      <c r="A5350" s="158"/>
      <c r="B5350" s="188"/>
      <c r="C5350" s="189"/>
      <c r="D5350" s="165"/>
      <c r="E5350" s="165"/>
      <c r="F5350" s="165"/>
      <c r="G5350" s="165"/>
      <c r="H5350" s="165"/>
      <c r="I5350" s="190"/>
      <c r="J5350" s="191"/>
      <c r="K5350" s="192"/>
      <c r="L5350" s="55"/>
      <c r="M5350" s="55"/>
      <c r="N5350" s="55"/>
    </row>
    <row r="5351" spans="1:14" x14ac:dyDescent="0.2">
      <c r="A5351" s="145"/>
      <c r="B5351" s="146"/>
      <c r="C5351" s="147"/>
      <c r="D5351" s="147"/>
      <c r="E5351" s="147"/>
      <c r="F5351" s="147"/>
      <c r="G5351" s="147"/>
      <c r="H5351" s="147"/>
      <c r="I5351" s="147"/>
      <c r="J5351" s="148"/>
      <c r="K5351" s="132"/>
      <c r="L5351" s="133"/>
    </row>
    <row r="5352" spans="1:14" x14ac:dyDescent="0.2">
      <c r="A5352" s="199"/>
      <c r="B5352" s="188"/>
      <c r="C5352" s="189"/>
      <c r="D5352" s="165"/>
      <c r="E5352" s="165"/>
      <c r="F5352" s="165"/>
      <c r="G5352" s="165"/>
      <c r="H5352" s="165"/>
      <c r="I5352" s="190"/>
      <c r="J5352" s="191"/>
      <c r="K5352" s="192"/>
      <c r="L5352" s="55"/>
      <c r="M5352" s="55"/>
      <c r="N5352" s="55"/>
    </row>
    <row r="5353" spans="1:14" x14ac:dyDescent="0.2">
      <c r="A5353" s="158"/>
      <c r="B5353" s="188"/>
      <c r="C5353" s="189"/>
      <c r="D5353" s="165"/>
      <c r="E5353" s="165"/>
      <c r="F5353" s="165"/>
      <c r="G5353" s="165"/>
      <c r="H5353" s="165"/>
      <c r="I5353" s="190"/>
      <c r="J5353" s="191"/>
      <c r="K5353" s="192"/>
      <c r="L5353" s="55"/>
      <c r="M5353" s="55"/>
      <c r="N5353" s="55"/>
    </row>
    <row r="5354" spans="1:14" x14ac:dyDescent="0.2">
      <c r="A5354" s="145"/>
      <c r="B5354" s="146"/>
      <c r="C5354" s="147"/>
      <c r="D5354" s="147"/>
      <c r="E5354" s="147"/>
      <c r="F5354" s="147"/>
      <c r="G5354" s="147"/>
      <c r="H5354" s="147"/>
      <c r="I5354" s="147"/>
      <c r="J5354" s="148"/>
      <c r="K5354" s="132"/>
      <c r="L5354" s="133"/>
    </row>
    <row r="5355" spans="1:14" x14ac:dyDescent="0.2">
      <c r="A5355" s="199"/>
      <c r="B5355" s="188"/>
      <c r="C5355" s="189"/>
      <c r="D5355" s="165"/>
      <c r="E5355" s="165"/>
      <c r="F5355" s="165"/>
      <c r="G5355" s="165"/>
      <c r="H5355" s="165"/>
      <c r="I5355" s="190"/>
      <c r="J5355" s="191"/>
      <c r="K5355" s="192"/>
      <c r="L5355" s="55"/>
      <c r="M5355" s="55"/>
      <c r="N5355" s="55"/>
    </row>
    <row r="5356" spans="1:14" x14ac:dyDescent="0.2">
      <c r="A5356" s="158"/>
      <c r="B5356" s="188"/>
      <c r="C5356" s="189"/>
      <c r="D5356" s="165"/>
      <c r="E5356" s="165"/>
      <c r="F5356" s="165"/>
      <c r="G5356" s="165"/>
      <c r="H5356" s="165"/>
      <c r="I5356" s="190"/>
      <c r="J5356" s="191"/>
      <c r="K5356" s="192"/>
      <c r="L5356" s="55"/>
      <c r="M5356" s="55"/>
      <c r="N5356" s="55"/>
    </row>
    <row r="5357" spans="1:14" x14ac:dyDescent="0.2">
      <c r="A5357" s="145"/>
      <c r="B5357" s="146"/>
      <c r="C5357" s="147"/>
      <c r="D5357" s="147"/>
      <c r="E5357" s="147"/>
      <c r="F5357" s="147"/>
      <c r="G5357" s="147"/>
      <c r="H5357" s="147"/>
      <c r="I5357" s="147"/>
      <c r="J5357" s="148"/>
      <c r="K5357" s="132"/>
      <c r="L5357" s="133"/>
    </row>
    <row r="5358" spans="1:14" x14ac:dyDescent="0.2">
      <c r="A5358" s="199"/>
      <c r="B5358" s="188"/>
      <c r="C5358" s="189"/>
      <c r="D5358" s="165"/>
      <c r="E5358" s="165"/>
      <c r="F5358" s="165"/>
      <c r="G5358" s="165"/>
      <c r="H5358" s="165"/>
      <c r="I5358" s="190"/>
      <c r="J5358" s="191"/>
      <c r="K5358" s="192"/>
      <c r="L5358" s="55"/>
      <c r="M5358" s="55"/>
      <c r="N5358" s="55"/>
    </row>
    <row r="5359" spans="1:14" x14ac:dyDescent="0.2">
      <c r="A5359" s="158"/>
      <c r="B5359" s="188"/>
      <c r="C5359" s="189"/>
      <c r="D5359" s="165"/>
      <c r="E5359" s="165"/>
      <c r="F5359" s="165"/>
      <c r="G5359" s="165"/>
      <c r="H5359" s="165"/>
      <c r="I5359" s="190"/>
      <c r="J5359" s="191"/>
      <c r="K5359" s="192"/>
      <c r="L5359" s="55"/>
      <c r="M5359" s="55"/>
      <c r="N5359" s="55"/>
    </row>
    <row r="5360" spans="1:14" x14ac:dyDescent="0.2">
      <c r="A5360" s="145"/>
      <c r="B5360" s="146"/>
      <c r="C5360" s="147"/>
      <c r="D5360" s="147"/>
      <c r="E5360" s="147"/>
      <c r="F5360" s="147"/>
      <c r="G5360" s="147"/>
      <c r="H5360" s="147"/>
      <c r="I5360" s="147"/>
      <c r="J5360" s="148"/>
      <c r="K5360" s="132"/>
      <c r="L5360" s="133"/>
    </row>
    <row r="5361" spans="1:12" ht="13.5" thickBot="1" x14ac:dyDescent="0.25">
      <c r="A5361" s="149"/>
      <c r="B5361" s="150"/>
      <c r="C5361" s="151"/>
      <c r="D5361" s="151"/>
      <c r="E5361" s="151"/>
      <c r="F5361" s="151"/>
      <c r="G5361" s="151"/>
      <c r="H5361" s="151"/>
      <c r="I5361" s="151"/>
      <c r="J5361" s="152"/>
      <c r="K5361" s="132"/>
      <c r="L5361" s="133"/>
    </row>
    <row r="5362" spans="1:12" ht="13.5" thickBot="1" x14ac:dyDescent="0.25">
      <c r="A5362" s="153"/>
      <c r="B5362" s="153"/>
      <c r="C5362" s="154"/>
      <c r="D5362" s="154"/>
      <c r="E5362" s="154"/>
      <c r="F5362" s="154"/>
      <c r="G5362" s="154"/>
      <c r="H5362" s="154"/>
      <c r="I5362" s="154"/>
      <c r="J5362" s="153"/>
      <c r="K5362" s="132"/>
      <c r="L5362" s="133"/>
    </row>
    <row r="5363" spans="1:12" ht="13.5" thickBot="1" x14ac:dyDescent="0.25">
      <c r="A5363" s="614" t="s">
        <v>62</v>
      </c>
      <c r="B5363" s="648"/>
      <c r="C5363" s="648"/>
      <c r="D5363" s="648"/>
      <c r="E5363" s="648"/>
      <c r="F5363" s="648"/>
      <c r="G5363" s="648"/>
      <c r="H5363" s="648"/>
      <c r="I5363" s="648"/>
      <c r="J5363" s="649"/>
      <c r="K5363" s="132"/>
      <c r="L5363" s="133"/>
    </row>
    <row r="5364" spans="1:12" x14ac:dyDescent="0.2">
      <c r="A5364" s="136"/>
      <c r="B5364" s="155"/>
      <c r="C5364" s="156"/>
      <c r="D5364" s="156"/>
      <c r="E5364" s="156"/>
      <c r="F5364" s="156"/>
      <c r="G5364" s="156"/>
      <c r="H5364" s="156"/>
      <c r="I5364" s="156"/>
      <c r="J5364" s="157"/>
      <c r="K5364" s="132"/>
      <c r="L5364" s="133"/>
    </row>
    <row r="5365" spans="1:12" ht="12.75" customHeight="1" x14ac:dyDescent="0.2">
      <c r="A5365" s="677" t="s">
        <v>63</v>
      </c>
      <c r="B5365" s="662"/>
      <c r="C5365" s="596" t="s">
        <v>654</v>
      </c>
      <c r="D5365" s="596"/>
      <c r="E5365" s="596"/>
      <c r="F5365" s="596"/>
      <c r="G5365" s="596"/>
      <c r="H5365" s="596"/>
      <c r="I5365" s="596"/>
      <c r="J5365" s="597"/>
      <c r="K5365" s="132"/>
      <c r="L5365" s="133"/>
    </row>
    <row r="5366" spans="1:12" x14ac:dyDescent="0.2">
      <c r="A5366" s="213"/>
      <c r="B5366" s="214"/>
      <c r="C5366" s="596"/>
      <c r="D5366" s="596"/>
      <c r="E5366" s="596"/>
      <c r="F5366" s="596"/>
      <c r="G5366" s="596"/>
      <c r="H5366" s="596"/>
      <c r="I5366" s="596"/>
      <c r="J5366" s="597"/>
      <c r="K5366" s="132"/>
      <c r="L5366" s="133"/>
    </row>
    <row r="5367" spans="1:12" x14ac:dyDescent="0.2">
      <c r="A5367" s="213"/>
      <c r="B5367" s="214"/>
      <c r="C5367" s="596"/>
      <c r="D5367" s="596"/>
      <c r="E5367" s="596"/>
      <c r="F5367" s="596"/>
      <c r="G5367" s="596"/>
      <c r="H5367" s="596"/>
      <c r="I5367" s="596"/>
      <c r="J5367" s="597"/>
      <c r="K5367" s="132"/>
      <c r="L5367" s="133"/>
    </row>
    <row r="5368" spans="1:12" x14ac:dyDescent="0.2">
      <c r="A5368" s="158"/>
      <c r="B5368" s="55"/>
      <c r="C5368" s="159"/>
      <c r="D5368" s="159"/>
      <c r="E5368" s="159"/>
      <c r="F5368" s="159"/>
      <c r="G5368" s="159"/>
      <c r="H5368" s="159"/>
      <c r="I5368" s="159"/>
      <c r="J5368" s="160"/>
      <c r="K5368" s="132"/>
      <c r="L5368" s="133"/>
    </row>
    <row r="5369" spans="1:12" ht="12.75" customHeight="1" x14ac:dyDescent="0.2">
      <c r="A5369" s="680" t="s">
        <v>64</v>
      </c>
      <c r="B5369" s="652"/>
      <c r="C5369" s="638" t="s">
        <v>653</v>
      </c>
      <c r="D5369" s="638"/>
      <c r="E5369" s="638"/>
      <c r="F5369" s="638"/>
      <c r="G5369" s="638"/>
      <c r="H5369" s="638"/>
      <c r="I5369" s="638"/>
      <c r="J5369" s="718"/>
      <c r="K5369" s="132"/>
      <c r="L5369" s="133"/>
    </row>
    <row r="5370" spans="1:12" x14ac:dyDescent="0.2">
      <c r="A5370" s="213"/>
      <c r="B5370" s="214"/>
      <c r="C5370" s="55"/>
      <c r="D5370" s="55"/>
      <c r="E5370" s="55"/>
      <c r="F5370" s="55"/>
      <c r="G5370" s="55"/>
      <c r="H5370" s="55"/>
      <c r="I5370" s="55"/>
      <c r="J5370" s="196"/>
      <c r="K5370" s="132"/>
      <c r="L5370" s="133"/>
    </row>
    <row r="5371" spans="1:12" x14ac:dyDescent="0.2">
      <c r="A5371" s="158"/>
      <c r="B5371" s="55"/>
      <c r="C5371" s="159"/>
      <c r="D5371" s="159"/>
      <c r="E5371" s="159"/>
      <c r="F5371" s="159"/>
      <c r="G5371" s="159"/>
      <c r="H5371" s="159"/>
      <c r="I5371" s="159"/>
      <c r="J5371" s="160"/>
      <c r="K5371" s="132"/>
      <c r="L5371" s="133"/>
    </row>
    <row r="5372" spans="1:12" x14ac:dyDescent="0.2">
      <c r="A5372" s="158"/>
      <c r="B5372" s="55"/>
      <c r="C5372" s="159"/>
      <c r="D5372" s="159"/>
      <c r="E5372" s="159"/>
      <c r="F5372" s="159"/>
      <c r="G5372" s="159"/>
      <c r="H5372" s="159"/>
      <c r="I5372" s="159"/>
      <c r="J5372" s="160"/>
      <c r="K5372" s="132"/>
      <c r="L5372" s="133"/>
    </row>
    <row r="5373" spans="1:12" x14ac:dyDescent="0.2">
      <c r="A5373" s="213"/>
      <c r="B5373" s="214"/>
      <c r="C5373" s="318"/>
      <c r="D5373" s="318"/>
      <c r="E5373" s="318"/>
      <c r="F5373" s="318"/>
      <c r="G5373" s="318"/>
      <c r="H5373" s="318"/>
      <c r="I5373" s="318"/>
      <c r="J5373" s="310"/>
      <c r="K5373" s="132"/>
      <c r="L5373" s="133"/>
    </row>
    <row r="5374" spans="1:12" x14ac:dyDescent="0.2">
      <c r="A5374" s="158"/>
      <c r="B5374" s="55"/>
      <c r="C5374" s="159"/>
      <c r="D5374" s="159"/>
      <c r="E5374" s="159"/>
      <c r="F5374" s="159"/>
      <c r="G5374" s="159"/>
      <c r="H5374" s="159"/>
      <c r="I5374" s="159"/>
      <c r="J5374" s="160"/>
      <c r="K5374" s="132"/>
      <c r="L5374" s="133"/>
    </row>
    <row r="5375" spans="1:12" x14ac:dyDescent="0.2">
      <c r="A5375" s="158"/>
      <c r="B5375" s="55"/>
      <c r="C5375" s="159"/>
      <c r="D5375" s="159"/>
      <c r="E5375" s="159"/>
      <c r="F5375" s="159"/>
      <c r="G5375" s="159"/>
      <c r="H5375" s="159"/>
      <c r="I5375" s="159"/>
      <c r="J5375" s="160"/>
      <c r="K5375" s="132"/>
      <c r="L5375" s="133"/>
    </row>
    <row r="5376" spans="1:12" x14ac:dyDescent="0.2">
      <c r="A5376" s="158"/>
      <c r="B5376" s="55"/>
      <c r="C5376" s="159"/>
      <c r="D5376" s="159"/>
      <c r="E5376" s="159"/>
      <c r="F5376" s="159"/>
      <c r="G5376" s="159"/>
      <c r="H5376" s="159"/>
      <c r="I5376" s="159"/>
      <c r="J5376" s="160"/>
      <c r="K5376" s="132"/>
      <c r="L5376" s="133"/>
    </row>
    <row r="5377" spans="1:12" x14ac:dyDescent="0.2">
      <c r="A5377" s="158"/>
      <c r="B5377" s="55"/>
      <c r="C5377" s="71"/>
      <c r="D5377" s="71"/>
      <c r="E5377" s="71"/>
      <c r="F5377" s="71"/>
      <c r="G5377" s="71"/>
      <c r="H5377" s="71"/>
      <c r="I5377" s="71"/>
      <c r="J5377" s="174"/>
      <c r="K5377" s="132"/>
      <c r="L5377" s="133"/>
    </row>
    <row r="5378" spans="1:12" x14ac:dyDescent="0.2">
      <c r="A5378" s="158"/>
      <c r="B5378" s="55"/>
      <c r="C5378" s="71"/>
      <c r="D5378" s="71"/>
      <c r="E5378" s="71"/>
      <c r="F5378" s="71"/>
      <c r="G5378" s="71"/>
      <c r="H5378" s="71"/>
      <c r="I5378" s="71"/>
      <c r="J5378" s="174"/>
      <c r="K5378" s="132"/>
      <c r="L5378" s="133"/>
    </row>
    <row r="5379" spans="1:12" x14ac:dyDescent="0.2">
      <c r="A5379" s="158"/>
      <c r="B5379" s="55"/>
      <c r="C5379" s="71"/>
      <c r="D5379" s="71"/>
      <c r="E5379" s="71"/>
      <c r="F5379" s="71"/>
      <c r="G5379" s="71"/>
      <c r="H5379" s="71"/>
      <c r="I5379" s="71"/>
      <c r="J5379" s="174"/>
      <c r="K5379" s="132"/>
      <c r="L5379" s="133"/>
    </row>
    <row r="5380" spans="1:12" x14ac:dyDescent="0.2">
      <c r="A5380" s="158"/>
      <c r="B5380" s="55"/>
      <c r="C5380" s="71"/>
      <c r="D5380" s="71"/>
      <c r="E5380" s="71"/>
      <c r="F5380" s="71"/>
      <c r="G5380" s="71"/>
      <c r="H5380" s="71"/>
      <c r="I5380" s="71"/>
      <c r="J5380" s="174"/>
      <c r="K5380" s="132"/>
      <c r="L5380" s="133"/>
    </row>
    <row r="5381" spans="1:12" x14ac:dyDescent="0.2">
      <c r="A5381" s="158"/>
      <c r="B5381" s="55"/>
      <c r="C5381" s="71"/>
      <c r="D5381" s="71"/>
      <c r="E5381" s="71"/>
      <c r="F5381" s="71"/>
      <c r="G5381" s="71"/>
      <c r="H5381" s="71"/>
      <c r="I5381" s="71"/>
      <c r="J5381" s="174"/>
      <c r="K5381" s="132"/>
      <c r="L5381" s="133"/>
    </row>
    <row r="5382" spans="1:12" x14ac:dyDescent="0.2">
      <c r="A5382" s="158"/>
      <c r="B5382" s="55"/>
      <c r="C5382" s="71"/>
      <c r="D5382" s="71"/>
      <c r="E5382" s="71"/>
      <c r="F5382" s="71"/>
      <c r="G5382" s="71"/>
      <c r="H5382" s="71"/>
      <c r="I5382" s="71"/>
      <c r="J5382" s="174"/>
      <c r="K5382" s="132"/>
      <c r="L5382" s="133"/>
    </row>
    <row r="5383" spans="1:12" x14ac:dyDescent="0.2">
      <c r="A5383" s="158"/>
      <c r="B5383" s="55"/>
      <c r="C5383" s="71"/>
      <c r="D5383" s="71"/>
      <c r="E5383" s="71"/>
      <c r="F5383" s="71"/>
      <c r="G5383" s="71"/>
      <c r="H5383" s="71"/>
      <c r="I5383" s="71"/>
      <c r="J5383" s="174"/>
      <c r="K5383" s="132"/>
      <c r="L5383" s="133"/>
    </row>
    <row r="5384" spans="1:12" x14ac:dyDescent="0.2">
      <c r="A5384" s="158"/>
      <c r="B5384" s="55"/>
      <c r="C5384" s="71"/>
      <c r="D5384" s="71"/>
      <c r="E5384" s="71"/>
      <c r="F5384" s="71"/>
      <c r="G5384" s="71"/>
      <c r="H5384" s="71"/>
      <c r="I5384" s="71"/>
      <c r="J5384" s="174"/>
      <c r="K5384" s="132"/>
      <c r="L5384" s="133"/>
    </row>
    <row r="5385" spans="1:12" x14ac:dyDescent="0.2">
      <c r="A5385" s="158"/>
      <c r="B5385" s="55"/>
      <c r="C5385" s="71"/>
      <c r="D5385" s="71"/>
      <c r="E5385" s="71"/>
      <c r="F5385" s="71"/>
      <c r="G5385" s="71"/>
      <c r="H5385" s="71"/>
      <c r="I5385" s="71"/>
      <c r="J5385" s="174"/>
      <c r="K5385" s="132"/>
      <c r="L5385" s="133"/>
    </row>
    <row r="5386" spans="1:12" x14ac:dyDescent="0.2">
      <c r="A5386" s="158"/>
      <c r="B5386" s="55"/>
      <c r="C5386" s="71"/>
      <c r="D5386" s="71"/>
      <c r="E5386" s="71"/>
      <c r="F5386" s="71"/>
      <c r="G5386" s="71"/>
      <c r="H5386" s="71"/>
      <c r="I5386" s="71"/>
      <c r="J5386" s="174"/>
      <c r="K5386" s="132"/>
      <c r="L5386" s="133"/>
    </row>
    <row r="5387" spans="1:12" ht="13.5" thickBot="1" x14ac:dyDescent="0.25">
      <c r="A5387" s="149"/>
      <c r="B5387" s="167"/>
      <c r="C5387" s="151"/>
      <c r="D5387" s="151"/>
      <c r="E5387" s="151"/>
      <c r="F5387" s="151"/>
      <c r="G5387" s="151"/>
      <c r="H5387" s="151"/>
      <c r="I5387" s="151"/>
      <c r="J5387" s="168"/>
      <c r="K5387" s="132"/>
      <c r="L5387" s="133"/>
    </row>
    <row r="5388" spans="1:12" ht="15.75" x14ac:dyDescent="0.2">
      <c r="A5388" s="602" t="s">
        <v>4</v>
      </c>
      <c r="B5388" s="603"/>
      <c r="C5388" s="603" t="str">
        <f>'A IV.A'!$B$155</f>
        <v>SERVIÇOS COMPLEMENTARES - ITEM 12.0 DO TERMO DE REFERÊNCIA</v>
      </c>
      <c r="D5388" s="603"/>
      <c r="E5388" s="603"/>
      <c r="F5388" s="603"/>
      <c r="G5388" s="603"/>
      <c r="H5388" s="603"/>
      <c r="I5388" s="603"/>
      <c r="J5388" s="604"/>
      <c r="K5388" s="132"/>
      <c r="L5388" s="133"/>
    </row>
    <row r="5389" spans="1:12" x14ac:dyDescent="0.2">
      <c r="A5389" s="609" t="str">
        <f>'A IV.A'!$A$155</f>
        <v>7.0</v>
      </c>
      <c r="B5389" s="610"/>
      <c r="C5389" s="605"/>
      <c r="D5389" s="605"/>
      <c r="E5389" s="605"/>
      <c r="F5389" s="605"/>
      <c r="G5389" s="605"/>
      <c r="H5389" s="605"/>
      <c r="I5389" s="605"/>
      <c r="J5389" s="606"/>
      <c r="K5389" s="132"/>
      <c r="L5389" s="133"/>
    </row>
    <row r="5390" spans="1:12" ht="13.5" thickBot="1" x14ac:dyDescent="0.25">
      <c r="A5390" s="611"/>
      <c r="B5390" s="612"/>
      <c r="C5390" s="607"/>
      <c r="D5390" s="607"/>
      <c r="E5390" s="607"/>
      <c r="F5390" s="607"/>
      <c r="G5390" s="607"/>
      <c r="H5390" s="607"/>
      <c r="I5390" s="607"/>
      <c r="J5390" s="608"/>
      <c r="K5390" s="132"/>
      <c r="L5390" s="133"/>
    </row>
    <row r="5391" spans="1:12" ht="13.5" thickBot="1" x14ac:dyDescent="0.25">
      <c r="A5391" s="169"/>
      <c r="B5391" s="169"/>
      <c r="C5391" s="613"/>
      <c r="D5391" s="613"/>
      <c r="E5391" s="613"/>
      <c r="F5391" s="613"/>
      <c r="G5391" s="613"/>
      <c r="H5391" s="613"/>
      <c r="I5391" s="613"/>
      <c r="J5391" s="169"/>
      <c r="K5391" s="132"/>
      <c r="L5391" s="133"/>
    </row>
    <row r="5392" spans="1:12" ht="13.5" thickBot="1" x14ac:dyDescent="0.25">
      <c r="A5392" s="632" t="s">
        <v>60</v>
      </c>
      <c r="B5392" s="633"/>
      <c r="C5392" s="656" t="s">
        <v>61</v>
      </c>
      <c r="D5392" s="656"/>
      <c r="E5392" s="656"/>
      <c r="F5392" s="656"/>
      <c r="G5392" s="656"/>
      <c r="H5392" s="656"/>
      <c r="I5392" s="656"/>
      <c r="J5392" s="260" t="s">
        <v>0</v>
      </c>
      <c r="K5392" s="132"/>
      <c r="L5392" s="133"/>
    </row>
    <row r="5393" spans="1:14" x14ac:dyDescent="0.2">
      <c r="A5393" s="136"/>
      <c r="B5393" s="137"/>
      <c r="C5393" s="619"/>
      <c r="D5393" s="620"/>
      <c r="E5393" s="621"/>
      <c r="F5393" s="621"/>
      <c r="G5393" s="621"/>
      <c r="H5393" s="621"/>
      <c r="I5393" s="622"/>
      <c r="J5393" s="138"/>
      <c r="K5393" s="132"/>
      <c r="L5393" s="133"/>
    </row>
    <row r="5394" spans="1:14" x14ac:dyDescent="0.2">
      <c r="A5394" s="623" t="str">
        <f>'A IV.A'!$A$169</f>
        <v>7.13</v>
      </c>
      <c r="B5394" s="624"/>
      <c r="C5394" s="626" t="str">
        <f>'A IV.A'!$B$169</f>
        <v>CIMBRAMENTO DE MADEIRA</v>
      </c>
      <c r="D5394" s="627"/>
      <c r="E5394" s="627"/>
      <c r="F5394" s="627"/>
      <c r="G5394" s="627"/>
      <c r="H5394" s="627"/>
      <c r="I5394" s="628"/>
      <c r="J5394" s="668" t="str">
        <f>'A IV.A'!$C$169</f>
        <v>M3</v>
      </c>
      <c r="K5394" s="630" t="str">
        <f>VLOOKUP(A5394,'A IV.A'!$A$14:$M$233,2,FALSE)</f>
        <v>CIMBRAMENTO DE MADEIRA</v>
      </c>
      <c r="L5394" s="631" t="str">
        <f>IF(C5394=K5394,"sim","nao")</f>
        <v>sim</v>
      </c>
      <c r="M5394" s="631" t="str">
        <f>VLOOKUP(A5394,'A IV.A'!$A$14:$M$233,3,FALSE)</f>
        <v>M3</v>
      </c>
      <c r="N5394" s="631" t="str">
        <f>IF(J5394=M5394,"sim","nao")</f>
        <v>sim</v>
      </c>
    </row>
    <row r="5395" spans="1:14" x14ac:dyDescent="0.2">
      <c r="A5395" s="625"/>
      <c r="B5395" s="624"/>
      <c r="C5395" s="626"/>
      <c r="D5395" s="627"/>
      <c r="E5395" s="627"/>
      <c r="F5395" s="627"/>
      <c r="G5395" s="627"/>
      <c r="H5395" s="627"/>
      <c r="I5395" s="628"/>
      <c r="J5395" s="629"/>
      <c r="K5395" s="630"/>
      <c r="L5395" s="631"/>
      <c r="M5395" s="631"/>
      <c r="N5395" s="631"/>
    </row>
    <row r="5396" spans="1:14" x14ac:dyDescent="0.2">
      <c r="A5396" s="139"/>
      <c r="B5396" s="140"/>
      <c r="C5396" s="141"/>
      <c r="D5396" s="142"/>
      <c r="E5396" s="142"/>
      <c r="F5396" s="142"/>
      <c r="G5396" s="142"/>
      <c r="H5396" s="142"/>
      <c r="I5396" s="143"/>
      <c r="J5396" s="144"/>
      <c r="K5396" s="132"/>
      <c r="L5396" s="133"/>
    </row>
    <row r="5397" spans="1:14" x14ac:dyDescent="0.2">
      <c r="A5397" s="199"/>
      <c r="B5397" s="188"/>
      <c r="C5397" s="189"/>
      <c r="D5397" s="165"/>
      <c r="E5397" s="165"/>
      <c r="F5397" s="165"/>
      <c r="G5397" s="165"/>
      <c r="H5397" s="165"/>
      <c r="I5397" s="190"/>
      <c r="J5397" s="191"/>
      <c r="K5397" s="192"/>
      <c r="L5397" s="55"/>
      <c r="M5397" s="55"/>
      <c r="N5397" s="55"/>
    </row>
    <row r="5398" spans="1:14" x14ac:dyDescent="0.2">
      <c r="A5398" s="158"/>
      <c r="B5398" s="188"/>
      <c r="C5398" s="189"/>
      <c r="D5398" s="165"/>
      <c r="E5398" s="165"/>
      <c r="F5398" s="165"/>
      <c r="G5398" s="165"/>
      <c r="H5398" s="165"/>
      <c r="I5398" s="190"/>
      <c r="J5398" s="191"/>
      <c r="K5398" s="192"/>
      <c r="L5398" s="55"/>
      <c r="M5398" s="55"/>
      <c r="N5398" s="55"/>
    </row>
    <row r="5399" spans="1:14" x14ac:dyDescent="0.2">
      <c r="A5399" s="145"/>
      <c r="B5399" s="146"/>
      <c r="C5399" s="147"/>
      <c r="D5399" s="147"/>
      <c r="E5399" s="147"/>
      <c r="F5399" s="147"/>
      <c r="G5399" s="147"/>
      <c r="H5399" s="147"/>
      <c r="I5399" s="147"/>
      <c r="J5399" s="148"/>
      <c r="K5399" s="132"/>
      <c r="L5399" s="133"/>
    </row>
    <row r="5400" spans="1:14" x14ac:dyDescent="0.2">
      <c r="A5400" s="199"/>
      <c r="B5400" s="188"/>
      <c r="C5400" s="189"/>
      <c r="D5400" s="165"/>
      <c r="E5400" s="165"/>
      <c r="F5400" s="165"/>
      <c r="G5400" s="165"/>
      <c r="H5400" s="165"/>
      <c r="I5400" s="190"/>
      <c r="J5400" s="191"/>
      <c r="K5400" s="192"/>
      <c r="L5400" s="55"/>
      <c r="M5400" s="55"/>
      <c r="N5400" s="55"/>
    </row>
    <row r="5401" spans="1:14" x14ac:dyDescent="0.2">
      <c r="A5401" s="158"/>
      <c r="B5401" s="188"/>
      <c r="C5401" s="189"/>
      <c r="D5401" s="165"/>
      <c r="E5401" s="165"/>
      <c r="F5401" s="165"/>
      <c r="G5401" s="165"/>
      <c r="H5401" s="165"/>
      <c r="I5401" s="190"/>
      <c r="J5401" s="191"/>
      <c r="K5401" s="192"/>
      <c r="L5401" s="55"/>
      <c r="M5401" s="55"/>
      <c r="N5401" s="55"/>
    </row>
    <row r="5402" spans="1:14" x14ac:dyDescent="0.2">
      <c r="A5402" s="145"/>
      <c r="B5402" s="146"/>
      <c r="C5402" s="147"/>
      <c r="D5402" s="147"/>
      <c r="E5402" s="147"/>
      <c r="F5402" s="147"/>
      <c r="G5402" s="147"/>
      <c r="H5402" s="147"/>
      <c r="I5402" s="147"/>
      <c r="J5402" s="148"/>
      <c r="K5402" s="132"/>
      <c r="L5402" s="133"/>
    </row>
    <row r="5403" spans="1:14" x14ac:dyDescent="0.2">
      <c r="A5403" s="199"/>
      <c r="B5403" s="188"/>
      <c r="C5403" s="189"/>
      <c r="D5403" s="165"/>
      <c r="E5403" s="165"/>
      <c r="F5403" s="165"/>
      <c r="G5403" s="165"/>
      <c r="H5403" s="165"/>
      <c r="I5403" s="190"/>
      <c r="J5403" s="191"/>
      <c r="K5403" s="192"/>
      <c r="L5403" s="55"/>
      <c r="M5403" s="55"/>
      <c r="N5403" s="55"/>
    </row>
    <row r="5404" spans="1:14" x14ac:dyDescent="0.2">
      <c r="A5404" s="158"/>
      <c r="B5404" s="188"/>
      <c r="C5404" s="189"/>
      <c r="D5404" s="165"/>
      <c r="E5404" s="165"/>
      <c r="F5404" s="165"/>
      <c r="G5404" s="165"/>
      <c r="H5404" s="165"/>
      <c r="I5404" s="190"/>
      <c r="J5404" s="191"/>
      <c r="K5404" s="192"/>
      <c r="L5404" s="55"/>
      <c r="M5404" s="55"/>
      <c r="N5404" s="55"/>
    </row>
    <row r="5405" spans="1:14" x14ac:dyDescent="0.2">
      <c r="A5405" s="145"/>
      <c r="B5405" s="146"/>
      <c r="C5405" s="147"/>
      <c r="D5405" s="147"/>
      <c r="E5405" s="147"/>
      <c r="F5405" s="147"/>
      <c r="G5405" s="147"/>
      <c r="H5405" s="147"/>
      <c r="I5405" s="147"/>
      <c r="J5405" s="148"/>
      <c r="K5405" s="132"/>
      <c r="L5405" s="133"/>
    </row>
    <row r="5406" spans="1:14" x14ac:dyDescent="0.2">
      <c r="A5406" s="199"/>
      <c r="B5406" s="188"/>
      <c r="C5406" s="189"/>
      <c r="D5406" s="165"/>
      <c r="E5406" s="165"/>
      <c r="F5406" s="165"/>
      <c r="G5406" s="165"/>
      <c r="H5406" s="165"/>
      <c r="I5406" s="190"/>
      <c r="J5406" s="191"/>
      <c r="K5406" s="192"/>
      <c r="L5406" s="55"/>
      <c r="M5406" s="55"/>
      <c r="N5406" s="55"/>
    </row>
    <row r="5407" spans="1:14" x14ac:dyDescent="0.2">
      <c r="A5407" s="158"/>
      <c r="B5407" s="188"/>
      <c r="C5407" s="189"/>
      <c r="D5407" s="165"/>
      <c r="E5407" s="165"/>
      <c r="F5407" s="165"/>
      <c r="G5407" s="165"/>
      <c r="H5407" s="165"/>
      <c r="I5407" s="190"/>
      <c r="J5407" s="191"/>
      <c r="K5407" s="192"/>
      <c r="L5407" s="55"/>
      <c r="M5407" s="55"/>
      <c r="N5407" s="55"/>
    </row>
    <row r="5408" spans="1:14" x14ac:dyDescent="0.2">
      <c r="A5408" s="145"/>
      <c r="B5408" s="146"/>
      <c r="C5408" s="147"/>
      <c r="D5408" s="147"/>
      <c r="E5408" s="147"/>
      <c r="F5408" s="147"/>
      <c r="G5408" s="147"/>
      <c r="H5408" s="147"/>
      <c r="I5408" s="147"/>
      <c r="J5408" s="148"/>
      <c r="K5408" s="132"/>
      <c r="L5408" s="133"/>
    </row>
    <row r="5409" spans="1:14" x14ac:dyDescent="0.2">
      <c r="A5409" s="199"/>
      <c r="B5409" s="188"/>
      <c r="C5409" s="189"/>
      <c r="D5409" s="165"/>
      <c r="E5409" s="165"/>
      <c r="F5409" s="165"/>
      <c r="G5409" s="165"/>
      <c r="H5409" s="165"/>
      <c r="I5409" s="190"/>
      <c r="J5409" s="191"/>
      <c r="K5409" s="192"/>
      <c r="L5409" s="55"/>
      <c r="M5409" s="55"/>
      <c r="N5409" s="55"/>
    </row>
    <row r="5410" spans="1:14" x14ac:dyDescent="0.2">
      <c r="A5410" s="158"/>
      <c r="B5410" s="188"/>
      <c r="C5410" s="189"/>
      <c r="D5410" s="165"/>
      <c r="E5410" s="165"/>
      <c r="F5410" s="165"/>
      <c r="G5410" s="165"/>
      <c r="H5410" s="165"/>
      <c r="I5410" s="190"/>
      <c r="J5410" s="191"/>
      <c r="K5410" s="192"/>
      <c r="L5410" s="55"/>
      <c r="M5410" s="55"/>
      <c r="N5410" s="55"/>
    </row>
    <row r="5411" spans="1:14" x14ac:dyDescent="0.2">
      <c r="A5411" s="145"/>
      <c r="B5411" s="146"/>
      <c r="C5411" s="147"/>
      <c r="D5411" s="147"/>
      <c r="E5411" s="147"/>
      <c r="F5411" s="147"/>
      <c r="G5411" s="147"/>
      <c r="H5411" s="147"/>
      <c r="I5411" s="147"/>
      <c r="J5411" s="148"/>
      <c r="K5411" s="132"/>
      <c r="L5411" s="133"/>
    </row>
    <row r="5412" spans="1:14" x14ac:dyDescent="0.2">
      <c r="A5412" s="199"/>
      <c r="B5412" s="188"/>
      <c r="C5412" s="189"/>
      <c r="D5412" s="165"/>
      <c r="E5412" s="165"/>
      <c r="F5412" s="165"/>
      <c r="G5412" s="165"/>
      <c r="H5412" s="165"/>
      <c r="I5412" s="190"/>
      <c r="J5412" s="191"/>
      <c r="K5412" s="192"/>
      <c r="L5412" s="55"/>
      <c r="M5412" s="55"/>
      <c r="N5412" s="55"/>
    </row>
    <row r="5413" spans="1:14" x14ac:dyDescent="0.2">
      <c r="A5413" s="158"/>
      <c r="B5413" s="188"/>
      <c r="C5413" s="189"/>
      <c r="D5413" s="165"/>
      <c r="E5413" s="165"/>
      <c r="F5413" s="165"/>
      <c r="G5413" s="165"/>
      <c r="H5413" s="165"/>
      <c r="I5413" s="190"/>
      <c r="J5413" s="191"/>
      <c r="K5413" s="192"/>
      <c r="L5413" s="55"/>
      <c r="M5413" s="55"/>
      <c r="N5413" s="55"/>
    </row>
    <row r="5414" spans="1:14" x14ac:dyDescent="0.2">
      <c r="A5414" s="145"/>
      <c r="B5414" s="146"/>
      <c r="C5414" s="147"/>
      <c r="D5414" s="147"/>
      <c r="E5414" s="147"/>
      <c r="F5414" s="147"/>
      <c r="G5414" s="147"/>
      <c r="H5414" s="147"/>
      <c r="I5414" s="147"/>
      <c r="J5414" s="148"/>
      <c r="K5414" s="132"/>
      <c r="L5414" s="133"/>
    </row>
    <row r="5415" spans="1:14" ht="13.5" thickBot="1" x14ac:dyDescent="0.25">
      <c r="A5415" s="149"/>
      <c r="B5415" s="150"/>
      <c r="C5415" s="151"/>
      <c r="D5415" s="151"/>
      <c r="E5415" s="151"/>
      <c r="F5415" s="151"/>
      <c r="G5415" s="151"/>
      <c r="H5415" s="151"/>
      <c r="I5415" s="151"/>
      <c r="J5415" s="152"/>
      <c r="K5415" s="132"/>
      <c r="L5415" s="133"/>
    </row>
    <row r="5416" spans="1:14" ht="13.5" thickBot="1" x14ac:dyDescent="0.25">
      <c r="A5416" s="153"/>
      <c r="B5416" s="153"/>
      <c r="C5416" s="154"/>
      <c r="D5416" s="154"/>
      <c r="E5416" s="154"/>
      <c r="F5416" s="154"/>
      <c r="G5416" s="154"/>
      <c r="H5416" s="154"/>
      <c r="I5416" s="154"/>
      <c r="J5416" s="153"/>
      <c r="K5416" s="132"/>
      <c r="L5416" s="133"/>
    </row>
    <row r="5417" spans="1:14" ht="13.5" thickBot="1" x14ac:dyDescent="0.25">
      <c r="A5417" s="614" t="s">
        <v>62</v>
      </c>
      <c r="B5417" s="648"/>
      <c r="C5417" s="648"/>
      <c r="D5417" s="648"/>
      <c r="E5417" s="648"/>
      <c r="F5417" s="648"/>
      <c r="G5417" s="648"/>
      <c r="H5417" s="648"/>
      <c r="I5417" s="648"/>
      <c r="J5417" s="649"/>
      <c r="K5417" s="132"/>
      <c r="L5417" s="133"/>
    </row>
    <row r="5418" spans="1:14" x14ac:dyDescent="0.2">
      <c r="A5418" s="136"/>
      <c r="B5418" s="155"/>
      <c r="C5418" s="156"/>
      <c r="D5418" s="156"/>
      <c r="E5418" s="156"/>
      <c r="F5418" s="156"/>
      <c r="G5418" s="156"/>
      <c r="H5418" s="156"/>
      <c r="I5418" s="156"/>
      <c r="J5418" s="157"/>
      <c r="K5418" s="132"/>
      <c r="L5418" s="133"/>
    </row>
    <row r="5419" spans="1:14" ht="12.75" customHeight="1" x14ac:dyDescent="0.2">
      <c r="A5419" s="677" t="s">
        <v>63</v>
      </c>
      <c r="B5419" s="662"/>
      <c r="C5419" s="652" t="s">
        <v>67</v>
      </c>
      <c r="D5419" s="652"/>
      <c r="E5419" s="673"/>
      <c r="F5419" s="673"/>
      <c r="G5419" s="673"/>
      <c r="H5419" s="673"/>
      <c r="I5419" s="673"/>
      <c r="J5419" s="674"/>
      <c r="K5419" s="132"/>
      <c r="L5419" s="133"/>
    </row>
    <row r="5420" spans="1:14" x14ac:dyDescent="0.2">
      <c r="A5420" s="213"/>
      <c r="B5420" s="214"/>
      <c r="C5420" s="673"/>
      <c r="D5420" s="673"/>
      <c r="E5420" s="673"/>
      <c r="F5420" s="673"/>
      <c r="G5420" s="673"/>
      <c r="H5420" s="673"/>
      <c r="I5420" s="673"/>
      <c r="J5420" s="674"/>
      <c r="K5420" s="132"/>
      <c r="L5420" s="133"/>
    </row>
    <row r="5421" spans="1:14" x14ac:dyDescent="0.2">
      <c r="A5421" s="213"/>
      <c r="B5421" s="214"/>
      <c r="C5421" s="673"/>
      <c r="D5421" s="673"/>
      <c r="E5421" s="673"/>
      <c r="F5421" s="673"/>
      <c r="G5421" s="673"/>
      <c r="H5421" s="673"/>
      <c r="I5421" s="673"/>
      <c r="J5421" s="674"/>
      <c r="K5421" s="132"/>
      <c r="L5421" s="133"/>
    </row>
    <row r="5422" spans="1:14" ht="12.75" customHeight="1" x14ac:dyDescent="0.2">
      <c r="A5422" s="158"/>
      <c r="B5422" s="55"/>
      <c r="C5422" s="159"/>
      <c r="D5422" s="159"/>
      <c r="E5422" s="159"/>
      <c r="F5422" s="159"/>
      <c r="G5422" s="159"/>
      <c r="H5422" s="159"/>
      <c r="I5422" s="159"/>
      <c r="J5422" s="160"/>
      <c r="K5422" s="132"/>
      <c r="L5422" s="133"/>
    </row>
    <row r="5423" spans="1:14" ht="12.75" customHeight="1" x14ac:dyDescent="0.2">
      <c r="A5423" s="677" t="s">
        <v>64</v>
      </c>
      <c r="B5423" s="662"/>
      <c r="C5423" s="652" t="s">
        <v>526</v>
      </c>
      <c r="D5423" s="652"/>
      <c r="E5423" s="652"/>
      <c r="F5423" s="652"/>
      <c r="G5423" s="652"/>
      <c r="H5423" s="652"/>
      <c r="I5423" s="652"/>
      <c r="J5423" s="653"/>
      <c r="K5423" s="132"/>
      <c r="L5423" s="133"/>
    </row>
    <row r="5424" spans="1:14" x14ac:dyDescent="0.2">
      <c r="A5424" s="213"/>
      <c r="B5424" s="214"/>
      <c r="C5424" s="652"/>
      <c r="D5424" s="652"/>
      <c r="E5424" s="652"/>
      <c r="F5424" s="652"/>
      <c r="G5424" s="652"/>
      <c r="H5424" s="652"/>
      <c r="I5424" s="652"/>
      <c r="J5424" s="653"/>
      <c r="K5424" s="132"/>
      <c r="L5424" s="133"/>
    </row>
    <row r="5425" spans="1:12" x14ac:dyDescent="0.2">
      <c r="A5425" s="158"/>
      <c r="B5425" s="55"/>
      <c r="C5425" s="159"/>
      <c r="D5425" s="159"/>
      <c r="E5425" s="159"/>
      <c r="F5425" s="159"/>
      <c r="G5425" s="159"/>
      <c r="H5425" s="159"/>
      <c r="I5425" s="159"/>
      <c r="J5425" s="160"/>
      <c r="K5425" s="132"/>
      <c r="L5425" s="133"/>
    </row>
    <row r="5426" spans="1:12" ht="12.75" customHeight="1" x14ac:dyDescent="0.2">
      <c r="A5426" s="158" t="s">
        <v>65</v>
      </c>
      <c r="B5426" s="55"/>
      <c r="C5426" s="652" t="s">
        <v>949</v>
      </c>
      <c r="D5426" s="652"/>
      <c r="E5426" s="652"/>
      <c r="F5426" s="652"/>
      <c r="G5426" s="652"/>
      <c r="H5426" s="652"/>
      <c r="I5426" s="652"/>
      <c r="J5426" s="653"/>
      <c r="K5426" s="132"/>
      <c r="L5426" s="133"/>
    </row>
    <row r="5427" spans="1:12" x14ac:dyDescent="0.2">
      <c r="A5427" s="161"/>
      <c r="B5427" s="2"/>
      <c r="C5427" s="652"/>
      <c r="D5427" s="652"/>
      <c r="E5427" s="652"/>
      <c r="F5427" s="652"/>
      <c r="G5427" s="652"/>
      <c r="H5427" s="652"/>
      <c r="I5427" s="652"/>
      <c r="J5427" s="653"/>
      <c r="K5427" s="132"/>
      <c r="L5427" s="133"/>
    </row>
    <row r="5428" spans="1:12" x14ac:dyDescent="0.2">
      <c r="A5428" s="161"/>
      <c r="B5428" s="2"/>
      <c r="C5428" s="159"/>
      <c r="D5428" s="159"/>
      <c r="E5428" s="159"/>
      <c r="F5428" s="159"/>
      <c r="G5428" s="159"/>
      <c r="H5428" s="159"/>
      <c r="I5428" s="159"/>
      <c r="J5428" s="160"/>
      <c r="K5428" s="132"/>
      <c r="L5428" s="133"/>
    </row>
    <row r="5429" spans="1:12" x14ac:dyDescent="0.2">
      <c r="A5429" s="158"/>
      <c r="B5429" s="55"/>
      <c r="C5429" s="159"/>
      <c r="D5429" s="159"/>
      <c r="E5429" s="159"/>
      <c r="F5429" s="159"/>
      <c r="G5429" s="159"/>
      <c r="H5429" s="159"/>
      <c r="I5429" s="159"/>
      <c r="J5429" s="160"/>
      <c r="K5429" s="132"/>
      <c r="L5429" s="133"/>
    </row>
    <row r="5430" spans="1:12" x14ac:dyDescent="0.2">
      <c r="A5430" s="158"/>
      <c r="B5430" s="55"/>
      <c r="C5430" s="159"/>
      <c r="D5430" s="159"/>
      <c r="E5430" s="159"/>
      <c r="F5430" s="159"/>
      <c r="G5430" s="159"/>
      <c r="H5430" s="159"/>
      <c r="I5430" s="159"/>
      <c r="J5430" s="160"/>
      <c r="K5430" s="132"/>
      <c r="L5430" s="133"/>
    </row>
    <row r="5431" spans="1:12" x14ac:dyDescent="0.2">
      <c r="A5431" s="158"/>
      <c r="B5431" s="55"/>
      <c r="C5431" s="159"/>
      <c r="D5431" s="159"/>
      <c r="E5431" s="159"/>
      <c r="F5431" s="159"/>
      <c r="G5431" s="159"/>
      <c r="H5431" s="159"/>
      <c r="I5431" s="159"/>
      <c r="J5431" s="160"/>
      <c r="K5431" s="132"/>
      <c r="L5431" s="133"/>
    </row>
    <row r="5432" spans="1:12" x14ac:dyDescent="0.2">
      <c r="A5432" s="158"/>
      <c r="B5432" s="55"/>
      <c r="C5432" s="71"/>
      <c r="D5432" s="71"/>
      <c r="E5432" s="71"/>
      <c r="F5432" s="71"/>
      <c r="G5432" s="71"/>
      <c r="H5432" s="71"/>
      <c r="I5432" s="71"/>
      <c r="J5432" s="174"/>
      <c r="K5432" s="132"/>
      <c r="L5432" s="133"/>
    </row>
    <row r="5433" spans="1:12" x14ac:dyDescent="0.2">
      <c r="A5433" s="158"/>
      <c r="B5433" s="55"/>
      <c r="C5433" s="71"/>
      <c r="D5433" s="71"/>
      <c r="E5433" s="71"/>
      <c r="F5433" s="71"/>
      <c r="G5433" s="71"/>
      <c r="H5433" s="71"/>
      <c r="I5433" s="71"/>
      <c r="J5433" s="174"/>
      <c r="K5433" s="132"/>
      <c r="L5433" s="133"/>
    </row>
    <row r="5434" spans="1:12" x14ac:dyDescent="0.2">
      <c r="A5434" s="158"/>
      <c r="B5434" s="55"/>
      <c r="C5434" s="71"/>
      <c r="D5434" s="71"/>
      <c r="E5434" s="71"/>
      <c r="F5434" s="71"/>
      <c r="G5434" s="71"/>
      <c r="H5434" s="71"/>
      <c r="I5434" s="71"/>
      <c r="J5434" s="174"/>
      <c r="K5434" s="132"/>
      <c r="L5434" s="133"/>
    </row>
    <row r="5435" spans="1:12" x14ac:dyDescent="0.2">
      <c r="A5435" s="158"/>
      <c r="B5435" s="55"/>
      <c r="C5435" s="71"/>
      <c r="D5435" s="71"/>
      <c r="E5435" s="71"/>
      <c r="F5435" s="71"/>
      <c r="G5435" s="71"/>
      <c r="H5435" s="71"/>
      <c r="I5435" s="71"/>
      <c r="J5435" s="174"/>
      <c r="K5435" s="132"/>
      <c r="L5435" s="133"/>
    </row>
    <row r="5436" spans="1:12" x14ac:dyDescent="0.2">
      <c r="A5436" s="158"/>
      <c r="B5436" s="55"/>
      <c r="C5436" s="71"/>
      <c r="D5436" s="71"/>
      <c r="E5436" s="71"/>
      <c r="F5436" s="71"/>
      <c r="G5436" s="71"/>
      <c r="H5436" s="71"/>
      <c r="I5436" s="71"/>
      <c r="J5436" s="174"/>
      <c r="K5436" s="132"/>
      <c r="L5436" s="133"/>
    </row>
    <row r="5437" spans="1:12" x14ac:dyDescent="0.2">
      <c r="A5437" s="158"/>
      <c r="B5437" s="55"/>
      <c r="C5437" s="71"/>
      <c r="D5437" s="71"/>
      <c r="E5437" s="71"/>
      <c r="F5437" s="71"/>
      <c r="G5437" s="71"/>
      <c r="H5437" s="71"/>
      <c r="I5437" s="71"/>
      <c r="J5437" s="174"/>
      <c r="K5437" s="132"/>
      <c r="L5437" s="133"/>
    </row>
    <row r="5438" spans="1:12" x14ac:dyDescent="0.2">
      <c r="A5438" s="158"/>
      <c r="B5438" s="55"/>
      <c r="C5438" s="71"/>
      <c r="D5438" s="71"/>
      <c r="E5438" s="71"/>
      <c r="F5438" s="71"/>
      <c r="G5438" s="71"/>
      <c r="H5438" s="71"/>
      <c r="I5438" s="71"/>
      <c r="J5438" s="174"/>
      <c r="K5438" s="132"/>
      <c r="L5438" s="133"/>
    </row>
    <row r="5439" spans="1:12" x14ac:dyDescent="0.2">
      <c r="A5439" s="158"/>
      <c r="B5439" s="55"/>
      <c r="C5439" s="71"/>
      <c r="D5439" s="71"/>
      <c r="E5439" s="71"/>
      <c r="F5439" s="71"/>
      <c r="G5439" s="71"/>
      <c r="H5439" s="71"/>
      <c r="I5439" s="71"/>
      <c r="J5439" s="174"/>
      <c r="K5439" s="132"/>
      <c r="L5439" s="133"/>
    </row>
    <row r="5440" spans="1:12" x14ac:dyDescent="0.2">
      <c r="A5440" s="158"/>
      <c r="B5440" s="55"/>
      <c r="C5440" s="71"/>
      <c r="D5440" s="71"/>
      <c r="E5440" s="71"/>
      <c r="F5440" s="71"/>
      <c r="G5440" s="71"/>
      <c r="H5440" s="71"/>
      <c r="I5440" s="71"/>
      <c r="J5440" s="174"/>
      <c r="K5440" s="132"/>
      <c r="L5440" s="133"/>
    </row>
    <row r="5441" spans="1:14" ht="13.5" thickBot="1" x14ac:dyDescent="0.25">
      <c r="A5441" s="149"/>
      <c r="B5441" s="167"/>
      <c r="C5441" s="151"/>
      <c r="D5441" s="151"/>
      <c r="E5441" s="151"/>
      <c r="F5441" s="151"/>
      <c r="G5441" s="151"/>
      <c r="H5441" s="151"/>
      <c r="I5441" s="151"/>
      <c r="J5441" s="168"/>
      <c r="K5441" s="132"/>
      <c r="L5441" s="133"/>
    </row>
    <row r="5442" spans="1:14" ht="15.75" x14ac:dyDescent="0.2">
      <c r="A5442" s="602" t="s">
        <v>4</v>
      </c>
      <c r="B5442" s="603"/>
      <c r="C5442" s="637" t="str">
        <f>'A IV.A'!$B$155</f>
        <v>SERVIÇOS COMPLEMENTARES - ITEM 12.0 DO TERMO DE REFERÊNCIA</v>
      </c>
      <c r="D5442" s="637"/>
      <c r="E5442" s="637"/>
      <c r="F5442" s="637"/>
      <c r="G5442" s="637"/>
      <c r="H5442" s="637"/>
      <c r="I5442" s="637"/>
      <c r="J5442" s="719"/>
      <c r="K5442" s="132"/>
      <c r="L5442" s="133"/>
    </row>
    <row r="5443" spans="1:14" x14ac:dyDescent="0.2">
      <c r="A5443" s="609" t="str">
        <f>'A IV.A'!$A$155</f>
        <v>7.0</v>
      </c>
      <c r="B5443" s="610"/>
      <c r="C5443" s="720"/>
      <c r="D5443" s="720"/>
      <c r="E5443" s="720"/>
      <c r="F5443" s="720"/>
      <c r="G5443" s="720"/>
      <c r="H5443" s="720"/>
      <c r="I5443" s="720"/>
      <c r="J5443" s="721"/>
      <c r="K5443" s="132"/>
      <c r="L5443" s="133"/>
    </row>
    <row r="5444" spans="1:14" ht="13.5" thickBot="1" x14ac:dyDescent="0.25">
      <c r="A5444" s="611"/>
      <c r="B5444" s="612"/>
      <c r="C5444" s="722"/>
      <c r="D5444" s="722"/>
      <c r="E5444" s="722"/>
      <c r="F5444" s="722"/>
      <c r="G5444" s="722"/>
      <c r="H5444" s="722"/>
      <c r="I5444" s="722"/>
      <c r="J5444" s="723"/>
      <c r="K5444" s="132"/>
      <c r="L5444" s="133"/>
    </row>
    <row r="5445" spans="1:14" ht="13.5" thickBot="1" x14ac:dyDescent="0.25">
      <c r="A5445" s="169"/>
      <c r="B5445" s="169"/>
      <c r="C5445" s="613"/>
      <c r="D5445" s="613"/>
      <c r="E5445" s="613"/>
      <c r="F5445" s="613"/>
      <c r="G5445" s="613"/>
      <c r="H5445" s="613"/>
      <c r="I5445" s="613"/>
      <c r="J5445" s="169"/>
      <c r="K5445" s="132"/>
      <c r="L5445" s="133"/>
    </row>
    <row r="5446" spans="1:14" ht="13.5" thickBot="1" x14ac:dyDescent="0.25">
      <c r="A5446" s="632" t="s">
        <v>60</v>
      </c>
      <c r="B5446" s="633"/>
      <c r="C5446" s="656" t="s">
        <v>61</v>
      </c>
      <c r="D5446" s="656"/>
      <c r="E5446" s="656"/>
      <c r="F5446" s="656"/>
      <c r="G5446" s="656"/>
      <c r="H5446" s="656"/>
      <c r="I5446" s="656"/>
      <c r="J5446" s="260" t="s">
        <v>0</v>
      </c>
      <c r="K5446" s="132"/>
      <c r="L5446" s="133"/>
    </row>
    <row r="5447" spans="1:14" x14ac:dyDescent="0.2">
      <c r="A5447" s="136"/>
      <c r="B5447" s="137"/>
      <c r="C5447" s="619"/>
      <c r="D5447" s="620"/>
      <c r="E5447" s="621"/>
      <c r="F5447" s="621"/>
      <c r="G5447" s="621"/>
      <c r="H5447" s="621"/>
      <c r="I5447" s="622"/>
      <c r="J5447" s="138"/>
      <c r="K5447" s="132"/>
      <c r="L5447" s="133"/>
    </row>
    <row r="5448" spans="1:14" x14ac:dyDescent="0.2">
      <c r="A5448" s="623" t="str">
        <f>'A IV.A'!$A$170</f>
        <v>7.14</v>
      </c>
      <c r="B5448" s="624"/>
      <c r="C5448" s="626" t="str">
        <f>'A IV.A'!$B$170</f>
        <v>GUIA PRÉ-MOLDADA PARA PASSEIOS E JARDINS INTERNOS</v>
      </c>
      <c r="D5448" s="627"/>
      <c r="E5448" s="627"/>
      <c r="F5448" s="627"/>
      <c r="G5448" s="627"/>
      <c r="H5448" s="627"/>
      <c r="I5448" s="628"/>
      <c r="J5448" s="668" t="str">
        <f>'A IV.A'!$C$170</f>
        <v>M</v>
      </c>
      <c r="K5448" s="630" t="str">
        <f>VLOOKUP(A5448,'A IV.A'!$A$14:$M$233,2,FALSE)</f>
        <v>GUIA PRÉ-MOLDADA PARA PASSEIOS E JARDINS INTERNOS</v>
      </c>
      <c r="L5448" s="631" t="str">
        <f>IF(C5448=K5448,"sim","nao")</f>
        <v>sim</v>
      </c>
      <c r="M5448" s="631" t="str">
        <f>VLOOKUP(A5448,'A IV.A'!$A$14:$M$233,3,FALSE)</f>
        <v>M</v>
      </c>
      <c r="N5448" s="631" t="str">
        <f>IF(J5448=M5448,"sim","nao")</f>
        <v>sim</v>
      </c>
    </row>
    <row r="5449" spans="1:14" x14ac:dyDescent="0.2">
      <c r="A5449" s="625"/>
      <c r="B5449" s="624"/>
      <c r="C5449" s="626"/>
      <c r="D5449" s="627"/>
      <c r="E5449" s="627"/>
      <c r="F5449" s="627"/>
      <c r="G5449" s="627"/>
      <c r="H5449" s="627"/>
      <c r="I5449" s="628"/>
      <c r="J5449" s="629"/>
      <c r="K5449" s="630"/>
      <c r="L5449" s="631"/>
      <c r="M5449" s="631"/>
      <c r="N5449" s="631"/>
    </row>
    <row r="5450" spans="1:14" x14ac:dyDescent="0.2">
      <c r="A5450" s="139"/>
      <c r="B5450" s="140"/>
      <c r="C5450" s="141"/>
      <c r="D5450" s="142"/>
      <c r="E5450" s="142"/>
      <c r="F5450" s="142"/>
      <c r="G5450" s="142"/>
      <c r="H5450" s="142"/>
      <c r="I5450" s="143"/>
      <c r="J5450" s="144"/>
      <c r="K5450" s="132"/>
      <c r="L5450" s="133"/>
    </row>
    <row r="5451" spans="1:14" x14ac:dyDescent="0.2">
      <c r="A5451" s="199"/>
      <c r="B5451" s="188"/>
      <c r="C5451" s="189"/>
      <c r="D5451" s="165"/>
      <c r="E5451" s="165"/>
      <c r="F5451" s="165"/>
      <c r="G5451" s="165"/>
      <c r="H5451" s="165"/>
      <c r="I5451" s="190"/>
      <c r="J5451" s="357"/>
      <c r="K5451" s="630"/>
      <c r="L5451" s="631"/>
      <c r="M5451" s="631"/>
      <c r="N5451" s="631"/>
    </row>
    <row r="5452" spans="1:14" x14ac:dyDescent="0.2">
      <c r="A5452" s="158"/>
      <c r="B5452" s="188"/>
      <c r="C5452" s="189"/>
      <c r="D5452" s="165"/>
      <c r="E5452" s="165"/>
      <c r="F5452" s="165"/>
      <c r="G5452" s="165"/>
      <c r="H5452" s="165"/>
      <c r="I5452" s="190"/>
      <c r="J5452" s="191"/>
      <c r="K5452" s="630"/>
      <c r="L5452" s="631"/>
      <c r="M5452" s="631"/>
      <c r="N5452" s="631"/>
    </row>
    <row r="5453" spans="1:14" x14ac:dyDescent="0.2">
      <c r="A5453" s="145"/>
      <c r="B5453" s="146"/>
      <c r="C5453" s="147"/>
      <c r="D5453" s="147"/>
      <c r="E5453" s="147"/>
      <c r="F5453" s="147"/>
      <c r="G5453" s="147"/>
      <c r="H5453" s="147"/>
      <c r="I5453" s="147"/>
      <c r="J5453" s="148"/>
      <c r="K5453" s="132"/>
      <c r="L5453" s="133"/>
    </row>
    <row r="5454" spans="1:14" x14ac:dyDescent="0.2">
      <c r="A5454" s="199"/>
      <c r="B5454" s="188"/>
      <c r="C5454" s="189"/>
      <c r="D5454" s="165"/>
      <c r="E5454" s="165"/>
      <c r="F5454" s="165"/>
      <c r="G5454" s="165"/>
      <c r="H5454" s="165"/>
      <c r="I5454" s="190"/>
      <c r="J5454" s="191"/>
      <c r="K5454" s="192"/>
      <c r="L5454" s="55"/>
      <c r="M5454" s="55"/>
      <c r="N5454" s="55"/>
    </row>
    <row r="5455" spans="1:14" x14ac:dyDescent="0.2">
      <c r="A5455" s="158"/>
      <c r="B5455" s="188"/>
      <c r="C5455" s="189"/>
      <c r="D5455" s="165"/>
      <c r="E5455" s="165"/>
      <c r="F5455" s="165"/>
      <c r="G5455" s="165"/>
      <c r="H5455" s="165"/>
      <c r="I5455" s="190"/>
      <c r="J5455" s="191"/>
      <c r="K5455" s="192"/>
      <c r="L5455" s="55"/>
      <c r="M5455" s="55"/>
      <c r="N5455" s="55"/>
    </row>
    <row r="5456" spans="1:14" x14ac:dyDescent="0.2">
      <c r="A5456" s="145"/>
      <c r="B5456" s="146"/>
      <c r="C5456" s="147"/>
      <c r="D5456" s="147"/>
      <c r="E5456" s="147"/>
      <c r="F5456" s="147"/>
      <c r="G5456" s="147"/>
      <c r="H5456" s="147"/>
      <c r="I5456" s="147"/>
      <c r="J5456" s="148"/>
      <c r="K5456" s="132"/>
      <c r="L5456" s="133"/>
    </row>
    <row r="5457" spans="1:14" x14ac:dyDescent="0.2">
      <c r="A5457" s="199"/>
      <c r="B5457" s="188"/>
      <c r="C5457" s="189"/>
      <c r="D5457" s="165"/>
      <c r="E5457" s="165"/>
      <c r="F5457" s="165"/>
      <c r="G5457" s="165"/>
      <c r="H5457" s="165"/>
      <c r="I5457" s="190"/>
      <c r="J5457" s="191"/>
      <c r="K5457" s="192"/>
      <c r="L5457" s="55"/>
      <c r="M5457" s="55"/>
      <c r="N5457" s="55"/>
    </row>
    <row r="5458" spans="1:14" x14ac:dyDescent="0.2">
      <c r="A5458" s="158"/>
      <c r="B5458" s="188"/>
      <c r="C5458" s="189"/>
      <c r="D5458" s="165"/>
      <c r="E5458" s="165"/>
      <c r="F5458" s="165"/>
      <c r="G5458" s="165"/>
      <c r="H5458" s="165"/>
      <c r="I5458" s="190"/>
      <c r="J5458" s="191"/>
      <c r="K5458" s="192"/>
      <c r="L5458" s="55"/>
      <c r="M5458" s="55"/>
      <c r="N5458" s="55"/>
    </row>
    <row r="5459" spans="1:14" x14ac:dyDescent="0.2">
      <c r="A5459" s="145"/>
      <c r="B5459" s="146"/>
      <c r="C5459" s="147"/>
      <c r="D5459" s="147"/>
      <c r="E5459" s="147"/>
      <c r="F5459" s="147"/>
      <c r="G5459" s="147"/>
      <c r="H5459" s="147"/>
      <c r="I5459" s="147"/>
      <c r="J5459" s="148"/>
      <c r="K5459" s="132"/>
      <c r="L5459" s="133"/>
    </row>
    <row r="5460" spans="1:14" x14ac:dyDescent="0.2">
      <c r="A5460" s="199"/>
      <c r="B5460" s="188"/>
      <c r="C5460" s="189"/>
      <c r="D5460" s="165"/>
      <c r="E5460" s="165"/>
      <c r="F5460" s="165"/>
      <c r="G5460" s="165"/>
      <c r="H5460" s="165"/>
      <c r="I5460" s="190"/>
      <c r="J5460" s="191"/>
      <c r="K5460" s="192"/>
      <c r="L5460" s="55"/>
      <c r="M5460" s="55"/>
      <c r="N5460" s="55"/>
    </row>
    <row r="5461" spans="1:14" x14ac:dyDescent="0.2">
      <c r="A5461" s="158"/>
      <c r="B5461" s="188"/>
      <c r="C5461" s="189"/>
      <c r="D5461" s="165"/>
      <c r="E5461" s="165"/>
      <c r="F5461" s="165"/>
      <c r="G5461" s="165"/>
      <c r="H5461" s="165"/>
      <c r="I5461" s="190"/>
      <c r="J5461" s="191"/>
      <c r="K5461" s="192"/>
      <c r="L5461" s="55"/>
      <c r="M5461" s="55"/>
      <c r="N5461" s="55"/>
    </row>
    <row r="5462" spans="1:14" x14ac:dyDescent="0.2">
      <c r="A5462" s="145"/>
      <c r="B5462" s="146"/>
      <c r="C5462" s="147"/>
      <c r="D5462" s="147"/>
      <c r="E5462" s="147"/>
      <c r="F5462" s="147"/>
      <c r="G5462" s="147"/>
      <c r="H5462" s="147"/>
      <c r="I5462" s="147"/>
      <c r="J5462" s="148"/>
      <c r="K5462" s="132"/>
      <c r="L5462" s="133"/>
    </row>
    <row r="5463" spans="1:14" x14ac:dyDescent="0.2">
      <c r="A5463" s="199"/>
      <c r="B5463" s="188"/>
      <c r="C5463" s="189"/>
      <c r="D5463" s="165"/>
      <c r="E5463" s="165"/>
      <c r="F5463" s="165"/>
      <c r="G5463" s="165"/>
      <c r="H5463" s="165"/>
      <c r="I5463" s="190"/>
      <c r="J5463" s="191"/>
      <c r="K5463" s="192"/>
      <c r="L5463" s="55"/>
      <c r="M5463" s="55"/>
      <c r="N5463" s="55"/>
    </row>
    <row r="5464" spans="1:14" x14ac:dyDescent="0.2">
      <c r="A5464" s="158"/>
      <c r="B5464" s="188"/>
      <c r="C5464" s="189"/>
      <c r="D5464" s="165"/>
      <c r="E5464" s="165"/>
      <c r="F5464" s="165"/>
      <c r="G5464" s="165"/>
      <c r="H5464" s="165"/>
      <c r="I5464" s="190"/>
      <c r="J5464" s="191"/>
      <c r="K5464" s="192"/>
      <c r="L5464" s="55"/>
      <c r="M5464" s="55"/>
      <c r="N5464" s="55"/>
    </row>
    <row r="5465" spans="1:14" x14ac:dyDescent="0.2">
      <c r="A5465" s="145"/>
      <c r="B5465" s="146"/>
      <c r="C5465" s="147"/>
      <c r="D5465" s="147"/>
      <c r="E5465" s="147"/>
      <c r="F5465" s="147"/>
      <c r="G5465" s="147"/>
      <c r="H5465" s="147"/>
      <c r="I5465" s="147"/>
      <c r="J5465" s="148"/>
      <c r="K5465" s="132"/>
      <c r="L5465" s="133"/>
    </row>
    <row r="5466" spans="1:14" x14ac:dyDescent="0.2">
      <c r="A5466" s="199"/>
      <c r="B5466" s="188"/>
      <c r="C5466" s="189"/>
      <c r="D5466" s="165"/>
      <c r="E5466" s="165"/>
      <c r="F5466" s="165"/>
      <c r="G5466" s="165"/>
      <c r="H5466" s="165"/>
      <c r="I5466" s="190"/>
      <c r="J5466" s="191"/>
      <c r="K5466" s="192"/>
      <c r="L5466" s="55"/>
      <c r="M5466" s="55"/>
      <c r="N5466" s="55"/>
    </row>
    <row r="5467" spans="1:14" x14ac:dyDescent="0.2">
      <c r="A5467" s="158"/>
      <c r="B5467" s="188"/>
      <c r="C5467" s="189"/>
      <c r="D5467" s="165"/>
      <c r="E5467" s="165"/>
      <c r="F5467" s="165"/>
      <c r="G5467" s="165"/>
      <c r="H5467" s="165"/>
      <c r="I5467" s="190"/>
      <c r="J5467" s="191"/>
      <c r="K5467" s="192"/>
      <c r="L5467" s="55"/>
      <c r="M5467" s="55"/>
      <c r="N5467" s="55"/>
    </row>
    <row r="5468" spans="1:14" x14ac:dyDescent="0.2">
      <c r="A5468" s="145"/>
      <c r="B5468" s="146"/>
      <c r="C5468" s="147"/>
      <c r="D5468" s="147"/>
      <c r="E5468" s="147"/>
      <c r="F5468" s="147"/>
      <c r="G5468" s="147"/>
      <c r="H5468" s="147"/>
      <c r="I5468" s="147"/>
      <c r="J5468" s="148"/>
      <c r="K5468" s="132"/>
      <c r="L5468" s="133"/>
    </row>
    <row r="5469" spans="1:14" ht="13.5" thickBot="1" x14ac:dyDescent="0.25">
      <c r="A5469" s="149"/>
      <c r="B5469" s="150"/>
      <c r="C5469" s="151"/>
      <c r="D5469" s="151"/>
      <c r="E5469" s="151"/>
      <c r="F5469" s="151"/>
      <c r="G5469" s="151"/>
      <c r="H5469" s="151"/>
      <c r="I5469" s="151"/>
      <c r="J5469" s="152"/>
      <c r="K5469" s="132"/>
      <c r="L5469" s="133"/>
    </row>
    <row r="5470" spans="1:14" ht="13.5" thickBot="1" x14ac:dyDescent="0.25">
      <c r="A5470" s="153"/>
      <c r="B5470" s="153"/>
      <c r="C5470" s="154"/>
      <c r="D5470" s="154"/>
      <c r="E5470" s="154"/>
      <c r="F5470" s="154"/>
      <c r="G5470" s="154"/>
      <c r="H5470" s="154"/>
      <c r="I5470" s="154"/>
      <c r="J5470" s="153"/>
      <c r="K5470" s="132"/>
      <c r="L5470" s="133"/>
    </row>
    <row r="5471" spans="1:14" ht="13.5" thickBot="1" x14ac:dyDescent="0.25">
      <c r="A5471" s="614" t="s">
        <v>62</v>
      </c>
      <c r="B5471" s="648"/>
      <c r="C5471" s="648"/>
      <c r="D5471" s="648"/>
      <c r="E5471" s="648"/>
      <c r="F5471" s="648"/>
      <c r="G5471" s="648"/>
      <c r="H5471" s="648"/>
      <c r="I5471" s="648"/>
      <c r="J5471" s="649"/>
      <c r="K5471" s="132"/>
      <c r="L5471" s="133"/>
    </row>
    <row r="5472" spans="1:14" x14ac:dyDescent="0.2">
      <c r="A5472" s="136"/>
      <c r="B5472" s="155"/>
      <c r="C5472" s="156"/>
      <c r="D5472" s="156"/>
      <c r="E5472" s="156"/>
      <c r="F5472" s="156"/>
      <c r="G5472" s="156"/>
      <c r="H5472" s="156"/>
      <c r="I5472" s="156"/>
      <c r="J5472" s="157"/>
      <c r="K5472" s="132"/>
      <c r="L5472" s="133"/>
    </row>
    <row r="5473" spans="1:12" ht="12.75" customHeight="1" x14ac:dyDescent="0.2">
      <c r="A5473" s="158" t="s">
        <v>63</v>
      </c>
      <c r="B5473" s="55"/>
      <c r="C5473" s="596" t="s">
        <v>528</v>
      </c>
      <c r="D5473" s="596"/>
      <c r="E5473" s="596"/>
      <c r="F5473" s="596"/>
      <c r="G5473" s="596"/>
      <c r="H5473" s="596"/>
      <c r="I5473" s="596"/>
      <c r="J5473" s="597"/>
      <c r="K5473" s="132"/>
      <c r="L5473" s="133"/>
    </row>
    <row r="5474" spans="1:12" x14ac:dyDescent="0.2">
      <c r="A5474" s="158"/>
      <c r="B5474" s="55"/>
      <c r="C5474" s="596"/>
      <c r="D5474" s="596"/>
      <c r="E5474" s="596"/>
      <c r="F5474" s="596"/>
      <c r="G5474" s="596"/>
      <c r="H5474" s="596"/>
      <c r="I5474" s="596"/>
      <c r="J5474" s="597"/>
      <c r="K5474" s="132"/>
      <c r="L5474" s="133"/>
    </row>
    <row r="5475" spans="1:12" x14ac:dyDescent="0.2">
      <c r="A5475" s="158"/>
      <c r="B5475" s="55"/>
      <c r="C5475" s="596"/>
      <c r="D5475" s="596"/>
      <c r="E5475" s="596"/>
      <c r="F5475" s="596"/>
      <c r="G5475" s="596"/>
      <c r="H5475" s="596"/>
      <c r="I5475" s="596"/>
      <c r="J5475" s="597"/>
      <c r="K5475" s="132"/>
      <c r="L5475" s="133"/>
    </row>
    <row r="5476" spans="1:12" x14ac:dyDescent="0.2">
      <c r="A5476" s="158"/>
      <c r="B5476" s="55"/>
      <c r="C5476" s="596"/>
      <c r="D5476" s="596"/>
      <c r="E5476" s="596"/>
      <c r="F5476" s="596"/>
      <c r="G5476" s="596"/>
      <c r="H5476" s="596"/>
      <c r="I5476" s="596"/>
      <c r="J5476" s="597"/>
      <c r="K5476" s="132"/>
      <c r="L5476" s="133"/>
    </row>
    <row r="5477" spans="1:12" x14ac:dyDescent="0.2">
      <c r="A5477" s="158"/>
      <c r="B5477" s="55"/>
      <c r="C5477" s="159"/>
      <c r="D5477" s="159"/>
      <c r="E5477" s="159"/>
      <c r="F5477" s="159"/>
      <c r="G5477" s="159"/>
      <c r="H5477" s="159"/>
      <c r="I5477" s="159"/>
      <c r="J5477" s="160"/>
      <c r="K5477" s="132"/>
      <c r="L5477" s="133"/>
    </row>
    <row r="5478" spans="1:12" ht="12.75" customHeight="1" x14ac:dyDescent="0.2">
      <c r="A5478" s="158" t="s">
        <v>64</v>
      </c>
      <c r="B5478" s="55"/>
      <c r="C5478" s="662" t="s">
        <v>529</v>
      </c>
      <c r="D5478" s="662"/>
      <c r="E5478" s="662"/>
      <c r="F5478" s="662"/>
      <c r="G5478" s="662"/>
      <c r="H5478" s="662"/>
      <c r="I5478" s="662"/>
      <c r="J5478" s="663"/>
      <c r="K5478" s="132"/>
      <c r="L5478" s="133"/>
    </row>
    <row r="5479" spans="1:12" x14ac:dyDescent="0.2">
      <c r="A5479" s="158"/>
      <c r="B5479" s="55"/>
      <c r="C5479" s="71"/>
      <c r="D5479" s="71"/>
      <c r="E5479" s="71"/>
      <c r="F5479" s="71"/>
      <c r="G5479" s="71"/>
      <c r="H5479" s="71"/>
      <c r="I5479" s="71"/>
      <c r="J5479" s="174"/>
      <c r="K5479" s="132"/>
      <c r="L5479" s="133"/>
    </row>
    <row r="5480" spans="1:12" x14ac:dyDescent="0.2">
      <c r="A5480" s="158"/>
      <c r="B5480" s="55"/>
      <c r="C5480" s="71"/>
      <c r="D5480" s="71"/>
      <c r="E5480" s="71"/>
      <c r="F5480" s="71"/>
      <c r="G5480" s="71"/>
      <c r="H5480" s="71"/>
      <c r="I5480" s="71"/>
      <c r="J5480" s="174"/>
      <c r="K5480" s="132"/>
      <c r="L5480" s="133"/>
    </row>
    <row r="5481" spans="1:12" x14ac:dyDescent="0.2">
      <c r="A5481" s="158"/>
      <c r="B5481" s="55"/>
      <c r="C5481" s="175"/>
      <c r="D5481" s="175"/>
      <c r="E5481" s="175"/>
      <c r="F5481" s="175"/>
      <c r="G5481" s="175"/>
      <c r="H5481" s="175"/>
      <c r="I5481" s="175"/>
      <c r="J5481" s="176"/>
      <c r="K5481" s="132"/>
      <c r="L5481" s="133"/>
    </row>
    <row r="5482" spans="1:12" x14ac:dyDescent="0.2">
      <c r="A5482" s="158"/>
      <c r="B5482" s="55"/>
      <c r="C5482" s="159"/>
      <c r="D5482" s="159"/>
      <c r="E5482" s="159"/>
      <c r="F5482" s="159"/>
      <c r="G5482" s="159"/>
      <c r="H5482" s="159"/>
      <c r="I5482" s="159"/>
      <c r="J5482" s="160"/>
      <c r="K5482" s="132"/>
      <c r="L5482" s="133"/>
    </row>
    <row r="5483" spans="1:12" ht="12.75" customHeight="1" x14ac:dyDescent="0.2">
      <c r="A5483" s="158"/>
      <c r="B5483" s="55"/>
      <c r="C5483" s="159"/>
      <c r="D5483" s="159"/>
      <c r="E5483" s="159"/>
      <c r="F5483" s="159"/>
      <c r="G5483" s="159"/>
      <c r="H5483" s="159"/>
      <c r="I5483" s="159"/>
      <c r="J5483" s="160"/>
      <c r="K5483" s="132"/>
      <c r="L5483" s="133"/>
    </row>
    <row r="5484" spans="1:12" x14ac:dyDescent="0.2">
      <c r="A5484" s="158"/>
      <c r="B5484" s="55"/>
      <c r="C5484" s="159"/>
      <c r="D5484" s="159"/>
      <c r="E5484" s="159"/>
      <c r="F5484" s="159"/>
      <c r="G5484" s="159"/>
      <c r="H5484" s="159"/>
      <c r="I5484" s="159"/>
      <c r="J5484" s="160"/>
      <c r="K5484" s="132"/>
      <c r="L5484" s="133"/>
    </row>
    <row r="5485" spans="1:12" x14ac:dyDescent="0.2">
      <c r="A5485" s="158"/>
      <c r="B5485" s="55"/>
      <c r="C5485" s="71"/>
      <c r="D5485" s="71"/>
      <c r="E5485" s="71"/>
      <c r="F5485" s="71"/>
      <c r="G5485" s="71"/>
      <c r="H5485" s="71"/>
      <c r="I5485" s="71"/>
      <c r="J5485" s="174"/>
      <c r="K5485" s="132"/>
      <c r="L5485" s="133"/>
    </row>
    <row r="5486" spans="1:12" x14ac:dyDescent="0.2">
      <c r="A5486" s="158"/>
      <c r="B5486" s="55"/>
      <c r="C5486" s="71"/>
      <c r="D5486" s="71"/>
      <c r="E5486" s="71"/>
      <c r="F5486" s="71"/>
      <c r="G5486" s="71"/>
      <c r="H5486" s="71"/>
      <c r="I5486" s="71"/>
      <c r="J5486" s="174"/>
      <c r="K5486" s="132"/>
      <c r="L5486" s="133"/>
    </row>
    <row r="5487" spans="1:12" x14ac:dyDescent="0.2">
      <c r="A5487" s="158"/>
      <c r="B5487" s="55"/>
      <c r="C5487" s="71"/>
      <c r="D5487" s="71"/>
      <c r="E5487" s="71"/>
      <c r="F5487" s="71"/>
      <c r="G5487" s="71"/>
      <c r="H5487" s="71"/>
      <c r="I5487" s="71"/>
      <c r="J5487" s="174"/>
      <c r="K5487" s="132"/>
      <c r="L5487" s="133"/>
    </row>
    <row r="5488" spans="1:12" x14ac:dyDescent="0.2">
      <c r="A5488" s="158"/>
      <c r="B5488" s="55"/>
      <c r="C5488" s="71"/>
      <c r="D5488" s="71"/>
      <c r="E5488" s="71"/>
      <c r="F5488" s="71"/>
      <c r="G5488" s="71"/>
      <c r="H5488" s="71"/>
      <c r="I5488" s="71"/>
      <c r="J5488" s="174"/>
      <c r="K5488" s="132"/>
      <c r="L5488" s="133"/>
    </row>
    <row r="5489" spans="1:14" x14ac:dyDescent="0.2">
      <c r="A5489" s="158"/>
      <c r="B5489" s="55"/>
      <c r="C5489" s="175"/>
      <c r="D5489" s="175"/>
      <c r="E5489" s="172"/>
      <c r="F5489" s="172"/>
      <c r="G5489" s="172"/>
      <c r="H5489" s="172"/>
      <c r="I5489" s="172"/>
      <c r="J5489" s="173"/>
      <c r="K5489" s="132"/>
      <c r="L5489" s="133"/>
    </row>
    <row r="5490" spans="1:14" x14ac:dyDescent="0.2">
      <c r="A5490" s="158"/>
      <c r="B5490" s="55"/>
      <c r="C5490" s="175"/>
      <c r="D5490" s="175"/>
      <c r="E5490" s="172"/>
      <c r="F5490" s="172"/>
      <c r="G5490" s="172"/>
      <c r="H5490" s="172"/>
      <c r="I5490" s="172"/>
      <c r="J5490" s="173"/>
      <c r="K5490" s="132"/>
      <c r="L5490" s="133"/>
    </row>
    <row r="5491" spans="1:14" x14ac:dyDescent="0.2">
      <c r="A5491" s="158"/>
      <c r="B5491" s="55"/>
      <c r="C5491" s="175"/>
      <c r="D5491" s="175"/>
      <c r="E5491" s="172"/>
      <c r="F5491" s="172"/>
      <c r="G5491" s="172"/>
      <c r="H5491" s="172"/>
      <c r="I5491" s="172"/>
      <c r="J5491" s="173"/>
      <c r="K5491" s="132"/>
      <c r="L5491" s="133"/>
    </row>
    <row r="5492" spans="1:14" x14ac:dyDescent="0.2">
      <c r="A5492" s="158"/>
      <c r="B5492" s="55"/>
      <c r="C5492" s="175"/>
      <c r="D5492" s="175"/>
      <c r="E5492" s="175"/>
      <c r="F5492" s="175"/>
      <c r="G5492" s="175"/>
      <c r="H5492" s="175"/>
      <c r="I5492" s="175"/>
      <c r="J5492" s="176"/>
      <c r="K5492" s="132"/>
      <c r="L5492" s="133"/>
    </row>
    <row r="5493" spans="1:14" x14ac:dyDescent="0.2">
      <c r="A5493" s="158"/>
      <c r="B5493" s="55"/>
      <c r="C5493" s="175"/>
      <c r="D5493" s="175"/>
      <c r="E5493" s="175"/>
      <c r="F5493" s="175"/>
      <c r="G5493" s="175"/>
      <c r="H5493" s="175"/>
      <c r="I5493" s="175"/>
      <c r="J5493" s="176"/>
      <c r="K5493" s="132"/>
      <c r="L5493" s="133"/>
    </row>
    <row r="5494" spans="1:14" ht="13.5" thickBot="1" x14ac:dyDescent="0.25">
      <c r="A5494" s="149"/>
      <c r="B5494" s="167"/>
      <c r="C5494" s="151"/>
      <c r="D5494" s="151"/>
      <c r="E5494" s="151"/>
      <c r="F5494" s="151"/>
      <c r="G5494" s="151"/>
      <c r="H5494" s="151"/>
      <c r="I5494" s="151"/>
      <c r="J5494" s="168"/>
      <c r="K5494" s="132"/>
      <c r="L5494" s="133"/>
    </row>
    <row r="5495" spans="1:14" ht="15.75" x14ac:dyDescent="0.2">
      <c r="A5495" s="602" t="s">
        <v>4</v>
      </c>
      <c r="B5495" s="603"/>
      <c r="C5495" s="637" t="str">
        <f>'A IV.A'!$B$155</f>
        <v>SERVIÇOS COMPLEMENTARES - ITEM 12.0 DO TERMO DE REFERÊNCIA</v>
      </c>
      <c r="D5495" s="637"/>
      <c r="E5495" s="637"/>
      <c r="F5495" s="637"/>
      <c r="G5495" s="637"/>
      <c r="H5495" s="637"/>
      <c r="I5495" s="637"/>
      <c r="J5495" s="719"/>
      <c r="K5495" s="132"/>
      <c r="L5495" s="133"/>
    </row>
    <row r="5496" spans="1:14" x14ac:dyDescent="0.2">
      <c r="A5496" s="609" t="str">
        <f>'A IV.A'!$A$155</f>
        <v>7.0</v>
      </c>
      <c r="B5496" s="610"/>
      <c r="C5496" s="720"/>
      <c r="D5496" s="720"/>
      <c r="E5496" s="720"/>
      <c r="F5496" s="720"/>
      <c r="G5496" s="720"/>
      <c r="H5496" s="720"/>
      <c r="I5496" s="720"/>
      <c r="J5496" s="721"/>
      <c r="K5496" s="132"/>
      <c r="L5496" s="133"/>
    </row>
    <row r="5497" spans="1:14" ht="13.5" thickBot="1" x14ac:dyDescent="0.25">
      <c r="A5497" s="611"/>
      <c r="B5497" s="612"/>
      <c r="C5497" s="722"/>
      <c r="D5497" s="722"/>
      <c r="E5497" s="722"/>
      <c r="F5497" s="722"/>
      <c r="G5497" s="722"/>
      <c r="H5497" s="722"/>
      <c r="I5497" s="722"/>
      <c r="J5497" s="723"/>
      <c r="K5497" s="132"/>
      <c r="L5497" s="133"/>
    </row>
    <row r="5498" spans="1:14" ht="13.5" thickBot="1" x14ac:dyDescent="0.25">
      <c r="A5498" s="169"/>
      <c r="B5498" s="169"/>
      <c r="C5498" s="613"/>
      <c r="D5498" s="613"/>
      <c r="E5498" s="613"/>
      <c r="F5498" s="613"/>
      <c r="G5498" s="613"/>
      <c r="H5498" s="613"/>
      <c r="I5498" s="613"/>
      <c r="J5498" s="169"/>
      <c r="K5498" s="132"/>
      <c r="L5498" s="133"/>
    </row>
    <row r="5499" spans="1:14" ht="13.5" thickBot="1" x14ac:dyDescent="0.25">
      <c r="A5499" s="632" t="s">
        <v>60</v>
      </c>
      <c r="B5499" s="633"/>
      <c r="C5499" s="656" t="s">
        <v>61</v>
      </c>
      <c r="D5499" s="656"/>
      <c r="E5499" s="656"/>
      <c r="F5499" s="656"/>
      <c r="G5499" s="656"/>
      <c r="H5499" s="656"/>
      <c r="I5499" s="656"/>
      <c r="J5499" s="260" t="s">
        <v>0</v>
      </c>
      <c r="K5499" s="132"/>
      <c r="L5499" s="133"/>
    </row>
    <row r="5500" spans="1:14" x14ac:dyDescent="0.2">
      <c r="A5500" s="136"/>
      <c r="B5500" s="137"/>
      <c r="C5500" s="619"/>
      <c r="D5500" s="620"/>
      <c r="E5500" s="621"/>
      <c r="F5500" s="621"/>
      <c r="G5500" s="621"/>
      <c r="H5500" s="621"/>
      <c r="I5500" s="622"/>
      <c r="J5500" s="138"/>
      <c r="K5500" s="132"/>
      <c r="L5500" s="133"/>
    </row>
    <row r="5501" spans="1:14" x14ac:dyDescent="0.2">
      <c r="A5501" s="623" t="str">
        <f>'A IV.A'!A171</f>
        <v>7.15</v>
      </c>
      <c r="B5501" s="624"/>
      <c r="C5501" s="626" t="str">
        <f>'A IV.A'!B171</f>
        <v>GUIA PRÉ-MOLDADA DE CONCRETO, ASSENTADA COM CONCRETO FCK=15MPA</v>
      </c>
      <c r="D5501" s="627"/>
      <c r="E5501" s="627"/>
      <c r="F5501" s="627"/>
      <c r="G5501" s="627"/>
      <c r="H5501" s="627"/>
      <c r="I5501" s="628"/>
      <c r="J5501" s="668" t="str">
        <f>'A IV.A'!C171</f>
        <v>M</v>
      </c>
      <c r="K5501" s="630" t="str">
        <f>VLOOKUP(A5501,'A IV.A'!$A$14:$M$233,2,FALSE)</f>
        <v>GUIA PRÉ-MOLDADA DE CONCRETO, ASSENTADA COM CONCRETO FCK=15MPA</v>
      </c>
      <c r="L5501" s="631" t="str">
        <f>IF(C5501=K5501,"sim","nao")</f>
        <v>sim</v>
      </c>
      <c r="M5501" s="631" t="str">
        <f>VLOOKUP(A5501,'A IV.A'!$A$14:$M$233,3,FALSE)</f>
        <v>M</v>
      </c>
      <c r="N5501" s="631" t="str">
        <f>IF(J5501=M5501,"sim","nao")</f>
        <v>sim</v>
      </c>
    </row>
    <row r="5502" spans="1:14" x14ac:dyDescent="0.2">
      <c r="A5502" s="625"/>
      <c r="B5502" s="624"/>
      <c r="C5502" s="626"/>
      <c r="D5502" s="627"/>
      <c r="E5502" s="627"/>
      <c r="F5502" s="627"/>
      <c r="G5502" s="627"/>
      <c r="H5502" s="627"/>
      <c r="I5502" s="628"/>
      <c r="J5502" s="629"/>
      <c r="K5502" s="630"/>
      <c r="L5502" s="631"/>
      <c r="M5502" s="631"/>
      <c r="N5502" s="631"/>
    </row>
    <row r="5503" spans="1:14" x14ac:dyDescent="0.2">
      <c r="A5503" s="139"/>
      <c r="B5503" s="140"/>
      <c r="C5503" s="141"/>
      <c r="D5503" s="142"/>
      <c r="E5503" s="142"/>
      <c r="F5503" s="142"/>
      <c r="G5503" s="142"/>
      <c r="H5503" s="142"/>
      <c r="I5503" s="143"/>
      <c r="J5503" s="144"/>
      <c r="K5503" s="132"/>
      <c r="L5503" s="133"/>
    </row>
    <row r="5504" spans="1:14" x14ac:dyDescent="0.2">
      <c r="A5504" s="199"/>
      <c r="B5504" s="188"/>
      <c r="C5504" s="189"/>
      <c r="D5504" s="165"/>
      <c r="E5504" s="165"/>
      <c r="F5504" s="165"/>
      <c r="G5504" s="165"/>
      <c r="H5504" s="165"/>
      <c r="I5504" s="190"/>
      <c r="J5504" s="357"/>
      <c r="K5504" s="630"/>
      <c r="L5504" s="631"/>
      <c r="M5504" s="631"/>
      <c r="N5504" s="631"/>
    </row>
    <row r="5505" spans="1:14" x14ac:dyDescent="0.2">
      <c r="A5505" s="158"/>
      <c r="B5505" s="188"/>
      <c r="C5505" s="189"/>
      <c r="D5505" s="165"/>
      <c r="E5505" s="165"/>
      <c r="F5505" s="165"/>
      <c r="G5505" s="165"/>
      <c r="H5505" s="165"/>
      <c r="I5505" s="190"/>
      <c r="J5505" s="191"/>
      <c r="K5505" s="630"/>
      <c r="L5505" s="631"/>
      <c r="M5505" s="631"/>
      <c r="N5505" s="631"/>
    </row>
    <row r="5506" spans="1:14" x14ac:dyDescent="0.2">
      <c r="A5506" s="145"/>
      <c r="B5506" s="146"/>
      <c r="C5506" s="147"/>
      <c r="D5506" s="147"/>
      <c r="E5506" s="147"/>
      <c r="F5506" s="147"/>
      <c r="G5506" s="147"/>
      <c r="H5506" s="147"/>
      <c r="I5506" s="147"/>
      <c r="J5506" s="148"/>
      <c r="K5506" s="132"/>
      <c r="L5506" s="133"/>
    </row>
    <row r="5507" spans="1:14" x14ac:dyDescent="0.2">
      <c r="A5507" s="199"/>
      <c r="B5507" s="188"/>
      <c r="C5507" s="189"/>
      <c r="D5507" s="165"/>
      <c r="E5507" s="165"/>
      <c r="F5507" s="165"/>
      <c r="G5507" s="165"/>
      <c r="H5507" s="165"/>
      <c r="I5507" s="190"/>
      <c r="J5507" s="191"/>
      <c r="K5507" s="192"/>
      <c r="L5507" s="55"/>
      <c r="M5507" s="55"/>
      <c r="N5507" s="55"/>
    </row>
    <row r="5508" spans="1:14" x14ac:dyDescent="0.2">
      <c r="A5508" s="158"/>
      <c r="B5508" s="188"/>
      <c r="C5508" s="189"/>
      <c r="D5508" s="165"/>
      <c r="E5508" s="165"/>
      <c r="F5508" s="165"/>
      <c r="G5508" s="165"/>
      <c r="H5508" s="165"/>
      <c r="I5508" s="190"/>
      <c r="J5508" s="191"/>
      <c r="K5508" s="192"/>
      <c r="L5508" s="55"/>
      <c r="M5508" s="55"/>
      <c r="N5508" s="55"/>
    </row>
    <row r="5509" spans="1:14" x14ac:dyDescent="0.2">
      <c r="A5509" s="145"/>
      <c r="B5509" s="146"/>
      <c r="C5509" s="147"/>
      <c r="D5509" s="147"/>
      <c r="E5509" s="147"/>
      <c r="F5509" s="147"/>
      <c r="G5509" s="147"/>
      <c r="H5509" s="147"/>
      <c r="I5509" s="147"/>
      <c r="J5509" s="148"/>
      <c r="K5509" s="132"/>
      <c r="L5509" s="133"/>
    </row>
    <row r="5510" spans="1:14" x14ac:dyDescent="0.2">
      <c r="A5510" s="199"/>
      <c r="B5510" s="188"/>
      <c r="C5510" s="189"/>
      <c r="D5510" s="165"/>
      <c r="E5510" s="165"/>
      <c r="F5510" s="165"/>
      <c r="G5510" s="165"/>
      <c r="H5510" s="165"/>
      <c r="I5510" s="190"/>
      <c r="J5510" s="191"/>
      <c r="K5510" s="192"/>
      <c r="L5510" s="55"/>
      <c r="M5510" s="55"/>
      <c r="N5510" s="55"/>
    </row>
    <row r="5511" spans="1:14" x14ac:dyDescent="0.2">
      <c r="A5511" s="158"/>
      <c r="B5511" s="188"/>
      <c r="C5511" s="189"/>
      <c r="D5511" s="165"/>
      <c r="E5511" s="165"/>
      <c r="F5511" s="165"/>
      <c r="G5511" s="165"/>
      <c r="H5511" s="165"/>
      <c r="I5511" s="190"/>
      <c r="J5511" s="191"/>
      <c r="K5511" s="192"/>
      <c r="L5511" s="55"/>
      <c r="M5511" s="55"/>
      <c r="N5511" s="55"/>
    </row>
    <row r="5512" spans="1:14" x14ac:dyDescent="0.2">
      <c r="A5512" s="145"/>
      <c r="B5512" s="146"/>
      <c r="C5512" s="147"/>
      <c r="D5512" s="147"/>
      <c r="E5512" s="147"/>
      <c r="F5512" s="147"/>
      <c r="G5512" s="147"/>
      <c r="H5512" s="147"/>
      <c r="I5512" s="147"/>
      <c r="J5512" s="148"/>
      <c r="K5512" s="132"/>
      <c r="L5512" s="133"/>
    </row>
    <row r="5513" spans="1:14" x14ac:dyDescent="0.2">
      <c r="A5513" s="199"/>
      <c r="B5513" s="188"/>
      <c r="C5513" s="189"/>
      <c r="D5513" s="165"/>
      <c r="E5513" s="165"/>
      <c r="F5513" s="165"/>
      <c r="G5513" s="165"/>
      <c r="H5513" s="165"/>
      <c r="I5513" s="190"/>
      <c r="J5513" s="191"/>
      <c r="K5513" s="192"/>
      <c r="L5513" s="55"/>
      <c r="M5513" s="55"/>
      <c r="N5513" s="55"/>
    </row>
    <row r="5514" spans="1:14" x14ac:dyDescent="0.2">
      <c r="A5514" s="158"/>
      <c r="B5514" s="188"/>
      <c r="C5514" s="189"/>
      <c r="D5514" s="165"/>
      <c r="E5514" s="165"/>
      <c r="F5514" s="165"/>
      <c r="G5514" s="165"/>
      <c r="H5514" s="165"/>
      <c r="I5514" s="190"/>
      <c r="J5514" s="191"/>
      <c r="K5514" s="192"/>
      <c r="L5514" s="55"/>
      <c r="M5514" s="55"/>
      <c r="N5514" s="55"/>
    </row>
    <row r="5515" spans="1:14" x14ac:dyDescent="0.2">
      <c r="A5515" s="145"/>
      <c r="B5515" s="146"/>
      <c r="C5515" s="147"/>
      <c r="D5515" s="147"/>
      <c r="E5515" s="147"/>
      <c r="F5515" s="147"/>
      <c r="G5515" s="147"/>
      <c r="H5515" s="147"/>
      <c r="I5515" s="147"/>
      <c r="J5515" s="148"/>
      <c r="K5515" s="132"/>
      <c r="L5515" s="133"/>
    </row>
    <row r="5516" spans="1:14" x14ac:dyDescent="0.2">
      <c r="A5516" s="199"/>
      <c r="B5516" s="188"/>
      <c r="C5516" s="189"/>
      <c r="D5516" s="165"/>
      <c r="E5516" s="165"/>
      <c r="F5516" s="165"/>
      <c r="G5516" s="165"/>
      <c r="H5516" s="165"/>
      <c r="I5516" s="190"/>
      <c r="J5516" s="191"/>
      <c r="K5516" s="192"/>
      <c r="L5516" s="55"/>
      <c r="M5516" s="55"/>
      <c r="N5516" s="55"/>
    </row>
    <row r="5517" spans="1:14" x14ac:dyDescent="0.2">
      <c r="A5517" s="158"/>
      <c r="B5517" s="188"/>
      <c r="C5517" s="189"/>
      <c r="D5517" s="165"/>
      <c r="E5517" s="165"/>
      <c r="F5517" s="165"/>
      <c r="G5517" s="165"/>
      <c r="H5517" s="165"/>
      <c r="I5517" s="190"/>
      <c r="J5517" s="191"/>
      <c r="K5517" s="192"/>
      <c r="L5517" s="55"/>
      <c r="M5517" s="55"/>
      <c r="N5517" s="55"/>
    </row>
    <row r="5518" spans="1:14" x14ac:dyDescent="0.2">
      <c r="A5518" s="145"/>
      <c r="B5518" s="146"/>
      <c r="C5518" s="147"/>
      <c r="D5518" s="147"/>
      <c r="E5518" s="147"/>
      <c r="F5518" s="147"/>
      <c r="G5518" s="147"/>
      <c r="H5518" s="147"/>
      <c r="I5518" s="147"/>
      <c r="J5518" s="148"/>
      <c r="K5518" s="132"/>
      <c r="L5518" s="133"/>
    </row>
    <row r="5519" spans="1:14" x14ac:dyDescent="0.2">
      <c r="A5519" s="199"/>
      <c r="B5519" s="188"/>
      <c r="C5519" s="189"/>
      <c r="D5519" s="165"/>
      <c r="E5519" s="165"/>
      <c r="F5519" s="165"/>
      <c r="G5519" s="165"/>
      <c r="H5519" s="165"/>
      <c r="I5519" s="190"/>
      <c r="J5519" s="191"/>
      <c r="K5519" s="192"/>
      <c r="L5519" s="55"/>
      <c r="M5519" s="55"/>
      <c r="N5519" s="55"/>
    </row>
    <row r="5520" spans="1:14" x14ac:dyDescent="0.2">
      <c r="A5520" s="158"/>
      <c r="B5520" s="188"/>
      <c r="C5520" s="189"/>
      <c r="D5520" s="165"/>
      <c r="E5520" s="165"/>
      <c r="F5520" s="165"/>
      <c r="G5520" s="165"/>
      <c r="H5520" s="165"/>
      <c r="I5520" s="190"/>
      <c r="J5520" s="191"/>
      <c r="K5520" s="192"/>
      <c r="L5520" s="55"/>
      <c r="M5520" s="55"/>
      <c r="N5520" s="55"/>
    </row>
    <row r="5521" spans="1:12" x14ac:dyDescent="0.2">
      <c r="A5521" s="145"/>
      <c r="B5521" s="146"/>
      <c r="C5521" s="147"/>
      <c r="D5521" s="147"/>
      <c r="E5521" s="147"/>
      <c r="F5521" s="147"/>
      <c r="G5521" s="147"/>
      <c r="H5521" s="147"/>
      <c r="I5521" s="147"/>
      <c r="J5521" s="148"/>
      <c r="K5521" s="132"/>
      <c r="L5521" s="133"/>
    </row>
    <row r="5522" spans="1:12" ht="13.5" thickBot="1" x14ac:dyDescent="0.25">
      <c r="A5522" s="149"/>
      <c r="B5522" s="150"/>
      <c r="C5522" s="151"/>
      <c r="D5522" s="151"/>
      <c r="E5522" s="151"/>
      <c r="F5522" s="151"/>
      <c r="G5522" s="151"/>
      <c r="H5522" s="151"/>
      <c r="I5522" s="151"/>
      <c r="J5522" s="152"/>
      <c r="K5522" s="132"/>
      <c r="L5522" s="133"/>
    </row>
    <row r="5523" spans="1:12" ht="13.5" thickBot="1" x14ac:dyDescent="0.25">
      <c r="A5523" s="153"/>
      <c r="B5523" s="153"/>
      <c r="C5523" s="154"/>
      <c r="D5523" s="154"/>
      <c r="E5523" s="154"/>
      <c r="F5523" s="154"/>
      <c r="G5523" s="154"/>
      <c r="H5523" s="154"/>
      <c r="I5523" s="154"/>
      <c r="J5523" s="153"/>
      <c r="K5523" s="132"/>
      <c r="L5523" s="133"/>
    </row>
    <row r="5524" spans="1:12" ht="13.5" thickBot="1" x14ac:dyDescent="0.25">
      <c r="A5524" s="614" t="s">
        <v>62</v>
      </c>
      <c r="B5524" s="648"/>
      <c r="C5524" s="648"/>
      <c r="D5524" s="648"/>
      <c r="E5524" s="648"/>
      <c r="F5524" s="648"/>
      <c r="G5524" s="648"/>
      <c r="H5524" s="648"/>
      <c r="I5524" s="648"/>
      <c r="J5524" s="649"/>
      <c r="K5524" s="132"/>
      <c r="L5524" s="133"/>
    </row>
    <row r="5525" spans="1:12" x14ac:dyDescent="0.2">
      <c r="A5525" s="136"/>
      <c r="B5525" s="155"/>
      <c r="C5525" s="156"/>
      <c r="D5525" s="156"/>
      <c r="E5525" s="156"/>
      <c r="F5525" s="156"/>
      <c r="G5525" s="156"/>
      <c r="H5525" s="156"/>
      <c r="I5525" s="156"/>
      <c r="J5525" s="157"/>
      <c r="K5525" s="132"/>
      <c r="L5525" s="133"/>
    </row>
    <row r="5526" spans="1:12" ht="12.75" customHeight="1" x14ac:dyDescent="0.2">
      <c r="A5526" s="258" t="s">
        <v>63</v>
      </c>
      <c r="B5526" s="259"/>
      <c r="C5526" s="724" t="s">
        <v>752</v>
      </c>
      <c r="D5526" s="724"/>
      <c r="E5526" s="724"/>
      <c r="F5526" s="724"/>
      <c r="G5526" s="724"/>
      <c r="H5526" s="724"/>
      <c r="I5526" s="724"/>
      <c r="J5526" s="725"/>
      <c r="K5526" s="132"/>
      <c r="L5526" s="133"/>
    </row>
    <row r="5527" spans="1:12" x14ac:dyDescent="0.2">
      <c r="A5527" s="258"/>
      <c r="B5527" s="259"/>
      <c r="C5527" s="724"/>
      <c r="D5527" s="724"/>
      <c r="E5527" s="724"/>
      <c r="F5527" s="724"/>
      <c r="G5527" s="724"/>
      <c r="H5527" s="724"/>
      <c r="I5527" s="724"/>
      <c r="J5527" s="725"/>
      <c r="K5527" s="132"/>
      <c r="L5527" s="133"/>
    </row>
    <row r="5528" spans="1:12" x14ac:dyDescent="0.2">
      <c r="A5528" s="258"/>
      <c r="B5528" s="259"/>
      <c r="C5528" s="724"/>
      <c r="D5528" s="724"/>
      <c r="E5528" s="724"/>
      <c r="F5528" s="724"/>
      <c r="G5528" s="724"/>
      <c r="H5528" s="724"/>
      <c r="I5528" s="724"/>
      <c r="J5528" s="725"/>
      <c r="K5528" s="132"/>
      <c r="L5528" s="133"/>
    </row>
    <row r="5529" spans="1:12" x14ac:dyDescent="0.2">
      <c r="A5529" s="258"/>
      <c r="B5529" s="55"/>
      <c r="C5529" s="724"/>
      <c r="D5529" s="724"/>
      <c r="E5529" s="724"/>
      <c r="F5529" s="724"/>
      <c r="G5529" s="724"/>
      <c r="H5529" s="724"/>
      <c r="I5529" s="724"/>
      <c r="J5529" s="725"/>
      <c r="K5529" s="132"/>
      <c r="L5529" s="133"/>
    </row>
    <row r="5530" spans="1:12" x14ac:dyDescent="0.2">
      <c r="A5530" s="158"/>
      <c r="B5530" s="55"/>
      <c r="C5530" s="724"/>
      <c r="D5530" s="724"/>
      <c r="E5530" s="724"/>
      <c r="F5530" s="724"/>
      <c r="G5530" s="724"/>
      <c r="H5530" s="724"/>
      <c r="I5530" s="724"/>
      <c r="J5530" s="725"/>
      <c r="K5530" s="132"/>
      <c r="L5530" s="133"/>
    </row>
    <row r="5531" spans="1:12" x14ac:dyDescent="0.2">
      <c r="A5531" s="158"/>
      <c r="B5531" s="55"/>
      <c r="C5531" s="724"/>
      <c r="D5531" s="724"/>
      <c r="E5531" s="724"/>
      <c r="F5531" s="724"/>
      <c r="G5531" s="724"/>
      <c r="H5531" s="724"/>
      <c r="I5531" s="724"/>
      <c r="J5531" s="725"/>
      <c r="K5531" s="132"/>
      <c r="L5531" s="133"/>
    </row>
    <row r="5532" spans="1:12" x14ac:dyDescent="0.2">
      <c r="A5532" s="158"/>
      <c r="B5532" s="55"/>
      <c r="C5532" s="724"/>
      <c r="D5532" s="724"/>
      <c r="E5532" s="724"/>
      <c r="F5532" s="724"/>
      <c r="G5532" s="724"/>
      <c r="H5532" s="724"/>
      <c r="I5532" s="724"/>
      <c r="J5532" s="725"/>
      <c r="K5532" s="132"/>
      <c r="L5532" s="133"/>
    </row>
    <row r="5533" spans="1:12" x14ac:dyDescent="0.2">
      <c r="A5533" s="158"/>
      <c r="B5533" s="55"/>
      <c r="C5533" s="71"/>
      <c r="D5533" s="71"/>
      <c r="E5533" s="71"/>
      <c r="F5533" s="71"/>
      <c r="G5533" s="71"/>
      <c r="H5533" s="71"/>
      <c r="I5533" s="71"/>
      <c r="J5533" s="174"/>
      <c r="K5533" s="132"/>
      <c r="L5533" s="133"/>
    </row>
    <row r="5534" spans="1:12" ht="12.75" customHeight="1" x14ac:dyDescent="0.2">
      <c r="A5534" s="158" t="s">
        <v>64</v>
      </c>
      <c r="B5534" s="55"/>
      <c r="C5534" s="662" t="s">
        <v>529</v>
      </c>
      <c r="D5534" s="662"/>
      <c r="E5534" s="662"/>
      <c r="F5534" s="662"/>
      <c r="G5534" s="662"/>
      <c r="H5534" s="662"/>
      <c r="I5534" s="662"/>
      <c r="J5534" s="663"/>
      <c r="K5534" s="132"/>
      <c r="L5534" s="133"/>
    </row>
    <row r="5535" spans="1:12" x14ac:dyDescent="0.2">
      <c r="A5535" s="158"/>
      <c r="B5535" s="55"/>
      <c r="C5535" s="71"/>
      <c r="D5535" s="71"/>
      <c r="E5535" s="71"/>
      <c r="F5535" s="71"/>
      <c r="G5535" s="71"/>
      <c r="H5535" s="71"/>
      <c r="I5535" s="71"/>
      <c r="J5535" s="174"/>
      <c r="K5535" s="132"/>
      <c r="L5535" s="133"/>
    </row>
    <row r="5536" spans="1:12" x14ac:dyDescent="0.2">
      <c r="A5536" s="158" t="s">
        <v>65</v>
      </c>
      <c r="B5536" s="55"/>
      <c r="C5536" s="652" t="s">
        <v>527</v>
      </c>
      <c r="D5536" s="652"/>
      <c r="E5536" s="652"/>
      <c r="F5536" s="652"/>
      <c r="G5536" s="652"/>
      <c r="H5536" s="652"/>
      <c r="I5536" s="652"/>
      <c r="J5536" s="653"/>
      <c r="K5536" s="132"/>
      <c r="L5536" s="133"/>
    </row>
    <row r="5537" spans="1:12" x14ac:dyDescent="0.2">
      <c r="A5537" s="158"/>
      <c r="B5537" s="55"/>
      <c r="C5537" s="652"/>
      <c r="D5537" s="652"/>
      <c r="E5537" s="652"/>
      <c r="F5537" s="652"/>
      <c r="G5537" s="652"/>
      <c r="H5537" s="652"/>
      <c r="I5537" s="652"/>
      <c r="J5537" s="653"/>
      <c r="K5537" s="132"/>
      <c r="L5537" s="133"/>
    </row>
    <row r="5538" spans="1:12" ht="12.75" customHeight="1" x14ac:dyDescent="0.2">
      <c r="A5538" s="158"/>
      <c r="B5538" s="55"/>
      <c r="C5538" s="311"/>
      <c r="D5538" s="311"/>
      <c r="E5538" s="311"/>
      <c r="F5538" s="311"/>
      <c r="G5538" s="311"/>
      <c r="H5538" s="311"/>
      <c r="I5538" s="311"/>
      <c r="J5538" s="312"/>
      <c r="K5538" s="132"/>
      <c r="L5538" s="133"/>
    </row>
    <row r="5539" spans="1:12" x14ac:dyDescent="0.2">
      <c r="A5539" s="139"/>
      <c r="B5539" s="56"/>
      <c r="C5539" s="56"/>
      <c r="D5539" s="56"/>
      <c r="E5539" s="56"/>
      <c r="F5539" s="56"/>
      <c r="G5539" s="56"/>
      <c r="H5539" s="56"/>
      <c r="I5539" s="56"/>
      <c r="J5539" s="314"/>
      <c r="K5539" s="132"/>
      <c r="L5539" s="133"/>
    </row>
    <row r="5540" spans="1:12" x14ac:dyDescent="0.2">
      <c r="A5540" s="158"/>
      <c r="B5540" s="55"/>
      <c r="C5540" s="311"/>
      <c r="D5540" s="311"/>
      <c r="E5540" s="311"/>
      <c r="F5540" s="311"/>
      <c r="G5540" s="311"/>
      <c r="H5540" s="311"/>
      <c r="I5540" s="311"/>
      <c r="J5540" s="312"/>
      <c r="K5540" s="132"/>
      <c r="L5540" s="133"/>
    </row>
    <row r="5541" spans="1:12" x14ac:dyDescent="0.2">
      <c r="A5541" s="158"/>
      <c r="B5541" s="55"/>
      <c r="C5541" s="71"/>
      <c r="D5541" s="71"/>
      <c r="E5541" s="71"/>
      <c r="F5541" s="71"/>
      <c r="G5541" s="71"/>
      <c r="H5541" s="71"/>
      <c r="I5541" s="71"/>
      <c r="J5541" s="174"/>
      <c r="K5541" s="132"/>
      <c r="L5541" s="133"/>
    </row>
    <row r="5542" spans="1:12" x14ac:dyDescent="0.2">
      <c r="A5542" s="158"/>
      <c r="B5542" s="55"/>
      <c r="C5542" s="175"/>
      <c r="D5542" s="175"/>
      <c r="E5542" s="172"/>
      <c r="F5542" s="172"/>
      <c r="G5542" s="172"/>
      <c r="H5542" s="172"/>
      <c r="I5542" s="172"/>
      <c r="J5542" s="173"/>
      <c r="K5542" s="132"/>
      <c r="L5542" s="133"/>
    </row>
    <row r="5543" spans="1:12" x14ac:dyDescent="0.2">
      <c r="A5543" s="158"/>
      <c r="B5543" s="55"/>
      <c r="C5543" s="175"/>
      <c r="D5543" s="175"/>
      <c r="E5543" s="172"/>
      <c r="F5543" s="172"/>
      <c r="G5543" s="172"/>
      <c r="H5543" s="172"/>
      <c r="I5543" s="172"/>
      <c r="J5543" s="173"/>
      <c r="K5543" s="132"/>
      <c r="L5543" s="133"/>
    </row>
    <row r="5544" spans="1:12" x14ac:dyDescent="0.2">
      <c r="A5544" s="158"/>
      <c r="B5544" s="55"/>
      <c r="C5544" s="175"/>
      <c r="D5544" s="175"/>
      <c r="E5544" s="172"/>
      <c r="F5544" s="172"/>
      <c r="G5544" s="172"/>
      <c r="H5544" s="172"/>
      <c r="I5544" s="172"/>
      <c r="J5544" s="173"/>
      <c r="K5544" s="132"/>
      <c r="L5544" s="133"/>
    </row>
    <row r="5545" spans="1:12" x14ac:dyDescent="0.2">
      <c r="A5545" s="158"/>
      <c r="B5545" s="55"/>
      <c r="C5545" s="175"/>
      <c r="D5545" s="175"/>
      <c r="E5545" s="175"/>
      <c r="F5545" s="175"/>
      <c r="G5545" s="175"/>
      <c r="H5545" s="175"/>
      <c r="I5545" s="175"/>
      <c r="J5545" s="176"/>
      <c r="K5545" s="132"/>
      <c r="L5545" s="133"/>
    </row>
    <row r="5546" spans="1:12" x14ac:dyDescent="0.2">
      <c r="A5546" s="158"/>
      <c r="B5546" s="55"/>
      <c r="C5546" s="175"/>
      <c r="D5546" s="175"/>
      <c r="E5546" s="175"/>
      <c r="F5546" s="175"/>
      <c r="G5546" s="175"/>
      <c r="H5546" s="175"/>
      <c r="I5546" s="175"/>
      <c r="J5546" s="176"/>
      <c r="K5546" s="132"/>
      <c r="L5546" s="133"/>
    </row>
    <row r="5547" spans="1:12" ht="13.5" thickBot="1" x14ac:dyDescent="0.25">
      <c r="A5547" s="149"/>
      <c r="B5547" s="167"/>
      <c r="C5547" s="151"/>
      <c r="D5547" s="151"/>
      <c r="E5547" s="151"/>
      <c r="F5547" s="151"/>
      <c r="G5547" s="151"/>
      <c r="H5547" s="151"/>
      <c r="I5547" s="151"/>
      <c r="J5547" s="168"/>
      <c r="K5547" s="132"/>
      <c r="L5547" s="133"/>
    </row>
    <row r="5548" spans="1:12" ht="15.75" x14ac:dyDescent="0.2">
      <c r="A5548" s="602" t="s">
        <v>4</v>
      </c>
      <c r="B5548" s="603"/>
      <c r="C5548" s="637" t="str">
        <f>'A IV.A'!$B$155</f>
        <v>SERVIÇOS COMPLEMENTARES - ITEM 12.0 DO TERMO DE REFERÊNCIA</v>
      </c>
      <c r="D5548" s="637"/>
      <c r="E5548" s="637"/>
      <c r="F5548" s="637"/>
      <c r="G5548" s="637"/>
      <c r="H5548" s="637"/>
      <c r="I5548" s="637"/>
      <c r="J5548" s="719"/>
      <c r="K5548" s="132"/>
      <c r="L5548" s="133"/>
    </row>
    <row r="5549" spans="1:12" x14ac:dyDescent="0.2">
      <c r="A5549" s="609" t="str">
        <f>'A IV.A'!$A$155</f>
        <v>7.0</v>
      </c>
      <c r="B5549" s="610"/>
      <c r="C5549" s="720"/>
      <c r="D5549" s="720"/>
      <c r="E5549" s="720"/>
      <c r="F5549" s="720"/>
      <c r="G5549" s="720"/>
      <c r="H5549" s="720"/>
      <c r="I5549" s="720"/>
      <c r="J5549" s="721"/>
      <c r="K5549" s="132"/>
      <c r="L5549" s="133"/>
    </row>
    <row r="5550" spans="1:12" ht="13.5" thickBot="1" x14ac:dyDescent="0.25">
      <c r="A5550" s="611"/>
      <c r="B5550" s="612"/>
      <c r="C5550" s="722"/>
      <c r="D5550" s="722"/>
      <c r="E5550" s="722"/>
      <c r="F5550" s="722"/>
      <c r="G5550" s="722"/>
      <c r="H5550" s="722"/>
      <c r="I5550" s="722"/>
      <c r="J5550" s="723"/>
      <c r="K5550" s="132"/>
      <c r="L5550" s="133"/>
    </row>
    <row r="5551" spans="1:12" ht="13.5" thickBot="1" x14ac:dyDescent="0.25">
      <c r="A5551" s="169"/>
      <c r="B5551" s="169"/>
      <c r="C5551" s="613"/>
      <c r="D5551" s="613"/>
      <c r="E5551" s="613"/>
      <c r="F5551" s="613"/>
      <c r="G5551" s="613"/>
      <c r="H5551" s="613"/>
      <c r="I5551" s="613"/>
      <c r="J5551" s="169"/>
      <c r="K5551" s="132"/>
      <c r="L5551" s="133"/>
    </row>
    <row r="5552" spans="1:12" ht="13.5" thickBot="1" x14ac:dyDescent="0.25">
      <c r="A5552" s="632" t="s">
        <v>60</v>
      </c>
      <c r="B5552" s="633"/>
      <c r="C5552" s="656" t="s">
        <v>61</v>
      </c>
      <c r="D5552" s="656"/>
      <c r="E5552" s="656"/>
      <c r="F5552" s="656"/>
      <c r="G5552" s="656"/>
      <c r="H5552" s="656"/>
      <c r="I5552" s="656"/>
      <c r="J5552" s="260" t="s">
        <v>0</v>
      </c>
      <c r="K5552" s="132"/>
      <c r="L5552" s="133"/>
    </row>
    <row r="5553" spans="1:14" x14ac:dyDescent="0.2">
      <c r="A5553" s="136"/>
      <c r="B5553" s="137"/>
      <c r="C5553" s="619"/>
      <c r="D5553" s="620"/>
      <c r="E5553" s="621"/>
      <c r="F5553" s="621"/>
      <c r="G5553" s="621"/>
      <c r="H5553" s="621"/>
      <c r="I5553" s="622"/>
      <c r="J5553" s="138"/>
      <c r="K5553" s="132"/>
      <c r="L5553" s="133"/>
    </row>
    <row r="5554" spans="1:14" x14ac:dyDescent="0.2">
      <c r="A5554" s="623" t="str">
        <f>'A IV.A'!$A$172</f>
        <v>7.16</v>
      </c>
      <c r="B5554" s="624"/>
      <c r="C5554" s="626" t="str">
        <f>'A IV.A'!$B$172</f>
        <v>SARJETA DE CONCRETO INCLUINDO PREPARO DE CAIXA, CONCRETO FCK=18MPA</v>
      </c>
      <c r="D5554" s="627"/>
      <c r="E5554" s="627"/>
      <c r="F5554" s="627"/>
      <c r="G5554" s="627"/>
      <c r="H5554" s="627"/>
      <c r="I5554" s="628"/>
      <c r="J5554" s="668" t="str">
        <f>'A IV.A'!$C$172</f>
        <v>M3</v>
      </c>
      <c r="K5554" s="630" t="str">
        <f>VLOOKUP(A5554,'A IV.A'!$A$14:$M$233,2,FALSE)</f>
        <v>SARJETA DE CONCRETO INCLUINDO PREPARO DE CAIXA, CONCRETO FCK=18MPA</v>
      </c>
      <c r="L5554" s="631" t="str">
        <f>IF(C5554=K5554,"sim","nao")</f>
        <v>sim</v>
      </c>
      <c r="M5554" s="631" t="str">
        <f>VLOOKUP(A5554,'A IV.A'!$A$14:$M$233,3,FALSE)</f>
        <v>M3</v>
      </c>
      <c r="N5554" s="631" t="str">
        <f>IF(J5554=M5554,"sim","nao")</f>
        <v>sim</v>
      </c>
    </row>
    <row r="5555" spans="1:14" x14ac:dyDescent="0.2">
      <c r="A5555" s="625"/>
      <c r="B5555" s="624"/>
      <c r="C5555" s="626"/>
      <c r="D5555" s="627"/>
      <c r="E5555" s="627"/>
      <c r="F5555" s="627"/>
      <c r="G5555" s="627"/>
      <c r="H5555" s="627"/>
      <c r="I5555" s="628"/>
      <c r="J5555" s="629"/>
      <c r="K5555" s="630"/>
      <c r="L5555" s="631"/>
      <c r="M5555" s="631"/>
      <c r="N5555" s="631"/>
    </row>
    <row r="5556" spans="1:14" x14ac:dyDescent="0.2">
      <c r="A5556" s="139"/>
      <c r="B5556" s="140"/>
      <c r="C5556" s="141"/>
      <c r="D5556" s="142"/>
      <c r="E5556" s="142"/>
      <c r="F5556" s="142"/>
      <c r="G5556" s="142"/>
      <c r="H5556" s="142"/>
      <c r="I5556" s="143"/>
      <c r="J5556" s="144"/>
      <c r="K5556" s="132"/>
      <c r="L5556" s="133"/>
    </row>
    <row r="5557" spans="1:14" x14ac:dyDescent="0.2">
      <c r="A5557" s="199"/>
      <c r="B5557" s="188"/>
      <c r="C5557" s="189"/>
      <c r="D5557" s="165"/>
      <c r="E5557" s="165"/>
      <c r="F5557" s="165"/>
      <c r="G5557" s="165"/>
      <c r="H5557" s="165"/>
      <c r="I5557" s="190"/>
      <c r="J5557" s="191"/>
      <c r="K5557" s="192"/>
      <c r="L5557" s="55"/>
      <c r="M5557" s="55"/>
      <c r="N5557" s="55"/>
    </row>
    <row r="5558" spans="1:14" x14ac:dyDescent="0.2">
      <c r="A5558" s="158"/>
      <c r="B5558" s="188"/>
      <c r="C5558" s="189"/>
      <c r="D5558" s="165"/>
      <c r="E5558" s="165"/>
      <c r="F5558" s="165"/>
      <c r="G5558" s="165"/>
      <c r="H5558" s="165"/>
      <c r="I5558" s="190"/>
      <c r="J5558" s="191"/>
      <c r="K5558" s="192"/>
      <c r="L5558" s="55"/>
      <c r="M5558" s="55"/>
      <c r="N5558" s="55"/>
    </row>
    <row r="5559" spans="1:14" x14ac:dyDescent="0.2">
      <c r="A5559" s="145"/>
      <c r="B5559" s="146"/>
      <c r="C5559" s="147"/>
      <c r="D5559" s="147"/>
      <c r="E5559" s="147"/>
      <c r="F5559" s="147"/>
      <c r="G5559" s="147"/>
      <c r="H5559" s="147"/>
      <c r="I5559" s="147"/>
      <c r="J5559" s="148"/>
      <c r="K5559" s="132"/>
      <c r="L5559" s="133"/>
    </row>
    <row r="5560" spans="1:14" x14ac:dyDescent="0.2">
      <c r="A5560" s="199"/>
      <c r="B5560" s="188"/>
      <c r="C5560" s="189"/>
      <c r="D5560" s="165"/>
      <c r="E5560" s="165"/>
      <c r="F5560" s="165"/>
      <c r="G5560" s="165"/>
      <c r="H5560" s="165"/>
      <c r="I5560" s="190"/>
      <c r="J5560" s="191"/>
      <c r="K5560" s="192"/>
      <c r="L5560" s="55"/>
      <c r="M5560" s="55"/>
      <c r="N5560" s="55"/>
    </row>
    <row r="5561" spans="1:14" x14ac:dyDescent="0.2">
      <c r="A5561" s="158"/>
      <c r="B5561" s="188"/>
      <c r="C5561" s="189"/>
      <c r="D5561" s="165"/>
      <c r="E5561" s="165"/>
      <c r="F5561" s="165"/>
      <c r="G5561" s="165"/>
      <c r="H5561" s="165"/>
      <c r="I5561" s="190"/>
      <c r="J5561" s="191"/>
      <c r="K5561" s="192"/>
      <c r="L5561" s="55"/>
      <c r="M5561" s="55"/>
      <c r="N5561" s="55"/>
    </row>
    <row r="5562" spans="1:14" x14ac:dyDescent="0.2">
      <c r="A5562" s="145"/>
      <c r="B5562" s="146"/>
      <c r="C5562" s="147"/>
      <c r="D5562" s="147"/>
      <c r="E5562" s="147"/>
      <c r="F5562" s="147"/>
      <c r="G5562" s="147"/>
      <c r="H5562" s="147"/>
      <c r="I5562" s="147"/>
      <c r="J5562" s="148"/>
      <c r="K5562" s="132"/>
      <c r="L5562" s="133"/>
    </row>
    <row r="5563" spans="1:14" x14ac:dyDescent="0.2">
      <c r="A5563" s="199"/>
      <c r="B5563" s="188"/>
      <c r="C5563" s="189"/>
      <c r="D5563" s="165"/>
      <c r="E5563" s="165"/>
      <c r="F5563" s="165"/>
      <c r="G5563" s="165"/>
      <c r="H5563" s="165"/>
      <c r="I5563" s="190"/>
      <c r="J5563" s="191"/>
      <c r="K5563" s="192"/>
      <c r="L5563" s="55"/>
      <c r="M5563" s="55"/>
      <c r="N5563" s="55"/>
    </row>
    <row r="5564" spans="1:14" x14ac:dyDescent="0.2">
      <c r="A5564" s="158"/>
      <c r="B5564" s="188"/>
      <c r="C5564" s="189"/>
      <c r="D5564" s="165"/>
      <c r="E5564" s="165"/>
      <c r="F5564" s="165"/>
      <c r="G5564" s="165"/>
      <c r="H5564" s="165"/>
      <c r="I5564" s="190"/>
      <c r="J5564" s="191"/>
      <c r="K5564" s="192"/>
      <c r="L5564" s="55"/>
      <c r="M5564" s="55"/>
      <c r="N5564" s="55"/>
    </row>
    <row r="5565" spans="1:14" x14ac:dyDescent="0.2">
      <c r="A5565" s="145"/>
      <c r="B5565" s="146"/>
      <c r="C5565" s="147"/>
      <c r="D5565" s="147"/>
      <c r="E5565" s="147"/>
      <c r="F5565" s="147"/>
      <c r="G5565" s="147"/>
      <c r="H5565" s="147"/>
      <c r="I5565" s="147"/>
      <c r="J5565" s="148"/>
      <c r="K5565" s="132"/>
      <c r="L5565" s="133"/>
    </row>
    <row r="5566" spans="1:14" x14ac:dyDescent="0.2">
      <c r="A5566" s="199"/>
      <c r="B5566" s="188"/>
      <c r="C5566" s="189"/>
      <c r="D5566" s="165"/>
      <c r="E5566" s="165"/>
      <c r="F5566" s="165"/>
      <c r="G5566" s="165"/>
      <c r="H5566" s="165"/>
      <c r="I5566" s="190"/>
      <c r="J5566" s="191"/>
      <c r="K5566" s="192"/>
      <c r="L5566" s="55"/>
      <c r="M5566" s="55"/>
      <c r="N5566" s="55"/>
    </row>
    <row r="5567" spans="1:14" x14ac:dyDescent="0.2">
      <c r="A5567" s="158"/>
      <c r="B5567" s="188"/>
      <c r="C5567" s="189"/>
      <c r="D5567" s="165"/>
      <c r="E5567" s="165"/>
      <c r="F5567" s="165"/>
      <c r="G5567" s="165"/>
      <c r="H5567" s="165"/>
      <c r="I5567" s="190"/>
      <c r="J5567" s="191"/>
      <c r="K5567" s="192"/>
      <c r="L5567" s="55"/>
      <c r="M5567" s="55"/>
      <c r="N5567" s="55"/>
    </row>
    <row r="5568" spans="1:14" x14ac:dyDescent="0.2">
      <c r="A5568" s="145"/>
      <c r="B5568" s="146"/>
      <c r="C5568" s="147"/>
      <c r="D5568" s="147"/>
      <c r="E5568" s="147"/>
      <c r="F5568" s="147"/>
      <c r="G5568" s="147"/>
      <c r="H5568" s="147"/>
      <c r="I5568" s="147"/>
      <c r="J5568" s="148"/>
      <c r="K5568" s="132"/>
      <c r="L5568" s="133"/>
    </row>
    <row r="5569" spans="1:14" x14ac:dyDescent="0.2">
      <c r="A5569" s="199"/>
      <c r="B5569" s="188"/>
      <c r="C5569" s="189"/>
      <c r="D5569" s="165"/>
      <c r="E5569" s="165"/>
      <c r="F5569" s="165"/>
      <c r="G5569" s="165"/>
      <c r="H5569" s="165"/>
      <c r="I5569" s="190"/>
      <c r="J5569" s="191"/>
      <c r="K5569" s="192"/>
      <c r="L5569" s="55"/>
      <c r="M5569" s="55"/>
      <c r="N5569" s="55"/>
    </row>
    <row r="5570" spans="1:14" x14ac:dyDescent="0.2">
      <c r="A5570" s="158"/>
      <c r="B5570" s="188"/>
      <c r="C5570" s="189"/>
      <c r="D5570" s="165"/>
      <c r="E5570" s="165"/>
      <c r="F5570" s="165"/>
      <c r="G5570" s="165"/>
      <c r="H5570" s="165"/>
      <c r="I5570" s="190"/>
      <c r="J5570" s="191"/>
      <c r="K5570" s="192"/>
      <c r="L5570" s="55"/>
      <c r="M5570" s="55"/>
      <c r="N5570" s="55"/>
    </row>
    <row r="5571" spans="1:14" x14ac:dyDescent="0.2">
      <c r="A5571" s="145"/>
      <c r="B5571" s="146"/>
      <c r="C5571" s="147"/>
      <c r="D5571" s="147"/>
      <c r="E5571" s="147"/>
      <c r="F5571" s="147"/>
      <c r="G5571" s="147"/>
      <c r="H5571" s="147"/>
      <c r="I5571" s="147"/>
      <c r="J5571" s="148"/>
      <c r="K5571" s="132"/>
      <c r="L5571" s="133"/>
    </row>
    <row r="5572" spans="1:14" x14ac:dyDescent="0.2">
      <c r="A5572" s="199"/>
      <c r="B5572" s="188"/>
      <c r="C5572" s="189"/>
      <c r="D5572" s="165"/>
      <c r="E5572" s="165"/>
      <c r="F5572" s="165"/>
      <c r="G5572" s="165"/>
      <c r="H5572" s="165"/>
      <c r="I5572" s="190"/>
      <c r="J5572" s="191"/>
      <c r="K5572" s="192"/>
      <c r="L5572" s="55"/>
      <c r="M5572" s="55"/>
      <c r="N5572" s="55"/>
    </row>
    <row r="5573" spans="1:14" x14ac:dyDescent="0.2">
      <c r="A5573" s="158"/>
      <c r="B5573" s="188"/>
      <c r="C5573" s="189"/>
      <c r="D5573" s="165"/>
      <c r="E5573" s="165"/>
      <c r="F5573" s="165"/>
      <c r="G5573" s="165"/>
      <c r="H5573" s="165"/>
      <c r="I5573" s="190"/>
      <c r="J5573" s="191"/>
      <c r="K5573" s="192"/>
      <c r="L5573" s="55"/>
      <c r="M5573" s="55"/>
      <c r="N5573" s="55"/>
    </row>
    <row r="5574" spans="1:14" x14ac:dyDescent="0.2">
      <c r="A5574" s="145"/>
      <c r="B5574" s="146"/>
      <c r="C5574" s="147"/>
      <c r="D5574" s="147"/>
      <c r="E5574" s="147"/>
      <c r="F5574" s="147"/>
      <c r="G5574" s="147"/>
      <c r="H5574" s="147"/>
      <c r="I5574" s="147"/>
      <c r="J5574" s="148"/>
      <c r="K5574" s="132"/>
      <c r="L5574" s="133"/>
    </row>
    <row r="5575" spans="1:14" ht="13.5" thickBot="1" x14ac:dyDescent="0.25">
      <c r="A5575" s="149"/>
      <c r="B5575" s="150"/>
      <c r="C5575" s="151"/>
      <c r="D5575" s="151"/>
      <c r="E5575" s="151"/>
      <c r="F5575" s="151"/>
      <c r="G5575" s="151"/>
      <c r="H5575" s="151"/>
      <c r="I5575" s="151"/>
      <c r="J5575" s="152"/>
      <c r="K5575" s="132"/>
      <c r="L5575" s="133"/>
    </row>
    <row r="5576" spans="1:14" ht="13.5" thickBot="1" x14ac:dyDescent="0.25">
      <c r="A5576" s="153"/>
      <c r="B5576" s="153"/>
      <c r="C5576" s="154"/>
      <c r="D5576" s="154"/>
      <c r="E5576" s="154"/>
      <c r="F5576" s="154"/>
      <c r="G5576" s="154"/>
      <c r="H5576" s="154"/>
      <c r="I5576" s="154"/>
      <c r="J5576" s="153"/>
      <c r="K5576" s="132"/>
      <c r="L5576" s="133"/>
    </row>
    <row r="5577" spans="1:14" ht="13.5" thickBot="1" x14ac:dyDescent="0.25">
      <c r="A5577" s="614" t="s">
        <v>62</v>
      </c>
      <c r="B5577" s="648"/>
      <c r="C5577" s="648"/>
      <c r="D5577" s="648"/>
      <c r="E5577" s="648"/>
      <c r="F5577" s="648"/>
      <c r="G5577" s="648"/>
      <c r="H5577" s="648"/>
      <c r="I5577" s="648"/>
      <c r="J5577" s="649"/>
      <c r="K5577" s="132"/>
      <c r="L5577" s="133"/>
    </row>
    <row r="5578" spans="1:14" x14ac:dyDescent="0.2">
      <c r="A5578" s="215"/>
      <c r="B5578" s="216"/>
      <c r="C5578" s="200"/>
      <c r="D5578" s="200"/>
      <c r="E5578" s="200"/>
      <c r="F5578" s="200"/>
      <c r="G5578" s="200"/>
      <c r="H5578" s="200"/>
      <c r="I5578" s="200"/>
      <c r="J5578" s="201"/>
      <c r="K5578" s="132"/>
      <c r="L5578" s="133"/>
    </row>
    <row r="5579" spans="1:14" ht="12.75" customHeight="1" x14ac:dyDescent="0.2">
      <c r="A5579" s="158" t="s">
        <v>63</v>
      </c>
      <c r="B5579" s="55"/>
      <c r="C5579" s="652" t="s">
        <v>147</v>
      </c>
      <c r="D5579" s="652"/>
      <c r="E5579" s="652"/>
      <c r="F5579" s="652"/>
      <c r="G5579" s="652"/>
      <c r="H5579" s="652"/>
      <c r="I5579" s="652"/>
      <c r="J5579" s="653"/>
    </row>
    <row r="5580" spans="1:14" x14ac:dyDescent="0.2">
      <c r="A5580" s="158"/>
      <c r="B5580" s="55"/>
      <c r="C5580" s="652"/>
      <c r="D5580" s="652"/>
      <c r="E5580" s="652"/>
      <c r="F5580" s="652"/>
      <c r="G5580" s="652"/>
      <c r="H5580" s="652"/>
      <c r="I5580" s="652"/>
      <c r="J5580" s="653"/>
    </row>
    <row r="5581" spans="1:14" x14ac:dyDescent="0.2">
      <c r="A5581" s="158"/>
      <c r="B5581" s="55"/>
      <c r="C5581" s="652"/>
      <c r="D5581" s="652"/>
      <c r="E5581" s="652"/>
      <c r="F5581" s="652"/>
      <c r="G5581" s="652"/>
      <c r="H5581" s="652"/>
      <c r="I5581" s="652"/>
      <c r="J5581" s="653"/>
    </row>
    <row r="5582" spans="1:14" x14ac:dyDescent="0.2">
      <c r="A5582" s="158"/>
      <c r="B5582" s="55"/>
      <c r="C5582" s="652"/>
      <c r="D5582" s="652"/>
      <c r="E5582" s="652"/>
      <c r="F5582" s="652"/>
      <c r="G5582" s="652"/>
      <c r="H5582" s="652"/>
      <c r="I5582" s="652"/>
      <c r="J5582" s="653"/>
    </row>
    <row r="5583" spans="1:14" x14ac:dyDescent="0.2">
      <c r="A5583" s="158"/>
      <c r="B5583" s="55"/>
      <c r="C5583" s="726" t="s">
        <v>754</v>
      </c>
      <c r="D5583" s="726"/>
      <c r="E5583" s="726"/>
      <c r="F5583" s="726"/>
      <c r="G5583" s="726"/>
      <c r="H5583" s="726"/>
      <c r="I5583" s="726"/>
      <c r="J5583" s="727"/>
      <c r="K5583" s="132"/>
      <c r="L5583" s="133"/>
    </row>
    <row r="5584" spans="1:14" x14ac:dyDescent="0.2">
      <c r="C5584" s="726"/>
      <c r="D5584" s="726"/>
      <c r="E5584" s="726"/>
      <c r="F5584" s="726"/>
      <c r="G5584" s="726"/>
      <c r="H5584" s="726"/>
      <c r="I5584" s="726"/>
      <c r="J5584" s="727"/>
      <c r="K5584" s="132"/>
      <c r="L5584" s="133"/>
    </row>
    <row r="5585" spans="1:12" x14ac:dyDescent="0.2">
      <c r="A5585" s="158"/>
      <c r="B5585" s="55"/>
      <c r="C5585" s="726"/>
      <c r="D5585" s="726"/>
      <c r="E5585" s="726"/>
      <c r="F5585" s="726"/>
      <c r="G5585" s="726"/>
      <c r="H5585" s="726"/>
      <c r="I5585" s="726"/>
      <c r="J5585" s="727"/>
      <c r="K5585" s="132"/>
      <c r="L5585" s="133"/>
    </row>
    <row r="5586" spans="1:12" x14ac:dyDescent="0.2">
      <c r="A5586" s="158"/>
      <c r="B5586" s="55"/>
      <c r="C5586" s="726"/>
      <c r="D5586" s="726"/>
      <c r="E5586" s="726"/>
      <c r="F5586" s="726"/>
      <c r="G5586" s="726"/>
      <c r="H5586" s="726"/>
      <c r="I5586" s="726"/>
      <c r="J5586" s="727"/>
      <c r="K5586" s="132"/>
      <c r="L5586" s="133"/>
    </row>
    <row r="5587" spans="1:12" x14ac:dyDescent="0.2">
      <c r="A5587" s="158"/>
      <c r="B5587" s="55"/>
      <c r="C5587" s="71"/>
      <c r="D5587" s="71"/>
      <c r="E5587" s="71"/>
      <c r="F5587" s="71"/>
      <c r="G5587" s="71"/>
      <c r="H5587" s="71"/>
      <c r="I5587" s="71"/>
      <c r="J5587" s="174"/>
      <c r="K5587" s="132"/>
      <c r="L5587" s="133"/>
    </row>
    <row r="5588" spans="1:12" x14ac:dyDescent="0.2">
      <c r="A5588" s="598" t="s">
        <v>64</v>
      </c>
      <c r="B5588" s="599"/>
      <c r="C5588" s="634" t="s">
        <v>753</v>
      </c>
      <c r="D5588" s="634"/>
      <c r="E5588" s="634"/>
      <c r="F5588" s="634"/>
      <c r="G5588" s="634"/>
      <c r="H5588" s="634"/>
      <c r="I5588" s="634"/>
      <c r="J5588" s="635"/>
      <c r="K5588" s="132"/>
      <c r="L5588" s="133"/>
    </row>
    <row r="5589" spans="1:12" x14ac:dyDescent="0.2">
      <c r="A5589" s="158"/>
      <c r="B5589" s="55"/>
      <c r="C5589" s="71"/>
      <c r="D5589" s="71"/>
      <c r="E5589" s="71"/>
      <c r="F5589" s="71"/>
      <c r="G5589" s="71"/>
      <c r="H5589" s="71"/>
      <c r="I5589" s="71"/>
      <c r="J5589" s="174"/>
      <c r="K5589" s="132"/>
      <c r="L5589" s="133"/>
    </row>
    <row r="5590" spans="1:12" x14ac:dyDescent="0.2">
      <c r="J5590" s="315"/>
      <c r="K5590" s="132"/>
      <c r="L5590" s="133"/>
    </row>
    <row r="5591" spans="1:12" x14ac:dyDescent="0.2">
      <c r="A5591" s="158"/>
      <c r="B5591" s="55"/>
      <c r="C5591" s="71"/>
      <c r="D5591" s="71"/>
      <c r="E5591" s="71"/>
      <c r="F5591" s="71"/>
      <c r="G5591" s="71"/>
      <c r="H5591" s="71"/>
      <c r="I5591" s="71"/>
      <c r="J5591" s="174"/>
      <c r="K5591" s="132"/>
      <c r="L5591" s="133"/>
    </row>
    <row r="5592" spans="1:12" x14ac:dyDescent="0.2">
      <c r="A5592" s="158"/>
      <c r="B5592" s="55"/>
      <c r="C5592" s="71"/>
      <c r="D5592" s="71"/>
      <c r="E5592" s="71"/>
      <c r="F5592" s="71"/>
      <c r="G5592" s="71"/>
      <c r="H5592" s="71"/>
      <c r="I5592" s="71"/>
      <c r="J5592" s="174"/>
      <c r="K5592" s="132"/>
      <c r="L5592" s="133"/>
    </row>
    <row r="5593" spans="1:12" x14ac:dyDescent="0.2">
      <c r="A5593" s="158"/>
      <c r="B5593" s="55"/>
      <c r="C5593" s="71"/>
      <c r="D5593" s="71"/>
      <c r="E5593" s="71"/>
      <c r="F5593" s="71"/>
      <c r="G5593" s="71"/>
      <c r="H5593" s="71"/>
      <c r="I5593" s="71"/>
      <c r="J5593" s="174"/>
      <c r="K5593" s="132"/>
      <c r="L5593" s="133"/>
    </row>
    <row r="5594" spans="1:12" x14ac:dyDescent="0.2">
      <c r="A5594" s="158"/>
      <c r="B5594" s="55"/>
      <c r="C5594" s="71"/>
      <c r="D5594" s="71"/>
      <c r="E5594" s="71"/>
      <c r="F5594" s="71"/>
      <c r="G5594" s="71"/>
      <c r="H5594" s="71"/>
      <c r="I5594" s="71"/>
      <c r="J5594" s="174"/>
      <c r="K5594" s="132"/>
      <c r="L5594" s="133"/>
    </row>
    <row r="5595" spans="1:12" x14ac:dyDescent="0.2">
      <c r="A5595" s="158"/>
      <c r="B5595" s="55"/>
      <c r="C5595" s="71"/>
      <c r="D5595" s="71"/>
      <c r="E5595" s="71"/>
      <c r="F5595" s="71"/>
      <c r="G5595" s="71"/>
      <c r="H5595" s="71"/>
      <c r="I5595" s="71"/>
      <c r="J5595" s="174"/>
      <c r="K5595" s="132"/>
      <c r="L5595" s="133"/>
    </row>
    <row r="5596" spans="1:12" x14ac:dyDescent="0.2">
      <c r="A5596" s="158"/>
      <c r="B5596" s="55"/>
      <c r="C5596" s="71"/>
      <c r="D5596" s="71"/>
      <c r="E5596" s="71"/>
      <c r="F5596" s="71"/>
      <c r="G5596" s="71"/>
      <c r="H5596" s="71"/>
      <c r="I5596" s="71"/>
      <c r="J5596" s="174"/>
      <c r="K5596" s="132"/>
      <c r="L5596" s="133"/>
    </row>
    <row r="5597" spans="1:12" x14ac:dyDescent="0.2">
      <c r="A5597" s="158"/>
      <c r="B5597" s="55"/>
      <c r="C5597" s="71"/>
      <c r="D5597" s="71"/>
      <c r="E5597" s="71"/>
      <c r="F5597" s="71"/>
      <c r="G5597" s="71"/>
      <c r="H5597" s="71"/>
      <c r="I5597" s="71"/>
      <c r="J5597" s="174"/>
      <c r="K5597" s="132"/>
      <c r="L5597" s="133"/>
    </row>
    <row r="5598" spans="1:12" x14ac:dyDescent="0.2">
      <c r="A5598" s="158"/>
      <c r="B5598" s="55"/>
      <c r="C5598" s="175"/>
      <c r="D5598" s="175"/>
      <c r="E5598" s="172"/>
      <c r="F5598" s="172"/>
      <c r="G5598" s="172"/>
      <c r="H5598" s="172"/>
      <c r="I5598" s="172"/>
      <c r="J5598" s="173"/>
      <c r="K5598" s="132"/>
      <c r="L5598" s="133"/>
    </row>
    <row r="5599" spans="1:12" x14ac:dyDescent="0.2">
      <c r="A5599" s="158"/>
      <c r="B5599" s="55"/>
      <c r="C5599" s="175"/>
      <c r="D5599" s="175"/>
      <c r="E5599" s="172"/>
      <c r="F5599" s="172"/>
      <c r="G5599" s="172"/>
      <c r="H5599" s="172"/>
      <c r="I5599" s="172"/>
      <c r="J5599" s="173"/>
      <c r="K5599" s="132"/>
      <c r="L5599" s="133"/>
    </row>
    <row r="5600" spans="1:12" x14ac:dyDescent="0.2">
      <c r="A5600" s="158"/>
      <c r="B5600" s="55"/>
      <c r="C5600" s="175"/>
      <c r="D5600" s="175"/>
      <c r="E5600" s="172"/>
      <c r="F5600" s="172"/>
      <c r="G5600" s="172"/>
      <c r="H5600" s="172"/>
      <c r="I5600" s="172"/>
      <c r="J5600" s="173"/>
      <c r="K5600" s="132"/>
      <c r="L5600" s="133"/>
    </row>
    <row r="5601" spans="1:14" ht="13.5" thickBot="1" x14ac:dyDescent="0.25">
      <c r="A5601" s="149"/>
      <c r="B5601" s="167"/>
      <c r="C5601" s="151"/>
      <c r="D5601" s="151"/>
      <c r="E5601" s="151"/>
      <c r="F5601" s="151"/>
      <c r="G5601" s="151"/>
      <c r="H5601" s="151"/>
      <c r="I5601" s="151"/>
      <c r="J5601" s="168"/>
      <c r="K5601" s="132"/>
      <c r="L5601" s="133"/>
    </row>
    <row r="5602" spans="1:14" ht="15.75" x14ac:dyDescent="0.2">
      <c r="A5602" s="715" t="s">
        <v>4</v>
      </c>
      <c r="B5602" s="716"/>
      <c r="C5602" s="639" t="str">
        <f>'A IV.A'!$B$155</f>
        <v>SERVIÇOS COMPLEMENTARES - ITEM 12.0 DO TERMO DE REFERÊNCIA</v>
      </c>
      <c r="D5602" s="640"/>
      <c r="E5602" s="640"/>
      <c r="F5602" s="640"/>
      <c r="G5602" s="640"/>
      <c r="H5602" s="640"/>
      <c r="I5602" s="640"/>
      <c r="J5602" s="641"/>
      <c r="K5602" s="132"/>
      <c r="L5602" s="133"/>
    </row>
    <row r="5603" spans="1:14" x14ac:dyDescent="0.2">
      <c r="A5603" s="609" t="str">
        <f>'A IV.A'!$A$155</f>
        <v>7.0</v>
      </c>
      <c r="B5603" s="610"/>
      <c r="C5603" s="642"/>
      <c r="D5603" s="643"/>
      <c r="E5603" s="643"/>
      <c r="F5603" s="643"/>
      <c r="G5603" s="643"/>
      <c r="H5603" s="643"/>
      <c r="I5603" s="643"/>
      <c r="J5603" s="644"/>
      <c r="K5603" s="132"/>
      <c r="L5603" s="133"/>
    </row>
    <row r="5604" spans="1:14" ht="13.5" thickBot="1" x14ac:dyDescent="0.25">
      <c r="A5604" s="611"/>
      <c r="B5604" s="612"/>
      <c r="C5604" s="645"/>
      <c r="D5604" s="646"/>
      <c r="E5604" s="646"/>
      <c r="F5604" s="646"/>
      <c r="G5604" s="646"/>
      <c r="H5604" s="646"/>
      <c r="I5604" s="646"/>
      <c r="J5604" s="647"/>
      <c r="K5604" s="132"/>
      <c r="L5604" s="133"/>
    </row>
    <row r="5605" spans="1:14" ht="13.5" thickBot="1" x14ac:dyDescent="0.25">
      <c r="A5605" s="169"/>
      <c r="B5605" s="169"/>
      <c r="C5605" s="613"/>
      <c r="D5605" s="613"/>
      <c r="E5605" s="613"/>
      <c r="F5605" s="613"/>
      <c r="G5605" s="613"/>
      <c r="H5605" s="613"/>
      <c r="I5605" s="613"/>
      <c r="J5605" s="169"/>
      <c r="K5605" s="132"/>
      <c r="L5605" s="133"/>
    </row>
    <row r="5606" spans="1:14" ht="13.5" thickBot="1" x14ac:dyDescent="0.25">
      <c r="A5606" s="614" t="s">
        <v>60</v>
      </c>
      <c r="B5606" s="615"/>
      <c r="C5606" s="616" t="s">
        <v>61</v>
      </c>
      <c r="D5606" s="617"/>
      <c r="E5606" s="617"/>
      <c r="F5606" s="617"/>
      <c r="G5606" s="617"/>
      <c r="H5606" s="617"/>
      <c r="I5606" s="618"/>
      <c r="J5606" s="260" t="s">
        <v>0</v>
      </c>
      <c r="K5606" s="132"/>
      <c r="L5606" s="133"/>
    </row>
    <row r="5607" spans="1:14" x14ac:dyDescent="0.2">
      <c r="A5607" s="136"/>
      <c r="B5607" s="137"/>
      <c r="C5607" s="619"/>
      <c r="D5607" s="620"/>
      <c r="E5607" s="620"/>
      <c r="F5607" s="620"/>
      <c r="G5607" s="620"/>
      <c r="H5607" s="620"/>
      <c r="I5607" s="687"/>
      <c r="J5607" s="138"/>
      <c r="K5607" s="132"/>
      <c r="L5607" s="133"/>
    </row>
    <row r="5608" spans="1:14" ht="12.75" customHeight="1" x14ac:dyDescent="0.2">
      <c r="A5608" s="623" t="e">
        <f>'A IV.A'!#REF!</f>
        <v>#REF!</v>
      </c>
      <c r="B5608" s="636"/>
      <c r="C5608" s="626" t="e">
        <f>'A IV.A'!#REF!</f>
        <v>#REF!</v>
      </c>
      <c r="D5608" s="627"/>
      <c r="E5608" s="627"/>
      <c r="F5608" s="627"/>
      <c r="G5608" s="627"/>
      <c r="H5608" s="627"/>
      <c r="I5608" s="628"/>
      <c r="J5608" s="668" t="e">
        <f>'A IV.A'!#REF!</f>
        <v>#REF!</v>
      </c>
      <c r="K5608" s="630" t="e">
        <f>VLOOKUP(A5608,'A IV.A'!$A$14:$M$233,2,FALSE)</f>
        <v>#REF!</v>
      </c>
      <c r="L5608" s="631" t="e">
        <f>IF(C5608=K5608,"sim","nao")</f>
        <v>#REF!</v>
      </c>
      <c r="M5608" s="631" t="e">
        <f>VLOOKUP(A5608,'A IV.A'!$A$14:$M$233,3,FALSE)</f>
        <v>#REF!</v>
      </c>
      <c r="N5608" s="631" t="e">
        <f>IF(J5608=M5608,"sim","nao")</f>
        <v>#REF!</v>
      </c>
    </row>
    <row r="5609" spans="1:14" x14ac:dyDescent="0.2">
      <c r="A5609" s="623"/>
      <c r="B5609" s="636"/>
      <c r="C5609" s="626"/>
      <c r="D5609" s="627"/>
      <c r="E5609" s="627"/>
      <c r="F5609" s="627"/>
      <c r="G5609" s="627"/>
      <c r="H5609" s="627"/>
      <c r="I5609" s="628"/>
      <c r="J5609" s="668"/>
      <c r="K5609" s="630"/>
      <c r="L5609" s="631"/>
      <c r="M5609" s="631"/>
      <c r="N5609" s="631"/>
    </row>
    <row r="5610" spans="1:14" x14ac:dyDescent="0.2">
      <c r="A5610" s="623"/>
      <c r="B5610" s="636"/>
      <c r="C5610" s="626"/>
      <c r="D5610" s="627"/>
      <c r="E5610" s="627"/>
      <c r="F5610" s="627"/>
      <c r="G5610" s="627"/>
      <c r="H5610" s="627"/>
      <c r="I5610" s="628"/>
      <c r="J5610" s="668"/>
      <c r="K5610" s="132"/>
      <c r="L5610" s="133"/>
    </row>
    <row r="5611" spans="1:14" x14ac:dyDescent="0.2">
      <c r="A5611" s="623"/>
      <c r="B5611" s="636"/>
      <c r="C5611" s="626"/>
      <c r="D5611" s="627"/>
      <c r="E5611" s="627"/>
      <c r="F5611" s="627"/>
      <c r="G5611" s="627"/>
      <c r="H5611" s="627"/>
      <c r="I5611" s="628"/>
      <c r="J5611" s="668"/>
      <c r="K5611" s="630"/>
      <c r="L5611" s="631"/>
      <c r="M5611" s="631"/>
      <c r="N5611" s="631"/>
    </row>
    <row r="5612" spans="1:14" x14ac:dyDescent="0.2">
      <c r="A5612" s="158"/>
      <c r="B5612" s="188"/>
      <c r="C5612" s="189"/>
      <c r="D5612" s="165"/>
      <c r="E5612" s="165"/>
      <c r="F5612" s="165"/>
      <c r="G5612" s="165"/>
      <c r="H5612" s="165"/>
      <c r="I5612" s="190"/>
      <c r="J5612" s="191"/>
      <c r="K5612" s="630"/>
      <c r="L5612" s="631"/>
      <c r="M5612" s="631"/>
      <c r="N5612" s="631"/>
    </row>
    <row r="5613" spans="1:14" x14ac:dyDescent="0.2">
      <c r="A5613" s="145"/>
      <c r="B5613" s="146"/>
      <c r="C5613" s="147"/>
      <c r="D5613" s="147"/>
      <c r="E5613" s="147"/>
      <c r="F5613" s="147"/>
      <c r="G5613" s="147"/>
      <c r="H5613" s="147"/>
      <c r="I5613" s="147"/>
      <c r="J5613" s="148"/>
      <c r="K5613" s="132"/>
      <c r="L5613" s="133"/>
    </row>
    <row r="5614" spans="1:14" x14ac:dyDescent="0.2">
      <c r="A5614" s="199"/>
      <c r="B5614" s="188"/>
      <c r="C5614" s="189"/>
      <c r="D5614" s="165"/>
      <c r="E5614" s="165"/>
      <c r="F5614" s="165"/>
      <c r="G5614" s="165"/>
      <c r="H5614" s="165"/>
      <c r="I5614" s="190"/>
      <c r="J5614" s="191"/>
      <c r="K5614" s="192"/>
      <c r="L5614" s="55"/>
      <c r="M5614" s="55"/>
      <c r="N5614" s="55"/>
    </row>
    <row r="5615" spans="1:14" x14ac:dyDescent="0.2">
      <c r="A5615" s="158"/>
      <c r="B5615" s="188"/>
      <c r="C5615" s="189"/>
      <c r="D5615" s="165"/>
      <c r="E5615" s="165"/>
      <c r="F5615" s="165"/>
      <c r="G5615" s="165"/>
      <c r="H5615" s="165"/>
      <c r="I5615" s="190"/>
      <c r="J5615" s="191"/>
      <c r="K5615" s="192"/>
      <c r="L5615" s="55"/>
      <c r="M5615" s="55"/>
      <c r="N5615" s="55"/>
    </row>
    <row r="5616" spans="1:14" x14ac:dyDescent="0.2">
      <c r="A5616" s="145"/>
      <c r="B5616" s="146"/>
      <c r="C5616" s="147"/>
      <c r="D5616" s="147"/>
      <c r="E5616" s="147"/>
      <c r="F5616" s="147"/>
      <c r="G5616" s="147"/>
      <c r="H5616" s="147"/>
      <c r="I5616" s="147"/>
      <c r="J5616" s="148"/>
      <c r="K5616" s="132"/>
      <c r="L5616" s="133"/>
    </row>
    <row r="5617" spans="1:14" x14ac:dyDescent="0.2">
      <c r="A5617" s="199"/>
      <c r="B5617" s="188"/>
      <c r="C5617" s="189"/>
      <c r="D5617" s="165"/>
      <c r="E5617" s="165"/>
      <c r="F5617" s="165"/>
      <c r="G5617" s="165"/>
      <c r="H5617" s="165"/>
      <c r="I5617" s="190"/>
      <c r="J5617" s="191"/>
      <c r="K5617" s="192"/>
      <c r="L5617" s="55"/>
      <c r="M5617" s="55"/>
      <c r="N5617" s="55"/>
    </row>
    <row r="5618" spans="1:14" x14ac:dyDescent="0.2">
      <c r="A5618" s="158"/>
      <c r="B5618" s="188"/>
      <c r="C5618" s="189"/>
      <c r="D5618" s="165"/>
      <c r="E5618" s="165"/>
      <c r="F5618" s="165"/>
      <c r="G5618" s="165"/>
      <c r="H5618" s="165"/>
      <c r="I5618" s="190"/>
      <c r="J5618" s="191"/>
      <c r="K5618" s="192"/>
      <c r="L5618" s="55"/>
      <c r="M5618" s="55"/>
      <c r="N5618" s="55"/>
    </row>
    <row r="5619" spans="1:14" x14ac:dyDescent="0.2">
      <c r="A5619" s="145"/>
      <c r="B5619" s="146"/>
      <c r="C5619" s="147"/>
      <c r="D5619" s="147"/>
      <c r="E5619" s="147"/>
      <c r="F5619" s="147"/>
      <c r="G5619" s="147"/>
      <c r="H5619" s="147"/>
      <c r="I5619" s="147"/>
      <c r="J5619" s="148"/>
      <c r="K5619" s="132"/>
      <c r="L5619" s="133"/>
    </row>
    <row r="5620" spans="1:14" x14ac:dyDescent="0.2">
      <c r="A5620" s="199"/>
      <c r="B5620" s="188"/>
      <c r="C5620" s="189"/>
      <c r="D5620" s="165"/>
      <c r="E5620" s="165"/>
      <c r="F5620" s="165"/>
      <c r="G5620" s="165"/>
      <c r="H5620" s="165"/>
      <c r="I5620" s="190"/>
      <c r="J5620" s="191"/>
      <c r="K5620" s="192"/>
      <c r="L5620" s="55"/>
      <c r="M5620" s="55"/>
      <c r="N5620" s="55"/>
    </row>
    <row r="5621" spans="1:14" x14ac:dyDescent="0.2">
      <c r="A5621" s="158"/>
      <c r="B5621" s="188"/>
      <c r="C5621" s="189"/>
      <c r="D5621" s="165"/>
      <c r="E5621" s="165"/>
      <c r="F5621" s="165"/>
      <c r="G5621" s="165"/>
      <c r="H5621" s="165"/>
      <c r="I5621" s="190"/>
      <c r="J5621" s="191"/>
      <c r="K5621" s="192"/>
      <c r="L5621" s="55"/>
      <c r="M5621" s="55"/>
      <c r="N5621" s="55"/>
    </row>
    <row r="5622" spans="1:14" x14ac:dyDescent="0.2">
      <c r="A5622" s="145"/>
      <c r="B5622" s="146"/>
      <c r="C5622" s="147"/>
      <c r="D5622" s="147"/>
      <c r="E5622" s="147"/>
      <c r="F5622" s="147"/>
      <c r="G5622" s="147"/>
      <c r="H5622" s="147"/>
      <c r="I5622" s="147"/>
      <c r="J5622" s="148"/>
      <c r="K5622" s="132"/>
      <c r="L5622" s="133"/>
    </row>
    <row r="5623" spans="1:14" x14ac:dyDescent="0.2">
      <c r="A5623" s="199"/>
      <c r="B5623" s="188"/>
      <c r="C5623" s="189"/>
      <c r="D5623" s="165"/>
      <c r="E5623" s="165"/>
      <c r="F5623" s="165"/>
      <c r="G5623" s="165"/>
      <c r="H5623" s="165"/>
      <c r="I5623" s="190"/>
      <c r="J5623" s="191"/>
      <c r="K5623" s="192"/>
      <c r="L5623" s="55"/>
      <c r="M5623" s="55"/>
      <c r="N5623" s="55"/>
    </row>
    <row r="5624" spans="1:14" x14ac:dyDescent="0.2">
      <c r="A5624" s="158"/>
      <c r="B5624" s="188"/>
      <c r="C5624" s="189"/>
      <c r="D5624" s="165"/>
      <c r="E5624" s="165"/>
      <c r="F5624" s="165"/>
      <c r="G5624" s="165"/>
      <c r="H5624" s="165"/>
      <c r="I5624" s="190"/>
      <c r="J5624" s="191"/>
      <c r="K5624" s="192"/>
      <c r="L5624" s="55"/>
      <c r="M5624" s="55"/>
      <c r="N5624" s="55"/>
    </row>
    <row r="5625" spans="1:14" x14ac:dyDescent="0.2">
      <c r="A5625" s="145"/>
      <c r="B5625" s="146"/>
      <c r="C5625" s="147"/>
      <c r="D5625" s="147"/>
      <c r="E5625" s="147"/>
      <c r="F5625" s="147"/>
      <c r="G5625" s="147"/>
      <c r="H5625" s="147"/>
      <c r="I5625" s="147"/>
      <c r="J5625" s="148"/>
      <c r="K5625" s="132"/>
      <c r="L5625" s="133"/>
    </row>
    <row r="5626" spans="1:14" x14ac:dyDescent="0.2">
      <c r="A5626" s="199"/>
      <c r="B5626" s="188"/>
      <c r="C5626" s="189"/>
      <c r="D5626" s="165"/>
      <c r="E5626" s="165"/>
      <c r="F5626" s="165"/>
      <c r="G5626" s="165"/>
      <c r="H5626" s="165"/>
      <c r="I5626" s="190"/>
      <c r="J5626" s="191"/>
      <c r="K5626" s="192"/>
      <c r="L5626" s="55"/>
      <c r="M5626" s="55"/>
      <c r="N5626" s="55"/>
    </row>
    <row r="5627" spans="1:14" x14ac:dyDescent="0.2">
      <c r="A5627" s="158"/>
      <c r="B5627" s="188"/>
      <c r="C5627" s="189"/>
      <c r="D5627" s="165"/>
      <c r="E5627" s="165"/>
      <c r="F5627" s="165"/>
      <c r="G5627" s="165"/>
      <c r="H5627" s="165"/>
      <c r="I5627" s="190"/>
      <c r="J5627" s="191"/>
      <c r="K5627" s="192"/>
      <c r="L5627" s="55"/>
      <c r="M5627" s="55"/>
      <c r="N5627" s="55"/>
    </row>
    <row r="5628" spans="1:14" x14ac:dyDescent="0.2">
      <c r="A5628" s="145"/>
      <c r="B5628" s="146"/>
      <c r="C5628" s="147"/>
      <c r="D5628" s="147"/>
      <c r="E5628" s="147"/>
      <c r="F5628" s="147"/>
      <c r="G5628" s="147"/>
      <c r="H5628" s="147"/>
      <c r="I5628" s="147"/>
      <c r="J5628" s="148"/>
      <c r="K5628" s="132"/>
      <c r="L5628" s="133"/>
    </row>
    <row r="5629" spans="1:14" ht="13.5" thickBot="1" x14ac:dyDescent="0.25">
      <c r="A5629" s="149"/>
      <c r="B5629" s="150"/>
      <c r="C5629" s="151"/>
      <c r="D5629" s="151"/>
      <c r="E5629" s="151"/>
      <c r="F5629" s="151"/>
      <c r="G5629" s="151"/>
      <c r="H5629" s="151"/>
      <c r="I5629" s="151"/>
      <c r="J5629" s="152"/>
      <c r="K5629" s="132"/>
      <c r="L5629" s="133"/>
    </row>
    <row r="5630" spans="1:14" ht="13.5" thickBot="1" x14ac:dyDescent="0.25">
      <c r="A5630" s="153"/>
      <c r="B5630" s="153"/>
      <c r="C5630" s="154"/>
      <c r="D5630" s="154"/>
      <c r="E5630" s="154"/>
      <c r="F5630" s="154"/>
      <c r="G5630" s="154"/>
      <c r="H5630" s="154"/>
      <c r="I5630" s="154"/>
      <c r="J5630" s="153"/>
      <c r="K5630" s="132"/>
      <c r="L5630" s="133"/>
    </row>
    <row r="5631" spans="1:14" ht="13.5" thickBot="1" x14ac:dyDescent="0.25">
      <c r="A5631" s="614" t="s">
        <v>62</v>
      </c>
      <c r="B5631" s="648"/>
      <c r="C5631" s="648"/>
      <c r="D5631" s="648"/>
      <c r="E5631" s="648"/>
      <c r="F5631" s="648"/>
      <c r="G5631" s="648"/>
      <c r="H5631" s="648"/>
      <c r="I5631" s="648"/>
      <c r="J5631" s="649"/>
      <c r="K5631" s="132"/>
      <c r="L5631" s="133"/>
    </row>
    <row r="5632" spans="1:14" x14ac:dyDescent="0.2">
      <c r="A5632" s="136"/>
      <c r="B5632" s="155"/>
      <c r="C5632" s="156"/>
      <c r="D5632" s="156"/>
      <c r="E5632" s="156"/>
      <c r="F5632" s="156"/>
      <c r="G5632" s="156"/>
      <c r="H5632" s="156"/>
      <c r="I5632" s="156"/>
      <c r="J5632" s="157"/>
      <c r="K5632" s="132"/>
      <c r="L5632" s="133"/>
    </row>
    <row r="5633" spans="1:12" ht="12.75" customHeight="1" x14ac:dyDescent="0.2">
      <c r="A5633" s="158" t="s">
        <v>63</v>
      </c>
      <c r="B5633" s="55"/>
      <c r="C5633" s="596" t="s">
        <v>1046</v>
      </c>
      <c r="D5633" s="596"/>
      <c r="E5633" s="596"/>
      <c r="F5633" s="596"/>
      <c r="G5633" s="596"/>
      <c r="H5633" s="596"/>
      <c r="I5633" s="596"/>
      <c r="J5633" s="597"/>
      <c r="K5633" s="132"/>
      <c r="L5633" s="133"/>
    </row>
    <row r="5634" spans="1:12" x14ac:dyDescent="0.2">
      <c r="A5634" s="158"/>
      <c r="B5634" s="55"/>
      <c r="C5634" s="596"/>
      <c r="D5634" s="596"/>
      <c r="E5634" s="596"/>
      <c r="F5634" s="596"/>
      <c r="G5634" s="596"/>
      <c r="H5634" s="596"/>
      <c r="I5634" s="596"/>
      <c r="J5634" s="597"/>
      <c r="K5634" s="132"/>
      <c r="L5634" s="133"/>
    </row>
    <row r="5635" spans="1:12" x14ac:dyDescent="0.2">
      <c r="A5635" s="158"/>
      <c r="B5635" s="55"/>
      <c r="C5635" s="596"/>
      <c r="D5635" s="596"/>
      <c r="E5635" s="596"/>
      <c r="F5635" s="596"/>
      <c r="G5635" s="596"/>
      <c r="H5635" s="596"/>
      <c r="I5635" s="596"/>
      <c r="J5635" s="597"/>
      <c r="K5635" s="132"/>
      <c r="L5635" s="133"/>
    </row>
    <row r="5636" spans="1:12" x14ac:dyDescent="0.2">
      <c r="A5636" s="158"/>
      <c r="B5636" s="55"/>
      <c r="C5636" s="596"/>
      <c r="D5636" s="596"/>
      <c r="E5636" s="596"/>
      <c r="F5636" s="596"/>
      <c r="G5636" s="596"/>
      <c r="H5636" s="596"/>
      <c r="I5636" s="596"/>
      <c r="J5636" s="597"/>
      <c r="K5636" s="132"/>
      <c r="L5636" s="133"/>
    </row>
    <row r="5637" spans="1:12" ht="12.75" customHeight="1" x14ac:dyDescent="0.2">
      <c r="A5637" s="158"/>
      <c r="B5637" s="55"/>
      <c r="C5637" s="596"/>
      <c r="D5637" s="596"/>
      <c r="E5637" s="596"/>
      <c r="F5637" s="596"/>
      <c r="G5637" s="596"/>
      <c r="H5637" s="596"/>
      <c r="I5637" s="596"/>
      <c r="J5637" s="597"/>
      <c r="K5637" s="132"/>
      <c r="L5637" s="133"/>
    </row>
    <row r="5638" spans="1:12" x14ac:dyDescent="0.2">
      <c r="A5638" s="158"/>
      <c r="B5638" s="55"/>
      <c r="C5638" s="596"/>
      <c r="D5638" s="596"/>
      <c r="E5638" s="596"/>
      <c r="F5638" s="596"/>
      <c r="G5638" s="596"/>
      <c r="H5638" s="596"/>
      <c r="I5638" s="596"/>
      <c r="J5638" s="597"/>
      <c r="K5638" s="132"/>
      <c r="L5638" s="133"/>
    </row>
    <row r="5639" spans="1:12" ht="12.75" customHeight="1" x14ac:dyDescent="0.2">
      <c r="A5639" s="158"/>
      <c r="B5639" s="55"/>
      <c r="C5639" s="596"/>
      <c r="D5639" s="596"/>
      <c r="E5639" s="596"/>
      <c r="F5639" s="596"/>
      <c r="G5639" s="596"/>
      <c r="H5639" s="596"/>
      <c r="I5639" s="596"/>
      <c r="J5639" s="597"/>
      <c r="K5639" s="132"/>
      <c r="L5639" s="133"/>
    </row>
    <row r="5640" spans="1:12" x14ac:dyDescent="0.2">
      <c r="A5640" s="158"/>
      <c r="B5640" s="55"/>
      <c r="C5640" s="596"/>
      <c r="D5640" s="596"/>
      <c r="E5640" s="596"/>
      <c r="F5640" s="596"/>
      <c r="G5640" s="596"/>
      <c r="H5640" s="596"/>
      <c r="I5640" s="596"/>
      <c r="J5640" s="597"/>
      <c r="K5640" s="132"/>
      <c r="L5640" s="133"/>
    </row>
    <row r="5641" spans="1:12" x14ac:dyDescent="0.2">
      <c r="A5641" s="158"/>
      <c r="B5641" s="55"/>
      <c r="C5641" s="596"/>
      <c r="D5641" s="596"/>
      <c r="E5641" s="596"/>
      <c r="F5641" s="596"/>
      <c r="G5641" s="596"/>
      <c r="H5641" s="596"/>
      <c r="I5641" s="596"/>
      <c r="J5641" s="597"/>
      <c r="K5641" s="132"/>
      <c r="L5641" s="133"/>
    </row>
    <row r="5642" spans="1:12" x14ac:dyDescent="0.2">
      <c r="A5642" s="158"/>
      <c r="B5642" s="55"/>
      <c r="C5642" s="596"/>
      <c r="D5642" s="596"/>
      <c r="E5642" s="596"/>
      <c r="F5642" s="596"/>
      <c r="G5642" s="596"/>
      <c r="H5642" s="596"/>
      <c r="I5642" s="596"/>
      <c r="J5642" s="597"/>
      <c r="K5642" s="132"/>
      <c r="L5642" s="133"/>
    </row>
    <row r="5643" spans="1:12" ht="12.75" customHeight="1" x14ac:dyDescent="0.2">
      <c r="A5643" s="158"/>
      <c r="B5643" s="55"/>
      <c r="C5643" s="596"/>
      <c r="D5643" s="596"/>
      <c r="E5643" s="596"/>
      <c r="F5643" s="596"/>
      <c r="G5643" s="596"/>
      <c r="H5643" s="596"/>
      <c r="I5643" s="596"/>
      <c r="J5643" s="597"/>
      <c r="K5643" s="132"/>
      <c r="L5643" s="133"/>
    </row>
    <row r="5644" spans="1:12" x14ac:dyDescent="0.2">
      <c r="A5644" s="158"/>
      <c r="B5644" s="55"/>
      <c r="C5644" s="175"/>
      <c r="D5644" s="175"/>
      <c r="E5644" s="175"/>
      <c r="F5644" s="175"/>
      <c r="G5644" s="175"/>
      <c r="H5644" s="175"/>
      <c r="I5644" s="175"/>
      <c r="J5644" s="176"/>
      <c r="K5644" s="132"/>
      <c r="L5644" s="133"/>
    </row>
    <row r="5645" spans="1:12" x14ac:dyDescent="0.2">
      <c r="A5645" s="158" t="s">
        <v>64</v>
      </c>
      <c r="B5645" s="55"/>
      <c r="C5645" s="652" t="s">
        <v>1047</v>
      </c>
      <c r="D5645" s="652"/>
      <c r="E5645" s="652"/>
      <c r="F5645" s="652"/>
      <c r="G5645" s="652"/>
      <c r="H5645" s="652"/>
      <c r="I5645" s="652"/>
      <c r="J5645" s="653"/>
      <c r="K5645" s="132"/>
      <c r="L5645" s="133"/>
    </row>
    <row r="5646" spans="1:12" x14ac:dyDescent="0.2">
      <c r="A5646" s="158"/>
      <c r="B5646" s="55"/>
      <c r="C5646" s="652"/>
      <c r="D5646" s="652"/>
      <c r="E5646" s="652"/>
      <c r="F5646" s="652"/>
      <c r="G5646" s="652"/>
      <c r="H5646" s="652"/>
      <c r="I5646" s="652"/>
      <c r="J5646" s="653"/>
      <c r="K5646" s="132"/>
      <c r="L5646" s="133"/>
    </row>
    <row r="5647" spans="1:12" x14ac:dyDescent="0.2">
      <c r="J5647" s="315"/>
      <c r="K5647" s="132"/>
      <c r="L5647" s="133"/>
    </row>
    <row r="5648" spans="1:12" ht="12.75" customHeight="1" x14ac:dyDescent="0.2">
      <c r="A5648" s="158" t="s">
        <v>157</v>
      </c>
      <c r="B5648" s="55"/>
      <c r="C5648" s="634" t="s">
        <v>1048</v>
      </c>
      <c r="D5648" s="634"/>
      <c r="E5648" s="634"/>
      <c r="F5648" s="634"/>
      <c r="G5648" s="634"/>
      <c r="H5648" s="634"/>
      <c r="I5648" s="634"/>
      <c r="J5648" s="635"/>
      <c r="K5648" s="132"/>
      <c r="L5648" s="133"/>
    </row>
    <row r="5649" spans="1:12" ht="12.75" customHeight="1" x14ac:dyDescent="0.2">
      <c r="A5649" s="158"/>
      <c r="B5649" s="55"/>
      <c r="C5649" s="652" t="s">
        <v>1049</v>
      </c>
      <c r="D5649" s="652"/>
      <c r="E5649" s="652"/>
      <c r="F5649" s="652"/>
      <c r="G5649" s="652"/>
      <c r="H5649" s="652"/>
      <c r="I5649" s="652"/>
      <c r="J5649" s="653"/>
      <c r="K5649" s="132"/>
      <c r="L5649" s="133"/>
    </row>
    <row r="5650" spans="1:12" x14ac:dyDescent="0.2">
      <c r="A5650" s="158"/>
      <c r="B5650" s="55"/>
      <c r="C5650" s="652"/>
      <c r="D5650" s="652"/>
      <c r="E5650" s="652"/>
      <c r="F5650" s="652"/>
      <c r="G5650" s="652"/>
      <c r="H5650" s="652"/>
      <c r="I5650" s="652"/>
      <c r="J5650" s="653"/>
      <c r="K5650" s="132"/>
      <c r="L5650" s="133"/>
    </row>
    <row r="5651" spans="1:12" x14ac:dyDescent="0.2">
      <c r="A5651" s="158"/>
      <c r="B5651" s="55"/>
      <c r="C5651" s="175"/>
      <c r="D5651" s="175"/>
      <c r="E5651" s="175"/>
      <c r="F5651" s="175"/>
      <c r="G5651" s="175"/>
      <c r="H5651" s="175"/>
      <c r="I5651" s="175"/>
      <c r="J5651" s="176"/>
      <c r="K5651" s="132"/>
      <c r="L5651" s="133"/>
    </row>
    <row r="5652" spans="1:12" x14ac:dyDescent="0.2">
      <c r="A5652" s="158"/>
      <c r="B5652" s="55"/>
      <c r="C5652" s="71"/>
      <c r="D5652" s="71"/>
      <c r="E5652" s="71"/>
      <c r="F5652" s="71"/>
      <c r="G5652" s="71"/>
      <c r="H5652" s="71"/>
      <c r="I5652" s="71"/>
      <c r="J5652" s="174"/>
      <c r="K5652" s="132"/>
      <c r="L5652" s="133"/>
    </row>
    <row r="5653" spans="1:12" x14ac:dyDescent="0.2">
      <c r="A5653" s="158"/>
      <c r="B5653" s="55"/>
      <c r="C5653" s="175"/>
      <c r="D5653" s="175"/>
      <c r="E5653" s="172"/>
      <c r="F5653" s="172"/>
      <c r="G5653" s="172"/>
      <c r="H5653" s="172"/>
      <c r="I5653" s="172"/>
      <c r="J5653" s="173"/>
      <c r="K5653" s="132"/>
      <c r="L5653" s="133"/>
    </row>
    <row r="5654" spans="1:12" x14ac:dyDescent="0.2">
      <c r="A5654" s="158"/>
      <c r="B5654" s="55"/>
      <c r="C5654" s="175"/>
      <c r="D5654" s="175"/>
      <c r="E5654" s="172"/>
      <c r="F5654" s="172"/>
      <c r="G5654" s="172"/>
      <c r="H5654" s="172"/>
      <c r="I5654" s="172"/>
      <c r="J5654" s="173"/>
      <c r="K5654" s="132"/>
      <c r="L5654" s="133"/>
    </row>
    <row r="5655" spans="1:12" ht="13.5" thickBot="1" x14ac:dyDescent="0.25">
      <c r="A5655" s="149"/>
      <c r="B5655" s="167"/>
      <c r="C5655" s="151"/>
      <c r="D5655" s="151"/>
      <c r="E5655" s="151"/>
      <c r="F5655" s="151"/>
      <c r="G5655" s="151"/>
      <c r="H5655" s="151"/>
      <c r="I5655" s="151"/>
      <c r="J5655" s="168"/>
      <c r="K5655" s="132"/>
      <c r="L5655" s="133"/>
    </row>
  </sheetData>
  <sheetProtection selectLockedCells="1"/>
  <autoFilter ref="A10:O5655" xr:uid="{00000000-0009-0000-0000-000008000000}">
    <filterColumn colId="0" showButton="0"/>
    <filterColumn colId="2" showButton="0"/>
    <filterColumn colId="3" hiddenButton="1" showButton="0"/>
    <filterColumn colId="4" showButton="0"/>
    <filterColumn colId="5" showButton="0"/>
    <filterColumn colId="6" showButton="0"/>
    <filterColumn colId="7" showButton="0"/>
  </autoFilter>
  <mergeCells count="2459">
    <mergeCell ref="A5261:B5261"/>
    <mergeCell ref="C5261:J5261"/>
    <mergeCell ref="C5262:J5262"/>
    <mergeCell ref="A5280:B5280"/>
    <mergeCell ref="C5280:J5282"/>
    <mergeCell ref="C1415:I1415"/>
    <mergeCell ref="A1201:B1202"/>
    <mergeCell ref="N4046:N4047"/>
    <mergeCell ref="M5286:M5287"/>
    <mergeCell ref="N5286:N5287"/>
    <mergeCell ref="A5226:B5226"/>
    <mergeCell ref="C5226:J5228"/>
    <mergeCell ref="A5227:B5228"/>
    <mergeCell ref="C5229:I5229"/>
    <mergeCell ref="A5230:B5230"/>
    <mergeCell ref="C5230:I5230"/>
    <mergeCell ref="C5231:I5231"/>
    <mergeCell ref="A5232:B5233"/>
    <mergeCell ref="C5232:I5233"/>
    <mergeCell ref="J5232:J5233"/>
    <mergeCell ref="K5232:K5233"/>
    <mergeCell ref="L5232:L5233"/>
    <mergeCell ref="M5232:M5233"/>
    <mergeCell ref="N5232:N5233"/>
    <mergeCell ref="A5255:J5255"/>
    <mergeCell ref="A5257:B5257"/>
    <mergeCell ref="C5257:J5259"/>
    <mergeCell ref="A1361:B1361"/>
    <mergeCell ref="A1253:B1253"/>
    <mergeCell ref="A1465:B1465"/>
    <mergeCell ref="A4069:J4069"/>
    <mergeCell ref="C1226:J1229"/>
    <mergeCell ref="A226:B226"/>
    <mergeCell ref="C226:J228"/>
    <mergeCell ref="A227:B228"/>
    <mergeCell ref="C211:J211"/>
    <mergeCell ref="C212:J212"/>
    <mergeCell ref="A1549:B1549"/>
    <mergeCell ref="A1416:B1417"/>
    <mergeCell ref="C1516:I1516"/>
    <mergeCell ref="C1519:I1520"/>
    <mergeCell ref="C1544:J1547"/>
    <mergeCell ref="J1201:J1202"/>
    <mergeCell ref="C1573:I1574"/>
    <mergeCell ref="C1441:J1443"/>
    <mergeCell ref="C229:I229"/>
    <mergeCell ref="A230:B230"/>
    <mergeCell ref="C230:I230"/>
    <mergeCell ref="C231:I231"/>
    <mergeCell ref="A232:B233"/>
    <mergeCell ref="C232:I233"/>
    <mergeCell ref="J232:J233"/>
    <mergeCell ref="A1092:B1092"/>
    <mergeCell ref="A1250:B1251"/>
    <mergeCell ref="C1252:I1252"/>
    <mergeCell ref="A1224:J1224"/>
    <mergeCell ref="C1199:I1199"/>
    <mergeCell ref="C1549:J1549"/>
    <mergeCell ref="A1519:B1520"/>
    <mergeCell ref="A1411:B1412"/>
    <mergeCell ref="C1492:J1496"/>
    <mergeCell ref="A1490:J1490"/>
    <mergeCell ref="C1088:J1090"/>
    <mergeCell ref="C1448:J1448"/>
    <mergeCell ref="L232:L233"/>
    <mergeCell ref="M232:M233"/>
    <mergeCell ref="J1255:J1256"/>
    <mergeCell ref="A1386:J1386"/>
    <mergeCell ref="A1332:J1332"/>
    <mergeCell ref="C1235:J1235"/>
    <mergeCell ref="A1309:B1310"/>
    <mergeCell ref="A1249:B1249"/>
    <mergeCell ref="N232:N233"/>
    <mergeCell ref="L122:L123"/>
    <mergeCell ref="M122:M123"/>
    <mergeCell ref="N122:N123"/>
    <mergeCell ref="A145:J145"/>
    <mergeCell ref="A153:B153"/>
    <mergeCell ref="C153:J153"/>
    <mergeCell ref="A171:B171"/>
    <mergeCell ref="C171:J173"/>
    <mergeCell ref="A172:B173"/>
    <mergeCell ref="C147:J151"/>
    <mergeCell ref="L177:L178"/>
    <mergeCell ref="M177:M178"/>
    <mergeCell ref="N177:N178"/>
    <mergeCell ref="K177:K178"/>
    <mergeCell ref="A206:B206"/>
    <mergeCell ref="C206:J206"/>
    <mergeCell ref="A200:J200"/>
    <mergeCell ref="C202:J204"/>
    <mergeCell ref="C1362:I1362"/>
    <mergeCell ref="A1363:B1364"/>
    <mergeCell ref="A1195:B1195"/>
    <mergeCell ref="A1185:B1185"/>
    <mergeCell ref="M1201:M1202"/>
    <mergeCell ref="C121:I121"/>
    <mergeCell ref="A122:B123"/>
    <mergeCell ref="C122:I123"/>
    <mergeCell ref="J122:J123"/>
    <mergeCell ref="K122:K123"/>
    <mergeCell ref="C4045:I4045"/>
    <mergeCell ref="A4046:B4047"/>
    <mergeCell ref="C4046:I4047"/>
    <mergeCell ref="J4046:J4047"/>
    <mergeCell ref="K4046:K4047"/>
    <mergeCell ref="A1196:B1197"/>
    <mergeCell ref="A1199:B1199"/>
    <mergeCell ref="A1358:B1359"/>
    <mergeCell ref="A1255:B1256"/>
    <mergeCell ref="A1303:B1303"/>
    <mergeCell ref="A1278:J1278"/>
    <mergeCell ref="A1287:B1287"/>
    <mergeCell ref="C1287:J1287"/>
    <mergeCell ref="C1255:I1256"/>
    <mergeCell ref="A1235:B1235"/>
    <mergeCell ref="C4044:I4044"/>
    <mergeCell ref="A261:B261"/>
    <mergeCell ref="C261:J261"/>
    <mergeCell ref="A255:J255"/>
    <mergeCell ref="C257:J259"/>
    <mergeCell ref="J1573:J1574"/>
    <mergeCell ref="C1195:J1197"/>
    <mergeCell ref="J1416:J1417"/>
    <mergeCell ref="C1416:I1417"/>
    <mergeCell ref="K232:K233"/>
    <mergeCell ref="A1089:B1090"/>
    <mergeCell ref="C1119:J1121"/>
    <mergeCell ref="C5645:J5646"/>
    <mergeCell ref="C5648:J5648"/>
    <mergeCell ref="C5649:J5650"/>
    <mergeCell ref="A2640:B2640"/>
    <mergeCell ref="A2622:B2622"/>
    <mergeCell ref="A4315:B4316"/>
    <mergeCell ref="C3456:I3457"/>
    <mergeCell ref="C4017:J4018"/>
    <mergeCell ref="C4509:J4509"/>
    <mergeCell ref="A4526:B4526"/>
    <mergeCell ref="C4286:J4291"/>
    <mergeCell ref="C4300:J4301"/>
    <mergeCell ref="A4370:B4371"/>
    <mergeCell ref="A4404:B4404"/>
    <mergeCell ref="C3882:I3882"/>
    <mergeCell ref="A3427:B3427"/>
    <mergeCell ref="A3344:B3344"/>
    <mergeCell ref="A2909:B2909"/>
    <mergeCell ref="C2909:J2911"/>
    <mergeCell ref="A4691:B4691"/>
    <mergeCell ref="C5633:J5643"/>
    <mergeCell ref="A5311:B5311"/>
    <mergeCell ref="C5311:J5313"/>
    <mergeCell ref="A5315:B5315"/>
    <mergeCell ref="C5315:J5315"/>
    <mergeCell ref="C5316:J5316"/>
    <mergeCell ref="A5286:B5287"/>
    <mergeCell ref="A2832:B2832"/>
    <mergeCell ref="C2836:J2837"/>
    <mergeCell ref="A3933:B3934"/>
    <mergeCell ref="J4207:J4209"/>
    <mergeCell ref="A4025:B4025"/>
    <mergeCell ref="C1200:I1200"/>
    <mergeCell ref="C1461:J1463"/>
    <mergeCell ref="C1280:J1285"/>
    <mergeCell ref="A1542:J1542"/>
    <mergeCell ref="A1499:B1499"/>
    <mergeCell ref="C1464:I1464"/>
    <mergeCell ref="A1461:B1461"/>
    <mergeCell ref="A1146:B1146"/>
    <mergeCell ref="C1146:I1146"/>
    <mergeCell ref="C1092:I1092"/>
    <mergeCell ref="C1446:J1446"/>
    <mergeCell ref="C1201:I1202"/>
    <mergeCell ref="M1148:M1149"/>
    <mergeCell ref="M1154:M1155"/>
    <mergeCell ref="L1154:L1155"/>
    <mergeCell ref="C1303:J1305"/>
    <mergeCell ref="C1306:I1306"/>
    <mergeCell ref="J1148:J1149"/>
    <mergeCell ref="L1369:L1370"/>
    <mergeCell ref="A1171:J1171"/>
    <mergeCell ref="A1180:B1180"/>
    <mergeCell ref="C1361:I1361"/>
    <mergeCell ref="C1363:I1364"/>
    <mergeCell ref="A1414:B1414"/>
    <mergeCell ref="C1198:I1198"/>
    <mergeCell ref="M1207:M1208"/>
    <mergeCell ref="A1117:J1117"/>
    <mergeCell ref="A1142:B1142"/>
    <mergeCell ref="K1467:K1468"/>
    <mergeCell ref="L1309:L1310"/>
    <mergeCell ref="J1467:J1468"/>
    <mergeCell ref="C1145:I1145"/>
    <mergeCell ref="N1047:N1048"/>
    <mergeCell ref="A1078:B1078"/>
    <mergeCell ref="N1094:N1095"/>
    <mergeCell ref="C1188:J1188"/>
    <mergeCell ref="C1147:I1147"/>
    <mergeCell ref="C1148:I1149"/>
    <mergeCell ref="A1041:B1043"/>
    <mergeCell ref="C1020:J1020"/>
    <mergeCell ref="A1148:B1149"/>
    <mergeCell ref="C1016:J1018"/>
    <mergeCell ref="M1047:M1048"/>
    <mergeCell ref="C1091:I1091"/>
    <mergeCell ref="K1047:K1048"/>
    <mergeCell ref="C1467:I1468"/>
    <mergeCell ref="N1416:N1417"/>
    <mergeCell ref="K1100:K1101"/>
    <mergeCell ref="A1123:B1123"/>
    <mergeCell ref="C1080:J1080"/>
    <mergeCell ref="C1123:J1123"/>
    <mergeCell ref="C1185:J1185"/>
    <mergeCell ref="C1173:J1182"/>
    <mergeCell ref="C1414:I1414"/>
    <mergeCell ref="M1309:M1310"/>
    <mergeCell ref="M1422:M1423"/>
    <mergeCell ref="L1416:L1417"/>
    <mergeCell ref="M1416:M1417"/>
    <mergeCell ref="C1360:I1360"/>
    <mergeCell ref="C1413:I1413"/>
    <mergeCell ref="K1416:K1417"/>
    <mergeCell ref="L1255:L1256"/>
    <mergeCell ref="K1315:K1316"/>
    <mergeCell ref="L1315:L1316"/>
    <mergeCell ref="A1143:B1144"/>
    <mergeCell ref="C1142:J1144"/>
    <mergeCell ref="K1154:K1155"/>
    <mergeCell ref="K1148:K1149"/>
    <mergeCell ref="L1148:L1149"/>
    <mergeCell ref="A1119:B1119"/>
    <mergeCell ref="N1148:N1149"/>
    <mergeCell ref="L1094:L1095"/>
    <mergeCell ref="M1100:M1101"/>
    <mergeCell ref="N1100:N1101"/>
    <mergeCell ref="N1154:N1155"/>
    <mergeCell ref="C1040:I1040"/>
    <mergeCell ref="N1261:N1262"/>
    <mergeCell ref="A1568:B1569"/>
    <mergeCell ref="L1473:L1474"/>
    <mergeCell ref="N1207:N1208"/>
    <mergeCell ref="N1369:N1370"/>
    <mergeCell ref="C1334:J1335"/>
    <mergeCell ref="C1231:J1231"/>
    <mergeCell ref="C1465:I1465"/>
    <mergeCell ref="A1410:B1410"/>
    <mergeCell ref="A1304:B1305"/>
    <mergeCell ref="A1307:B1307"/>
    <mergeCell ref="A1357:B1357"/>
    <mergeCell ref="C1395:J1395"/>
    <mergeCell ref="C1254:I1254"/>
    <mergeCell ref="N1309:N1310"/>
    <mergeCell ref="L1422:L1423"/>
    <mergeCell ref="K1422:K1423"/>
    <mergeCell ref="L1467:L1468"/>
    <mergeCell ref="A1395:B1395"/>
    <mergeCell ref="C1337:J1337"/>
    <mergeCell ref="A1231:B1231"/>
    <mergeCell ref="C1249:J1251"/>
    <mergeCell ref="C1339:J1339"/>
    <mergeCell ref="M1255:M1256"/>
    <mergeCell ref="L1363:L1364"/>
    <mergeCell ref="M1315:M1316"/>
    <mergeCell ref="L1576:L1577"/>
    <mergeCell ref="N1573:N1574"/>
    <mergeCell ref="C1501:J1501"/>
    <mergeCell ref="A1517:B1517"/>
    <mergeCell ref="C1307:I1307"/>
    <mergeCell ref="C1308:I1308"/>
    <mergeCell ref="C1309:I1310"/>
    <mergeCell ref="A1439:J1439"/>
    <mergeCell ref="J1363:J1364"/>
    <mergeCell ref="C1388:J1393"/>
    <mergeCell ref="N1315:N1316"/>
    <mergeCell ref="A1339:B1339"/>
    <mergeCell ref="M1369:M1370"/>
    <mergeCell ref="A1284:B1284"/>
    <mergeCell ref="C1410:J1412"/>
    <mergeCell ref="C1397:J1397"/>
    <mergeCell ref="J1309:J1310"/>
    <mergeCell ref="C1518:I1518"/>
    <mergeCell ref="J1519:J1520"/>
    <mergeCell ref="K1309:K1310"/>
    <mergeCell ref="C1466:I1466"/>
    <mergeCell ref="K1363:K1364"/>
    <mergeCell ref="M1363:M1364"/>
    <mergeCell ref="C1253:I1253"/>
    <mergeCell ref="C1499:J1499"/>
    <mergeCell ref="A1498:B1498"/>
    <mergeCell ref="A1514:B1515"/>
    <mergeCell ref="A1513:B1513"/>
    <mergeCell ref="C1498:J1498"/>
    <mergeCell ref="C1513:J1515"/>
    <mergeCell ref="C1517:I1517"/>
    <mergeCell ref="C1567:J1569"/>
    <mergeCell ref="A1462:B1463"/>
    <mergeCell ref="N1525:N1526"/>
    <mergeCell ref="N1473:N1474"/>
    <mergeCell ref="L1525:L1526"/>
    <mergeCell ref="K1633:K1634"/>
    <mergeCell ref="L1633:L1634"/>
    <mergeCell ref="K1627:K1628"/>
    <mergeCell ref="A1621:B1621"/>
    <mergeCell ref="C1572:I1572"/>
    <mergeCell ref="K1522:K1523"/>
    <mergeCell ref="M1473:M1474"/>
    <mergeCell ref="A1467:B1468"/>
    <mergeCell ref="M1687:M1688"/>
    <mergeCell ref="N1576:N1577"/>
    <mergeCell ref="L1201:L1202"/>
    <mergeCell ref="N1255:N1256"/>
    <mergeCell ref="N1363:N1364"/>
    <mergeCell ref="K1369:K1370"/>
    <mergeCell ref="K1573:K1574"/>
    <mergeCell ref="L1573:L1574"/>
    <mergeCell ref="M1573:M1574"/>
    <mergeCell ref="K1579:K1580"/>
    <mergeCell ref="L1579:L1580"/>
    <mergeCell ref="M1519:M1520"/>
    <mergeCell ref="K1576:K1577"/>
    <mergeCell ref="M1579:M1580"/>
    <mergeCell ref="M1522:M1523"/>
    <mergeCell ref="M1525:M1526"/>
    <mergeCell ref="K1519:K1520"/>
    <mergeCell ref="K1525:K1526"/>
    <mergeCell ref="L1519:L1520"/>
    <mergeCell ref="K1255:K1256"/>
    <mergeCell ref="N1522:N1523"/>
    <mergeCell ref="N1519:N1520"/>
    <mergeCell ref="M1467:M1468"/>
    <mergeCell ref="N1422:N1423"/>
    <mergeCell ref="N1467:N1468"/>
    <mergeCell ref="K1473:K1474"/>
    <mergeCell ref="M1261:M1262"/>
    <mergeCell ref="K1207:K1208"/>
    <mergeCell ref="L1207:L1208"/>
    <mergeCell ref="K1201:K1202"/>
    <mergeCell ref="N1201:N1202"/>
    <mergeCell ref="N1789:N1790"/>
    <mergeCell ref="C1680:I1680"/>
    <mergeCell ref="J1681:J1684"/>
    <mergeCell ref="N1627:N1628"/>
    <mergeCell ref="K1630:K1631"/>
    <mergeCell ref="M1741:M1742"/>
    <mergeCell ref="A1681:B1684"/>
    <mergeCell ref="N1630:N1631"/>
    <mergeCell ref="A1733:B1733"/>
    <mergeCell ref="C1733:I1733"/>
    <mergeCell ref="M1630:M1631"/>
    <mergeCell ref="A1656:B1656"/>
    <mergeCell ref="J1735:J1736"/>
    <mergeCell ref="A1729:B1729"/>
    <mergeCell ref="A1704:J1704"/>
    <mergeCell ref="C1598:J1599"/>
    <mergeCell ref="C1652:J1654"/>
    <mergeCell ref="C1678:I1678"/>
    <mergeCell ref="C1656:J1656"/>
    <mergeCell ref="K1735:K1736"/>
    <mergeCell ref="L1735:L1736"/>
    <mergeCell ref="L1687:L1688"/>
    <mergeCell ref="K1681:K1682"/>
    <mergeCell ref="M1627:M1628"/>
    <mergeCell ref="L1627:L1628"/>
    <mergeCell ref="M1633:M1634"/>
    <mergeCell ref="C1735:I1736"/>
    <mergeCell ref="M1738:M1739"/>
    <mergeCell ref="K1684:K1685"/>
    <mergeCell ref="J1627:J1628"/>
    <mergeCell ref="A1650:J1650"/>
    <mergeCell ref="A1675:B1675"/>
    <mergeCell ref="A1787:B1787"/>
    <mergeCell ref="N1738:N1739"/>
    <mergeCell ref="L1522:L1523"/>
    <mergeCell ref="A1567:B1567"/>
    <mergeCell ref="A1601:B1601"/>
    <mergeCell ref="C1624:I1624"/>
    <mergeCell ref="A1625:B1625"/>
    <mergeCell ref="K1738:K1739"/>
    <mergeCell ref="L1681:L1682"/>
    <mergeCell ref="M1681:M1682"/>
    <mergeCell ref="C1675:J1677"/>
    <mergeCell ref="C1625:I1625"/>
    <mergeCell ref="C1626:I1626"/>
    <mergeCell ref="A1627:B1628"/>
    <mergeCell ref="C1627:I1628"/>
    <mergeCell ref="K1687:K1688"/>
    <mergeCell ref="C1681:I1684"/>
    <mergeCell ref="N1633:N1634"/>
    <mergeCell ref="N1741:N1742"/>
    <mergeCell ref="C1706:J1708"/>
    <mergeCell ref="C1732:I1732"/>
    <mergeCell ref="A1573:B1574"/>
    <mergeCell ref="A1571:B1571"/>
    <mergeCell ref="C1570:I1570"/>
    <mergeCell ref="N1579:N1580"/>
    <mergeCell ref="A1596:J1596"/>
    <mergeCell ref="C1571:I1571"/>
    <mergeCell ref="L1630:L1631"/>
    <mergeCell ref="A1622:B1623"/>
    <mergeCell ref="C1621:J1623"/>
    <mergeCell ref="A1676:B1677"/>
    <mergeCell ref="C1601:J1601"/>
    <mergeCell ref="N1849:N1850"/>
    <mergeCell ref="K2006:K2007"/>
    <mergeCell ref="C2002:I2002"/>
    <mergeCell ref="C1841:I1841"/>
    <mergeCell ref="C1679:I1679"/>
    <mergeCell ref="A1812:J1812"/>
    <mergeCell ref="A1838:B1839"/>
    <mergeCell ref="A1841:B1841"/>
    <mergeCell ref="C1895:I1896"/>
    <mergeCell ref="J1843:J1844"/>
    <mergeCell ref="A1872:B1872"/>
    <mergeCell ref="M1735:M1736"/>
    <mergeCell ref="C1760:J1762"/>
    <mergeCell ref="C1787:I1787"/>
    <mergeCell ref="L1741:L1742"/>
    <mergeCell ref="M1846:M1847"/>
    <mergeCell ref="N1795:N1796"/>
    <mergeCell ref="A1978:B1978"/>
    <mergeCell ref="A1783:B1783"/>
    <mergeCell ref="C1783:J1785"/>
    <mergeCell ref="K1898:K1899"/>
    <mergeCell ref="L1684:L1685"/>
    <mergeCell ref="L1846:L1847"/>
    <mergeCell ref="C1840:I1840"/>
    <mergeCell ref="A1758:J1758"/>
    <mergeCell ref="M1684:M1685"/>
    <mergeCell ref="C1814:J1818"/>
    <mergeCell ref="J1846:J1847"/>
    <mergeCell ref="C1843:I1844"/>
    <mergeCell ref="M1795:M1796"/>
    <mergeCell ref="L1901:L1902"/>
    <mergeCell ref="C1764:J1765"/>
    <mergeCell ref="M2003:M2004"/>
    <mergeCell ref="L2006:L2007"/>
    <mergeCell ref="A1679:B1679"/>
    <mergeCell ref="C1729:J1731"/>
    <mergeCell ref="L1843:L1844"/>
    <mergeCell ref="A1846:B1847"/>
    <mergeCell ref="K1904:K1905"/>
    <mergeCell ref="L1795:L1796"/>
    <mergeCell ref="K1795:K1796"/>
    <mergeCell ref="A2006:B2007"/>
    <mergeCell ref="C1929:J1929"/>
    <mergeCell ref="K1846:K1847"/>
    <mergeCell ref="C1868:J1870"/>
    <mergeCell ref="A1784:B1785"/>
    <mergeCell ref="C2108:I2108"/>
    <mergeCell ref="C1974:J1976"/>
    <mergeCell ref="A1898:B1899"/>
    <mergeCell ref="A1947:B1947"/>
    <mergeCell ref="C1789:I1790"/>
    <mergeCell ref="C1846:I1847"/>
    <mergeCell ref="M1849:M1850"/>
    <mergeCell ref="K1849:K1850"/>
    <mergeCell ref="L1949:L1950"/>
    <mergeCell ref="M1895:M1896"/>
    <mergeCell ref="M1904:M1905"/>
    <mergeCell ref="A1789:B1790"/>
    <mergeCell ref="A1895:B1896"/>
    <mergeCell ref="C1788:I1788"/>
    <mergeCell ref="A1764:B1764"/>
    <mergeCell ref="C1822:J1822"/>
    <mergeCell ref="J1789:J1790"/>
    <mergeCell ref="C1786:I1786"/>
    <mergeCell ref="L1849:L1850"/>
    <mergeCell ref="C1767:J1770"/>
    <mergeCell ref="A2003:B2004"/>
    <mergeCell ref="A2165:B2166"/>
    <mergeCell ref="C2211:J2213"/>
    <mergeCell ref="K2217:K2218"/>
    <mergeCell ref="C2190:J2195"/>
    <mergeCell ref="N1681:N1682"/>
    <mergeCell ref="K1741:K1742"/>
    <mergeCell ref="C1710:J1710"/>
    <mergeCell ref="N1684:N1685"/>
    <mergeCell ref="N1735:N1736"/>
    <mergeCell ref="N1687:N1688"/>
    <mergeCell ref="N1846:N1847"/>
    <mergeCell ref="N1843:N1844"/>
    <mergeCell ref="L1904:L1905"/>
    <mergeCell ref="A2140:B2140"/>
    <mergeCell ref="J1901:J1902"/>
    <mergeCell ref="C1947:I1947"/>
    <mergeCell ref="C1943:J1945"/>
    <mergeCell ref="C1920:J1923"/>
    <mergeCell ref="A1925:B1925"/>
    <mergeCell ref="A1820:B1820"/>
    <mergeCell ref="C1820:J1820"/>
    <mergeCell ref="A1730:B1731"/>
    <mergeCell ref="A1735:B1736"/>
    <mergeCell ref="K1843:K1844"/>
    <mergeCell ref="C1837:J1839"/>
    <mergeCell ref="C2136:J2138"/>
    <mergeCell ref="L1738:L1739"/>
    <mergeCell ref="C1734:I1734"/>
    <mergeCell ref="L1789:L1790"/>
    <mergeCell ref="K2439:K2440"/>
    <mergeCell ref="N2439:N2440"/>
    <mergeCell ref="M2277:M2278"/>
    <mergeCell ref="C2307:J2307"/>
    <mergeCell ref="C2301:J2301"/>
    <mergeCell ref="J2006:J2007"/>
    <mergeCell ref="C1842:I1842"/>
    <mergeCell ref="K2271:K2272"/>
    <mergeCell ref="A1866:J1866"/>
    <mergeCell ref="N2165:N2166"/>
    <mergeCell ref="N2171:N2172"/>
    <mergeCell ref="C2432:I2432"/>
    <mergeCell ref="A2516:B2516"/>
    <mergeCell ref="C2458:J2467"/>
    <mergeCell ref="K2433:K2434"/>
    <mergeCell ref="C2485:I2485"/>
    <mergeCell ref="C2523:J2523"/>
    <mergeCell ref="A1889:B1889"/>
    <mergeCell ref="A1893:B1893"/>
    <mergeCell ref="K1955:K1956"/>
    <mergeCell ref="C2003:I2004"/>
    <mergeCell ref="M2220:M2221"/>
    <mergeCell ref="C2245:J2245"/>
    <mergeCell ref="C2270:I2270"/>
    <mergeCell ref="A2265:B2265"/>
    <mergeCell ref="A2245:B2245"/>
    <mergeCell ref="C2242:J2243"/>
    <mergeCell ref="A2211:B2211"/>
    <mergeCell ref="M2165:M2166"/>
    <mergeCell ref="M2217:M2218"/>
    <mergeCell ref="L2009:L2010"/>
    <mergeCell ref="L2217:L2218"/>
    <mergeCell ref="K2540:K2541"/>
    <mergeCell ref="L2540:L2541"/>
    <mergeCell ref="K2593:K2594"/>
    <mergeCell ref="C2376:I2376"/>
    <mergeCell ref="A2220:B2221"/>
    <mergeCell ref="K2220:K2221"/>
    <mergeCell ref="C2740:J2740"/>
    <mergeCell ref="C2671:J2673"/>
    <mergeCell ref="C2694:J2696"/>
    <mergeCell ref="A2698:B2698"/>
    <mergeCell ref="N2274:N2275"/>
    <mergeCell ref="K2274:K2275"/>
    <mergeCell ref="L2274:L2275"/>
    <mergeCell ref="N2540:N2541"/>
    <mergeCell ref="N2599:N2600"/>
    <mergeCell ref="N2593:N2594"/>
    <mergeCell ref="M2593:M2594"/>
    <mergeCell ref="M2599:M2600"/>
    <mergeCell ref="L2599:L2600"/>
    <mergeCell ref="N2493:N2494"/>
    <mergeCell ref="N2436:N2437"/>
    <mergeCell ref="N2546:N2547"/>
    <mergeCell ref="M2493:M2494"/>
    <mergeCell ref="N2487:N2488"/>
    <mergeCell ref="L2593:L2594"/>
    <mergeCell ref="K2546:K2547"/>
    <mergeCell ref="K2487:K2488"/>
    <mergeCell ref="C2643:I2643"/>
    <mergeCell ref="L2439:L2440"/>
    <mergeCell ref="N2652:N2653"/>
    <mergeCell ref="N2646:N2647"/>
    <mergeCell ref="M2433:M2434"/>
    <mergeCell ref="N2706:N2707"/>
    <mergeCell ref="N2813:N2814"/>
    <mergeCell ref="N2759:N2760"/>
    <mergeCell ref="N2700:N2701"/>
    <mergeCell ref="M2807:M2808"/>
    <mergeCell ref="N2756:N2757"/>
    <mergeCell ref="N2807:N2808"/>
    <mergeCell ref="A2751:B2751"/>
    <mergeCell ref="C2750:I2750"/>
    <mergeCell ref="C2745:J2745"/>
    <mergeCell ref="K2807:K2808"/>
    <mergeCell ref="M2813:M2814"/>
    <mergeCell ref="M2753:M2754"/>
    <mergeCell ref="C2753:I2754"/>
    <mergeCell ref="J2753:J2754"/>
    <mergeCell ref="K2756:K2757"/>
    <mergeCell ref="C2804:I2804"/>
    <mergeCell ref="J2807:J2808"/>
    <mergeCell ref="L2807:L2808"/>
    <mergeCell ref="K2753:K2754"/>
    <mergeCell ref="L2753:L2754"/>
    <mergeCell ref="A2753:B2754"/>
    <mergeCell ref="A2700:B2701"/>
    <mergeCell ref="C2723:J2738"/>
    <mergeCell ref="J2700:J2701"/>
    <mergeCell ref="A2748:B2749"/>
    <mergeCell ref="A2740:B2740"/>
    <mergeCell ref="M2756:M2757"/>
    <mergeCell ref="C2747:J2749"/>
    <mergeCell ref="J2756:J2757"/>
    <mergeCell ref="C2801:J2803"/>
    <mergeCell ref="M2706:M2707"/>
    <mergeCell ref="M2546:M2547"/>
    <mergeCell ref="L2433:L2434"/>
    <mergeCell ref="A2323:B2323"/>
    <mergeCell ref="A2481:B2481"/>
    <mergeCell ref="J2433:J2434"/>
    <mergeCell ref="C2324:I2324"/>
    <mergeCell ref="C2323:I2323"/>
    <mergeCell ref="M2331:M2332"/>
    <mergeCell ref="C2431:I2431"/>
    <mergeCell ref="J2540:J2542"/>
    <mergeCell ref="C2587:J2589"/>
    <mergeCell ref="C2268:I2268"/>
    <mergeCell ref="M2436:M2437"/>
    <mergeCell ref="K2646:K2647"/>
    <mergeCell ref="L2646:L2647"/>
    <mergeCell ref="L2271:L2272"/>
    <mergeCell ref="A2535:B2536"/>
    <mergeCell ref="M2540:M2541"/>
    <mergeCell ref="L2436:L2437"/>
    <mergeCell ref="M2439:M2440"/>
    <mergeCell ref="A2482:B2483"/>
    <mergeCell ref="C2430:I2430"/>
    <mergeCell ref="A2431:B2431"/>
    <mergeCell ref="C2538:I2538"/>
    <mergeCell ref="C2487:I2489"/>
    <mergeCell ref="C2539:I2539"/>
    <mergeCell ref="C2378:I2378"/>
    <mergeCell ref="A2379:B2380"/>
    <mergeCell ref="M2325:M2326"/>
    <mergeCell ref="A2350:B2350"/>
    <mergeCell ref="A2320:B2321"/>
    <mergeCell ref="C2373:J2375"/>
    <mergeCell ref="L2487:L2488"/>
    <mergeCell ref="A2404:B2404"/>
    <mergeCell ref="K2325:K2326"/>
    <mergeCell ref="C2698:I2698"/>
    <mergeCell ref="A2616:J2616"/>
    <mergeCell ref="A2433:B2434"/>
    <mergeCell ref="A2348:J2348"/>
    <mergeCell ref="C2644:I2644"/>
    <mergeCell ref="C2697:I2697"/>
    <mergeCell ref="A2274:B2275"/>
    <mergeCell ref="A2805:B2805"/>
    <mergeCell ref="C2756:I2757"/>
    <mergeCell ref="A2540:B2542"/>
    <mergeCell ref="A2563:J2563"/>
    <mergeCell ref="A2569:B2569"/>
    <mergeCell ref="A2571:B2571"/>
    <mergeCell ref="C2571:J2571"/>
    <mergeCell ref="C2576:J2576"/>
    <mergeCell ref="C2618:J2620"/>
    <mergeCell ref="K2599:K2600"/>
    <mergeCell ref="J2593:J2594"/>
    <mergeCell ref="L2759:L2760"/>
    <mergeCell ref="A2694:B2694"/>
    <mergeCell ref="A2587:B2587"/>
    <mergeCell ref="A2485:B2485"/>
    <mergeCell ref="C2573:J2575"/>
    <mergeCell ref="C2592:I2592"/>
    <mergeCell ref="A2593:B2594"/>
    <mergeCell ref="K2706:K2707"/>
    <mergeCell ref="L2706:L2707"/>
    <mergeCell ref="K2331:K2332"/>
    <mergeCell ref="A2469:B2469"/>
    <mergeCell ref="A2802:B2803"/>
    <mergeCell ref="L2756:L2757"/>
    <mergeCell ref="K2759:K2760"/>
    <mergeCell ref="A2756:B2757"/>
    <mergeCell ref="C2806:I2806"/>
    <mergeCell ref="A2801:B2801"/>
    <mergeCell ref="C2784:J2785"/>
    <mergeCell ref="C2742:J2744"/>
    <mergeCell ref="M2759:M2760"/>
    <mergeCell ref="C2778:J2782"/>
    <mergeCell ref="L2813:L2814"/>
    <mergeCell ref="K2813:K2814"/>
    <mergeCell ref="A2807:B2808"/>
    <mergeCell ref="M3453:M3454"/>
    <mergeCell ref="A3397:B3397"/>
    <mergeCell ref="C3429:J3429"/>
    <mergeCell ref="C3288:I3288"/>
    <mergeCell ref="M3405:M3406"/>
    <mergeCell ref="C3346:I3347"/>
    <mergeCell ref="C3329:J3329"/>
    <mergeCell ref="D3378:J3379"/>
    <mergeCell ref="C3020:I3020"/>
    <mergeCell ref="M3129:M3130"/>
    <mergeCell ref="C3061:J3061"/>
    <mergeCell ref="K3346:K3347"/>
    <mergeCell ref="L3082:L3083"/>
    <mergeCell ref="C3327:J3327"/>
    <mergeCell ref="E3383:J3383"/>
    <mergeCell ref="A3429:B3429"/>
    <mergeCell ref="M3291:M3292"/>
    <mergeCell ref="L3236:L3237"/>
    <mergeCell ref="A3259:J3259"/>
    <mergeCell ref="L3022:L3023"/>
    <mergeCell ref="A3264:B3264"/>
    <mergeCell ref="C3108:J3108"/>
    <mergeCell ref="A3340:B3340"/>
    <mergeCell ref="A3448:B3449"/>
    <mergeCell ref="L3291:L3292"/>
    <mergeCell ref="M3669:M3670"/>
    <mergeCell ref="J3399:J3400"/>
    <mergeCell ref="K3402:K3403"/>
    <mergeCell ref="C3021:I3021"/>
    <mergeCell ref="A2915:B2917"/>
    <mergeCell ref="C2940:J2941"/>
    <mergeCell ref="J3022:J3023"/>
    <mergeCell ref="A3017:B3018"/>
    <mergeCell ref="A3016:B3016"/>
    <mergeCell ref="A3020:B3020"/>
    <mergeCell ref="C3000:J3003"/>
    <mergeCell ref="M2974:M2975"/>
    <mergeCell ref="L2974:L2975"/>
    <mergeCell ref="C3230:J3232"/>
    <mergeCell ref="M3399:M3400"/>
    <mergeCell ref="C3615:I3617"/>
    <mergeCell ref="J3561:J3563"/>
    <mergeCell ref="A3501:B3501"/>
    <mergeCell ref="C3501:J3503"/>
    <mergeCell ref="A3502:B3503"/>
    <mergeCell ref="M3349:M3350"/>
    <mergeCell ref="C3393:J3395"/>
    <mergeCell ref="A3393:B3393"/>
    <mergeCell ref="J3076:J3077"/>
    <mergeCell ref="L3182:L3183"/>
    <mergeCell ref="K3028:K3029"/>
    <mergeCell ref="A3394:B3395"/>
    <mergeCell ref="A3346:B3347"/>
    <mergeCell ref="A3177:B3178"/>
    <mergeCell ref="K3399:K3400"/>
    <mergeCell ref="K3408:K3409"/>
    <mergeCell ref="A3663:B3663"/>
    <mergeCell ref="C3613:I3613"/>
    <mergeCell ref="A3667:B3667"/>
    <mergeCell ref="C3723:I3725"/>
    <mergeCell ref="C3669:I3671"/>
    <mergeCell ref="C3829:I3829"/>
    <mergeCell ref="C3667:I3667"/>
    <mergeCell ref="C3451:I3451"/>
    <mergeCell ref="C3402:I3403"/>
    <mergeCell ref="J3402:J3403"/>
    <mergeCell ref="A3399:B3400"/>
    <mergeCell ref="C3424:J3426"/>
    <mergeCell ref="A3610:B3611"/>
    <mergeCell ref="K3561:K3562"/>
    <mergeCell ref="C3555:J3557"/>
    <mergeCell ref="A3535:B3535"/>
    <mergeCell ref="A3456:B3457"/>
    <mergeCell ref="C3207:J3211"/>
    <mergeCell ref="C3666:I3666"/>
    <mergeCell ref="A3669:B3671"/>
    <mergeCell ref="C3668:I3668"/>
    <mergeCell ref="C3775:I3775"/>
    <mergeCell ref="C3047:J3051"/>
    <mergeCell ref="A3045:J3045"/>
    <mergeCell ref="K3239:K3240"/>
    <mergeCell ref="J3236:J3238"/>
    <mergeCell ref="C3161:J3162"/>
    <mergeCell ref="A3285:B3285"/>
    <mergeCell ref="C3343:I3343"/>
    <mergeCell ref="K3507:K3508"/>
    <mergeCell ref="C3452:I3452"/>
    <mergeCell ref="A3327:B3327"/>
    <mergeCell ref="A3643:B3643"/>
    <mergeCell ref="C3643:J3643"/>
    <mergeCell ref="K3780:K3781"/>
    <mergeCell ref="L3507:L3508"/>
    <mergeCell ref="K3992:K3993"/>
    <mergeCell ref="L3780:L3781"/>
    <mergeCell ref="M3731:M3732"/>
    <mergeCell ref="C3910:J3917"/>
    <mergeCell ref="K3669:K3670"/>
    <mergeCell ref="A3692:J3692"/>
    <mergeCell ref="C3694:J3696"/>
    <mergeCell ref="A3746:J3746"/>
    <mergeCell ref="A3664:B3665"/>
    <mergeCell ref="A3613:B3613"/>
    <mergeCell ref="C3505:I3505"/>
    <mergeCell ref="C3722:I3722"/>
    <mergeCell ref="C3777:I3778"/>
    <mergeCell ref="A3556:B3557"/>
    <mergeCell ref="L3777:L3778"/>
    <mergeCell ref="D3805:J3806"/>
    <mergeCell ref="A3800:J3800"/>
    <mergeCell ref="C3558:I3558"/>
    <mergeCell ref="N4854:N4855"/>
    <mergeCell ref="N4908:N4909"/>
    <mergeCell ref="A3826:B3827"/>
    <mergeCell ref="C3938:I3939"/>
    <mergeCell ref="J3938:J3939"/>
    <mergeCell ref="C4025:J4025"/>
    <mergeCell ref="J3992:J3993"/>
    <mergeCell ref="C3963:J3967"/>
    <mergeCell ref="A3883:B3883"/>
    <mergeCell ref="A3879:B3879"/>
    <mergeCell ref="C3830:I3830"/>
    <mergeCell ref="C3771:J3773"/>
    <mergeCell ref="C3663:J3665"/>
    <mergeCell ref="A3780:B3781"/>
    <mergeCell ref="C3879:J3881"/>
    <mergeCell ref="A3772:B3773"/>
    <mergeCell ref="A3961:J3961"/>
    <mergeCell ref="J3831:J3832"/>
    <mergeCell ref="C3859:J3859"/>
    <mergeCell ref="C3969:J3969"/>
    <mergeCell ref="A3992:B3993"/>
    <mergeCell ref="C4020:J4020"/>
    <mergeCell ref="N4800:N4801"/>
    <mergeCell ref="C4574:D4574"/>
    <mergeCell ref="C4572:D4572"/>
    <mergeCell ref="N4698:N4699"/>
    <mergeCell ref="N4640:N4641"/>
    <mergeCell ref="M4749:M4750"/>
    <mergeCell ref="M4746:M4747"/>
    <mergeCell ref="M4800:M4801"/>
    <mergeCell ref="C4797:I4797"/>
    <mergeCell ref="J4483:J4485"/>
    <mergeCell ref="L4698:L4699"/>
    <mergeCell ref="C4406:J4407"/>
    <mergeCell ref="C4513:J4513"/>
    <mergeCell ref="C4514:J4515"/>
    <mergeCell ref="C4483:I4485"/>
    <mergeCell ref="J4535:J4536"/>
    <mergeCell ref="K4535:K4536"/>
    <mergeCell ref="L4535:L4536"/>
    <mergeCell ref="N4693:N4694"/>
    <mergeCell ref="M4589:M4590"/>
    <mergeCell ref="M4640:M4641"/>
    <mergeCell ref="J4640:J4641"/>
    <mergeCell ref="L4854:L4855"/>
    <mergeCell ref="M4854:M4855"/>
    <mergeCell ref="J4854:J4855"/>
    <mergeCell ref="C4774:J4774"/>
    <mergeCell ref="J4746:J4747"/>
    <mergeCell ref="A4768:J4768"/>
    <mergeCell ref="A4795:B4796"/>
    <mergeCell ref="C4800:I4801"/>
    <mergeCell ref="C4746:I4747"/>
    <mergeCell ref="C4776:J4776"/>
    <mergeCell ref="A4798:B4798"/>
    <mergeCell ref="C4777:J4777"/>
    <mergeCell ref="A4800:B4801"/>
    <mergeCell ref="K4800:K4801"/>
    <mergeCell ref="C4745:I4745"/>
    <mergeCell ref="K4532:K4533"/>
    <mergeCell ref="C4693:I4694"/>
    <mergeCell ref="J4693:J4694"/>
    <mergeCell ref="K4698:K4699"/>
    <mergeCell ref="A4716:J4716"/>
    <mergeCell ref="C3856:J3857"/>
    <mergeCell ref="A3914:B3914"/>
    <mergeCell ref="A3880:B3881"/>
    <mergeCell ref="A3938:B3939"/>
    <mergeCell ref="C4125:J4126"/>
    <mergeCell ref="A3919:B3919"/>
    <mergeCell ref="C3919:J3919"/>
    <mergeCell ref="A3932:B3932"/>
    <mergeCell ref="M3992:M3993"/>
    <mergeCell ref="K3885:K3886"/>
    <mergeCell ref="C3884:I3884"/>
    <mergeCell ref="L3885:L3886"/>
    <mergeCell ref="K4589:K4590"/>
    <mergeCell ref="C4566:J4567"/>
    <mergeCell ref="C4718:J4721"/>
    <mergeCell ref="K4749:K4750"/>
    <mergeCell ref="L4749:L4750"/>
    <mergeCell ref="A4509:B4509"/>
    <mergeCell ref="M4586:M4587"/>
    <mergeCell ref="M4532:M4533"/>
    <mergeCell ref="M4370:M4371"/>
    <mergeCell ref="J4315:J4316"/>
    <mergeCell ref="C4472:J4474"/>
    <mergeCell ref="C4526:J4528"/>
    <mergeCell ref="A4473:B4474"/>
    <mergeCell ref="A4393:J4393"/>
    <mergeCell ref="C4585:I4585"/>
    <mergeCell ref="C4369:I4369"/>
    <mergeCell ref="L4100:L4101"/>
    <mergeCell ref="C4743:I4743"/>
    <mergeCell ref="A4418:B4418"/>
    <mergeCell ref="A4634:B4634"/>
    <mergeCell ref="N4965:N4966"/>
    <mergeCell ref="N4971:N4972"/>
    <mergeCell ref="N4968:N4969"/>
    <mergeCell ref="C5095:J5097"/>
    <mergeCell ref="A5010:B5011"/>
    <mergeCell ref="C5009:J5011"/>
    <mergeCell ref="L4908:L4909"/>
    <mergeCell ref="C4965:I4966"/>
    <mergeCell ref="C5118:J5120"/>
    <mergeCell ref="C4987:J4991"/>
    <mergeCell ref="C5064:J5066"/>
    <mergeCell ref="C5012:I5012"/>
    <mergeCell ref="M4971:M4972"/>
    <mergeCell ref="L4968:L4969"/>
    <mergeCell ref="M4968:M4969"/>
    <mergeCell ref="L4962:L4963"/>
    <mergeCell ref="N5070:N5071"/>
    <mergeCell ref="M5070:M5071"/>
    <mergeCell ref="J5015:J5016"/>
    <mergeCell ref="K4965:K4966"/>
    <mergeCell ref="C4968:I4969"/>
    <mergeCell ref="J4968:J4969"/>
    <mergeCell ref="M4965:M4966"/>
    <mergeCell ref="C4937:J4937"/>
    <mergeCell ref="N4962:N4963"/>
    <mergeCell ref="A4931:J4931"/>
    <mergeCell ref="K4962:K4963"/>
    <mergeCell ref="C4960:I4960"/>
    <mergeCell ref="C4959:I4959"/>
    <mergeCell ref="J4965:J4966"/>
    <mergeCell ref="M4962:M4963"/>
    <mergeCell ref="L4965:L4966"/>
    <mergeCell ref="A3129:B3130"/>
    <mergeCell ref="L3188:L3189"/>
    <mergeCell ref="A3123:B3123"/>
    <mergeCell ref="A3341:B3342"/>
    <mergeCell ref="C3160:J3160"/>
    <mergeCell ref="C3316:J3325"/>
    <mergeCell ref="A3266:B3266"/>
    <mergeCell ref="L3352:L3353"/>
    <mergeCell ref="J3349:J3350"/>
    <mergeCell ref="C3179:I3179"/>
    <mergeCell ref="J3129:J3130"/>
    <mergeCell ref="D3380:J3382"/>
    <mergeCell ref="K3291:K3292"/>
    <mergeCell ref="M3182:M3183"/>
    <mergeCell ref="A3234:B3234"/>
    <mergeCell ref="C3291:I3293"/>
    <mergeCell ref="A3289:B3289"/>
    <mergeCell ref="M3294:M3295"/>
    <mergeCell ref="C3236:I3238"/>
    <mergeCell ref="L3399:L3400"/>
    <mergeCell ref="A3369:J3369"/>
    <mergeCell ref="A3453:B3454"/>
    <mergeCell ref="C3453:I3454"/>
    <mergeCell ref="C3535:J3535"/>
    <mergeCell ref="A3375:B3375"/>
    <mergeCell ref="E3384:J3384"/>
    <mergeCell ref="A3402:B3403"/>
    <mergeCell ref="A3885:B3887"/>
    <mergeCell ref="L3408:L3409"/>
    <mergeCell ref="L3402:L3403"/>
    <mergeCell ref="C3377:J3377"/>
    <mergeCell ref="M3082:M3083"/>
    <mergeCell ref="K3129:K3130"/>
    <mergeCell ref="L3129:L3130"/>
    <mergeCell ref="K3135:K3136"/>
    <mergeCell ref="M3135:M3136"/>
    <mergeCell ref="K3349:K3350"/>
    <mergeCell ref="N3236:N3237"/>
    <mergeCell ref="N3182:N3183"/>
    <mergeCell ref="N3022:N3023"/>
    <mergeCell ref="A3074:B3074"/>
    <mergeCell ref="M3028:M3029"/>
    <mergeCell ref="C2860:I2860"/>
    <mergeCell ref="A2861:B2862"/>
    <mergeCell ref="M3022:M3023"/>
    <mergeCell ref="A3005:B3005"/>
    <mergeCell ref="C3019:I3019"/>
    <mergeCell ref="C2886:J2888"/>
    <mergeCell ref="K2867:K2868"/>
    <mergeCell ref="N3294:N3295"/>
    <mergeCell ref="L3076:L3077"/>
    <mergeCell ref="A3124:B3125"/>
    <mergeCell ref="L3028:L3029"/>
    <mergeCell ref="M3346:M3347"/>
    <mergeCell ref="C3060:J3060"/>
    <mergeCell ref="N3135:N3136"/>
    <mergeCell ref="C2915:I2917"/>
    <mergeCell ref="L2861:L2862"/>
    <mergeCell ref="A3160:B3160"/>
    <mergeCell ref="C3070:J3072"/>
    <mergeCell ref="A3231:B3232"/>
    <mergeCell ref="A2890:B2890"/>
    <mergeCell ref="C2913:I2913"/>
    <mergeCell ref="J2915:J2917"/>
    <mergeCell ref="C2914:I2914"/>
    <mergeCell ref="C2855:J2857"/>
    <mergeCell ref="A2856:B2857"/>
    <mergeCell ref="N2861:N2862"/>
    <mergeCell ref="C2965:I2965"/>
    <mergeCell ref="C3154:J3159"/>
    <mergeCell ref="A2963:B2964"/>
    <mergeCell ref="C2967:I2967"/>
    <mergeCell ref="J2861:J2862"/>
    <mergeCell ref="L2867:L2868"/>
    <mergeCell ref="N2867:N2868"/>
    <mergeCell ref="C2858:I2858"/>
    <mergeCell ref="N3291:N3292"/>
    <mergeCell ref="K3236:K3237"/>
    <mergeCell ref="K3188:K3189"/>
    <mergeCell ref="K2915:K2916"/>
    <mergeCell ref="A2968:B2969"/>
    <mergeCell ref="A3212:B3212"/>
    <mergeCell ref="M3239:M3240"/>
    <mergeCell ref="C3235:I3235"/>
    <mergeCell ref="C3234:I3234"/>
    <mergeCell ref="A2991:J2991"/>
    <mergeCell ref="N3028:N3029"/>
    <mergeCell ref="N3076:N3077"/>
    <mergeCell ref="N3082:N3083"/>
    <mergeCell ref="C3261:J3264"/>
    <mergeCell ref="A3152:J3152"/>
    <mergeCell ref="N3239:N3240"/>
    <mergeCell ref="N3129:N3130"/>
    <mergeCell ref="A3176:B3176"/>
    <mergeCell ref="C3101:J3106"/>
    <mergeCell ref="N2915:N2916"/>
    <mergeCell ref="N2921:N2922"/>
    <mergeCell ref="A2962:B2962"/>
    <mergeCell ref="A3107:B3107"/>
    <mergeCell ref="J2968:J2969"/>
    <mergeCell ref="C2943:J2944"/>
    <mergeCell ref="C3176:J3178"/>
    <mergeCell ref="A2943:B2943"/>
    <mergeCell ref="A3213:B3213"/>
    <mergeCell ref="C2968:I2969"/>
    <mergeCell ref="C2993:J2999"/>
    <mergeCell ref="A3230:B3230"/>
    <mergeCell ref="N941:N942"/>
    <mergeCell ref="K947:K948"/>
    <mergeCell ref="N1041:N1042"/>
    <mergeCell ref="K1261:K1262"/>
    <mergeCell ref="L1261:L1262"/>
    <mergeCell ref="C1357:J1359"/>
    <mergeCell ref="N947:N948"/>
    <mergeCell ref="M2861:M2862"/>
    <mergeCell ref="M1789:M1790"/>
    <mergeCell ref="K2974:K2975"/>
    <mergeCell ref="L2915:L2916"/>
    <mergeCell ref="K2493:K2494"/>
    <mergeCell ref="L2493:L2494"/>
    <mergeCell ref="J2271:J2272"/>
    <mergeCell ref="K2436:K2437"/>
    <mergeCell ref="L2652:L2653"/>
    <mergeCell ref="M2652:M2653"/>
    <mergeCell ref="K2652:K2653"/>
    <mergeCell ref="C2832:J2834"/>
    <mergeCell ref="A2776:J2776"/>
    <mergeCell ref="A2966:B2966"/>
    <mergeCell ref="K2700:K2701"/>
    <mergeCell ref="M2968:M2969"/>
    <mergeCell ref="N2753:N2754"/>
    <mergeCell ref="C2751:I2751"/>
    <mergeCell ref="L2700:L2701"/>
    <mergeCell ref="M2700:M2701"/>
    <mergeCell ref="C2752:I2752"/>
    <mergeCell ref="N2968:N2969"/>
    <mergeCell ref="K2968:K2969"/>
    <mergeCell ref="M2867:M2868"/>
    <mergeCell ref="A2830:J2830"/>
    <mergeCell ref="M2921:M2922"/>
    <mergeCell ref="A4723:B4723"/>
    <mergeCell ref="C4255:J4257"/>
    <mergeCell ref="K3082:K3083"/>
    <mergeCell ref="M3076:M3077"/>
    <mergeCell ref="A3286:B3287"/>
    <mergeCell ref="L3294:L3295"/>
    <mergeCell ref="C3233:I3233"/>
    <mergeCell ref="L3346:L3347"/>
    <mergeCell ref="K3727:K3728"/>
    <mergeCell ref="K3777:K3778"/>
    <mergeCell ref="C4071:J4075"/>
    <mergeCell ref="A4211:B4213"/>
    <mergeCell ref="C4211:I4213"/>
    <mergeCell ref="J4211:J4213"/>
    <mergeCell ref="C4182:J4182"/>
    <mergeCell ref="J3780:J3781"/>
    <mergeCell ref="C3776:I3776"/>
    <mergeCell ref="C3398:I3398"/>
    <mergeCell ref="K3453:K3454"/>
    <mergeCell ref="N3352:N3353"/>
    <mergeCell ref="C3396:I3396"/>
    <mergeCell ref="M3352:M3353"/>
    <mergeCell ref="M3561:M3562"/>
    <mergeCell ref="J3456:J3457"/>
    <mergeCell ref="A3530:J3530"/>
    <mergeCell ref="M3723:M3724"/>
    <mergeCell ref="C3717:J3719"/>
    <mergeCell ref="C3698:J3698"/>
    <mergeCell ref="L3456:L3457"/>
    <mergeCell ref="K3615:K3616"/>
    <mergeCell ref="L3727:L3728"/>
    <mergeCell ref="K3456:K3457"/>
    <mergeCell ref="L3669:L3670"/>
    <mergeCell ref="L3615:L3616"/>
    <mergeCell ref="C3478:J3488"/>
    <mergeCell ref="A3589:B3589"/>
    <mergeCell ref="M3727:M3728"/>
    <mergeCell ref="K3723:K3724"/>
    <mergeCell ref="N3561:N3562"/>
    <mergeCell ref="N3456:N3457"/>
    <mergeCell ref="J3507:J3509"/>
    <mergeCell ref="C3506:I3506"/>
    <mergeCell ref="A3490:B3490"/>
    <mergeCell ref="N3727:N3728"/>
    <mergeCell ref="N3669:N3670"/>
    <mergeCell ref="N3615:N3616"/>
    <mergeCell ref="N3723:N3724"/>
    <mergeCell ref="C3612:I3612"/>
    <mergeCell ref="A3723:B3725"/>
    <mergeCell ref="C3727:I3729"/>
    <mergeCell ref="J3615:J3617"/>
    <mergeCell ref="M5340:M5341"/>
    <mergeCell ref="L5124:L5125"/>
    <mergeCell ref="N5340:N5341"/>
    <mergeCell ref="C5392:I5392"/>
    <mergeCell ref="K5070:K5071"/>
    <mergeCell ref="J4962:J4963"/>
    <mergeCell ref="C5070:I5071"/>
    <mergeCell ref="J5070:J5071"/>
    <mergeCell ref="A4985:J4985"/>
    <mergeCell ref="C4993:J4993"/>
    <mergeCell ref="C5365:J5367"/>
    <mergeCell ref="K5015:K5016"/>
    <mergeCell ref="A5065:B5066"/>
    <mergeCell ref="C5067:I5067"/>
    <mergeCell ref="A4937:B4937"/>
    <mergeCell ref="C5122:I5122"/>
    <mergeCell ref="N5124:N5125"/>
    <mergeCell ref="L5070:L5071"/>
    <mergeCell ref="A4971:B4972"/>
    <mergeCell ref="C5149:J5151"/>
    <mergeCell ref="A4968:B4969"/>
    <mergeCell ref="C5369:J5369"/>
    <mergeCell ref="L5340:L5341"/>
    <mergeCell ref="C5153:J5153"/>
    <mergeCell ref="J5124:J5125"/>
    <mergeCell ref="L4971:L4972"/>
    <mergeCell ref="L5015:L5016"/>
    <mergeCell ref="M5124:M5125"/>
    <mergeCell ref="N5015:N5016"/>
    <mergeCell ref="A4995:B4995"/>
    <mergeCell ref="C4961:I4961"/>
    <mergeCell ref="A5009:B5009"/>
    <mergeCell ref="M5608:M5609"/>
    <mergeCell ref="K5451:K5452"/>
    <mergeCell ref="M5554:M5555"/>
    <mergeCell ref="L5554:L5555"/>
    <mergeCell ref="A5552:B5552"/>
    <mergeCell ref="M5504:M5505"/>
    <mergeCell ref="C5608:I5611"/>
    <mergeCell ref="A5549:B5550"/>
    <mergeCell ref="A5548:B5548"/>
    <mergeCell ref="M5448:M5449"/>
    <mergeCell ref="C5478:J5478"/>
    <mergeCell ref="A5495:B5495"/>
    <mergeCell ref="A5577:J5577"/>
    <mergeCell ref="N5394:N5395"/>
    <mergeCell ref="C5394:I5395"/>
    <mergeCell ref="C5391:I5391"/>
    <mergeCell ref="C5448:I5449"/>
    <mergeCell ref="J5448:J5449"/>
    <mergeCell ref="C5495:J5497"/>
    <mergeCell ref="A5496:B5497"/>
    <mergeCell ref="N5554:N5555"/>
    <mergeCell ref="N5451:N5452"/>
    <mergeCell ref="N5448:N5449"/>
    <mergeCell ref="A5443:B5444"/>
    <mergeCell ref="C5501:I5502"/>
    <mergeCell ref="N5608:N5609"/>
    <mergeCell ref="L5611:L5612"/>
    <mergeCell ref="M5611:M5612"/>
    <mergeCell ref="N5611:N5612"/>
    <mergeCell ref="J5394:J5395"/>
    <mergeCell ref="A5394:B5395"/>
    <mergeCell ref="N5501:N5502"/>
    <mergeCell ref="C5500:I5500"/>
    <mergeCell ref="A5448:B5449"/>
    <mergeCell ref="L5451:L5452"/>
    <mergeCell ref="C5499:I5499"/>
    <mergeCell ref="A5499:B5499"/>
    <mergeCell ref="A5471:J5471"/>
    <mergeCell ref="J5178:J5179"/>
    <mergeCell ref="K5448:K5449"/>
    <mergeCell ref="C5473:J5476"/>
    <mergeCell ref="A5207:B5207"/>
    <mergeCell ref="C5207:J5207"/>
    <mergeCell ref="C5208:J5208"/>
    <mergeCell ref="A5389:B5390"/>
    <mergeCell ref="A5388:B5388"/>
    <mergeCell ref="K5340:K5341"/>
    <mergeCell ref="A5392:B5392"/>
    <mergeCell ref="K5286:K5287"/>
    <mergeCell ref="L5286:L5287"/>
    <mergeCell ref="A5309:J5309"/>
    <mergeCell ref="C5284:I5284"/>
    <mergeCell ref="C5285:I5285"/>
    <mergeCell ref="C5286:I5287"/>
    <mergeCell ref="J5286:J5287"/>
    <mergeCell ref="A5442:B5442"/>
    <mergeCell ref="C5446:I5446"/>
    <mergeCell ref="A5417:J5417"/>
    <mergeCell ref="C5340:I5341"/>
    <mergeCell ref="A5281:B5282"/>
    <mergeCell ref="C5283:I5283"/>
    <mergeCell ref="A5284:B5284"/>
    <mergeCell ref="A5201:J5201"/>
    <mergeCell ref="A5203:B5203"/>
    <mergeCell ref="A5602:B5602"/>
    <mergeCell ref="J5554:J5555"/>
    <mergeCell ref="C5579:J5582"/>
    <mergeCell ref="J5501:J5502"/>
    <mergeCell ref="C5602:J5604"/>
    <mergeCell ref="A5524:J5524"/>
    <mergeCell ref="C5536:J5537"/>
    <mergeCell ref="K5501:K5502"/>
    <mergeCell ref="L5501:L5502"/>
    <mergeCell ref="C5526:J5532"/>
    <mergeCell ref="C5426:J5427"/>
    <mergeCell ref="L5448:L5449"/>
    <mergeCell ref="A5173:B5174"/>
    <mergeCell ref="C5548:J5550"/>
    <mergeCell ref="C5447:I5447"/>
    <mergeCell ref="C5419:J5421"/>
    <mergeCell ref="C5554:I5555"/>
    <mergeCell ref="A5554:B5555"/>
    <mergeCell ref="A5419:B5419"/>
    <mergeCell ref="K5394:K5395"/>
    <mergeCell ref="L5178:L5179"/>
    <mergeCell ref="C5203:J5205"/>
    <mergeCell ref="A5334:B5334"/>
    <mergeCell ref="A5363:J5363"/>
    <mergeCell ref="A5365:B5365"/>
    <mergeCell ref="C5388:J5390"/>
    <mergeCell ref="A5369:B5369"/>
    <mergeCell ref="C5393:I5393"/>
    <mergeCell ref="C5337:I5337"/>
    <mergeCell ref="K5554:K5555"/>
    <mergeCell ref="C5583:J5586"/>
    <mergeCell ref="L5394:L5395"/>
    <mergeCell ref="M5394:M5395"/>
    <mergeCell ref="A5147:J5147"/>
    <mergeCell ref="A5608:B5611"/>
    <mergeCell ref="A5176:B5176"/>
    <mergeCell ref="C5534:J5534"/>
    <mergeCell ref="A5423:B5423"/>
    <mergeCell ref="A4877:J4877"/>
    <mergeCell ref="K5608:K5609"/>
    <mergeCell ref="L5608:L5609"/>
    <mergeCell ref="A5501:B5502"/>
    <mergeCell ref="A5338:B5338"/>
    <mergeCell ref="C5338:I5338"/>
    <mergeCell ref="C5339:I5339"/>
    <mergeCell ref="A5340:B5341"/>
    <mergeCell ref="C5442:J5444"/>
    <mergeCell ref="A5119:B5120"/>
    <mergeCell ref="A5153:B5153"/>
    <mergeCell ref="A5118:B5118"/>
    <mergeCell ref="C5099:J5100"/>
    <mergeCell ref="K4968:K4969"/>
    <mergeCell ref="J5340:J5341"/>
    <mergeCell ref="M5015:M5016"/>
    <mergeCell ref="A4906:B4906"/>
    <mergeCell ref="K5611:K5612"/>
    <mergeCell ref="C5154:J5154"/>
    <mergeCell ref="C5105:J5106"/>
    <mergeCell ref="C5445:I5445"/>
    <mergeCell ref="C5552:I5552"/>
    <mergeCell ref="J5608:J5611"/>
    <mergeCell ref="C4962:I4963"/>
    <mergeCell ref="M4908:M4909"/>
    <mergeCell ref="C4908:I4909"/>
    <mergeCell ref="N3349:N3350"/>
    <mergeCell ref="N3399:N3400"/>
    <mergeCell ref="E3385:J3385"/>
    <mergeCell ref="N3402:N3403"/>
    <mergeCell ref="M3456:M3457"/>
    <mergeCell ref="M3507:M3508"/>
    <mergeCell ref="C3397:I3397"/>
    <mergeCell ref="A5603:B5604"/>
    <mergeCell ref="C5607:I5607"/>
    <mergeCell ref="A5606:B5606"/>
    <mergeCell ref="N4315:N4316"/>
    <mergeCell ref="A3476:J3476"/>
    <mergeCell ref="K3938:K3939"/>
    <mergeCell ref="A3986:B3986"/>
    <mergeCell ref="A3825:B3825"/>
    <mergeCell ref="C3825:J3827"/>
    <mergeCell ref="C3614:I3614"/>
    <mergeCell ref="A3638:J3638"/>
    <mergeCell ref="A3559:B3559"/>
    <mergeCell ref="C3609:J3611"/>
    <mergeCell ref="A3615:B3617"/>
    <mergeCell ref="M3615:M3616"/>
    <mergeCell ref="J3727:J3729"/>
    <mergeCell ref="C3559:I3559"/>
    <mergeCell ref="K4207:K4208"/>
    <mergeCell ref="A3777:B3778"/>
    <mergeCell ref="C3828:I3828"/>
    <mergeCell ref="K3783:K3784"/>
    <mergeCell ref="C4154:I4155"/>
    <mergeCell ref="A3969:B3969"/>
    <mergeCell ref="C3885:I3887"/>
    <mergeCell ref="N3507:N3508"/>
    <mergeCell ref="L3561:L3562"/>
    <mergeCell ref="A3718:B3719"/>
    <mergeCell ref="C3640:J3641"/>
    <mergeCell ref="C3586:J3587"/>
    <mergeCell ref="A3555:B3555"/>
    <mergeCell ref="L3723:L3724"/>
    <mergeCell ref="M2487:M2488"/>
    <mergeCell ref="A2591:B2591"/>
    <mergeCell ref="C2591:I2591"/>
    <mergeCell ref="A2518:B2518"/>
    <mergeCell ref="L2546:L2547"/>
    <mergeCell ref="M2646:M2647"/>
    <mergeCell ref="A2644:B2644"/>
    <mergeCell ref="A2678:B2678"/>
    <mergeCell ref="A2695:B2696"/>
    <mergeCell ref="C2700:I2701"/>
    <mergeCell ref="A2487:B2489"/>
    <mergeCell ref="J2646:J2647"/>
    <mergeCell ref="C2646:I2647"/>
    <mergeCell ref="A2669:J2669"/>
    <mergeCell ref="A2646:B2647"/>
    <mergeCell ref="C3375:J3375"/>
    <mergeCell ref="L3135:L3136"/>
    <mergeCell ref="C3052:J3055"/>
    <mergeCell ref="A2938:J2938"/>
    <mergeCell ref="C3123:J3125"/>
    <mergeCell ref="A2913:B2913"/>
    <mergeCell ref="J3346:J3347"/>
    <mergeCell ref="J3291:J3293"/>
    <mergeCell ref="C3344:I3344"/>
    <mergeCell ref="C3212:J3212"/>
    <mergeCell ref="A3236:B3238"/>
    <mergeCell ref="C2433:I2434"/>
    <mergeCell ref="C3371:J3374"/>
    <mergeCell ref="C3182:I3183"/>
    <mergeCell ref="C3181:I3181"/>
    <mergeCell ref="M3188:M3189"/>
    <mergeCell ref="M2915:M2916"/>
    <mergeCell ref="K2921:K2922"/>
    <mergeCell ref="K3182:K3183"/>
    <mergeCell ref="C3128:I3128"/>
    <mergeCell ref="J3182:J3183"/>
    <mergeCell ref="C3266:J3266"/>
    <mergeCell ref="A3205:J3205"/>
    <mergeCell ref="A3127:B3127"/>
    <mergeCell ref="C3016:J3018"/>
    <mergeCell ref="C2962:J2964"/>
    <mergeCell ref="C3075:I3075"/>
    <mergeCell ref="A3314:J3314"/>
    <mergeCell ref="C3057:J3058"/>
    <mergeCell ref="C3074:I3074"/>
    <mergeCell ref="L3349:L3350"/>
    <mergeCell ref="C2859:I2859"/>
    <mergeCell ref="K2861:K2862"/>
    <mergeCell ref="K3294:K3295"/>
    <mergeCell ref="A3182:B3183"/>
    <mergeCell ref="C2890:J2891"/>
    <mergeCell ref="A3180:B3180"/>
    <mergeCell ref="A3070:B3070"/>
    <mergeCell ref="C3290:I3290"/>
    <mergeCell ref="C3126:I3126"/>
    <mergeCell ref="A2859:B2859"/>
    <mergeCell ref="C3022:I3023"/>
    <mergeCell ref="C3005:J3006"/>
    <mergeCell ref="N2433:N2434"/>
    <mergeCell ref="A2240:J2240"/>
    <mergeCell ref="N2223:N2224"/>
    <mergeCell ref="C2251:J2251"/>
    <mergeCell ref="N2271:N2272"/>
    <mergeCell ref="C2250:J2250"/>
    <mergeCell ref="A2325:B2326"/>
    <mergeCell ref="C2379:I2380"/>
    <mergeCell ref="J2379:J2380"/>
    <mergeCell ref="A2402:J2402"/>
    <mergeCell ref="C2265:J2267"/>
    <mergeCell ref="A2266:B2267"/>
    <mergeCell ref="L2325:L2326"/>
    <mergeCell ref="M2271:M2272"/>
    <mergeCell ref="K2277:K2278"/>
    <mergeCell ref="L2277:L2278"/>
    <mergeCell ref="A2354:B2354"/>
    <mergeCell ref="C2427:J2429"/>
    <mergeCell ref="C2325:I2326"/>
    <mergeCell ref="K2379:K2380"/>
    <mergeCell ref="L2379:L2380"/>
    <mergeCell ref="M2379:M2380"/>
    <mergeCell ref="N2379:N2380"/>
    <mergeCell ref="M2274:M2275"/>
    <mergeCell ref="N2277:N2278"/>
    <mergeCell ref="M2223:M2224"/>
    <mergeCell ref="N2325:N2326"/>
    <mergeCell ref="L2331:L2332"/>
    <mergeCell ref="N2331:N2332"/>
    <mergeCell ref="C2322:I2322"/>
    <mergeCell ref="L2223:L2224"/>
    <mergeCell ref="K2223:K2224"/>
    <mergeCell ref="A2001:B2001"/>
    <mergeCell ref="A2215:B2215"/>
    <mergeCell ref="C2214:I2214"/>
    <mergeCell ref="A2197:B2197"/>
    <mergeCell ref="C2109:I2109"/>
    <mergeCell ref="C2033:J2033"/>
    <mergeCell ref="N2006:N2007"/>
    <mergeCell ref="K2111:K2112"/>
    <mergeCell ref="A2109:B2109"/>
    <mergeCell ref="J2111:J2112"/>
    <mergeCell ref="C2248:J2249"/>
    <mergeCell ref="C2220:I2221"/>
    <mergeCell ref="C2271:I2272"/>
    <mergeCell ref="A2269:B2269"/>
    <mergeCell ref="N2220:N2221"/>
    <mergeCell ref="C2247:J2247"/>
    <mergeCell ref="J2220:J2221"/>
    <mergeCell ref="A2111:B2112"/>
    <mergeCell ref="L2220:L2221"/>
    <mergeCell ref="N2111:N2112"/>
    <mergeCell ref="N2117:N2118"/>
    <mergeCell ref="K2117:K2118"/>
    <mergeCell ref="N2009:N2010"/>
    <mergeCell ref="A2026:J2026"/>
    <mergeCell ref="A2212:B2213"/>
    <mergeCell ref="J2217:J2218"/>
    <mergeCell ref="K2171:K2172"/>
    <mergeCell ref="L2171:L2172"/>
    <mergeCell ref="M2171:M2172"/>
    <mergeCell ref="C2159:J2161"/>
    <mergeCell ref="A2163:B2163"/>
    <mergeCell ref="A2134:J2134"/>
    <mergeCell ref="A2217:B2218"/>
    <mergeCell ref="N1949:N1950"/>
    <mergeCell ref="C2164:I2164"/>
    <mergeCell ref="L2111:L2112"/>
    <mergeCell ref="A2106:B2107"/>
    <mergeCell ref="L1898:L1899"/>
    <mergeCell ref="N2217:N2218"/>
    <mergeCell ref="M2009:M2010"/>
    <mergeCell ref="K2009:K2010"/>
    <mergeCell ref="C2217:I2218"/>
    <mergeCell ref="L2117:L2118"/>
    <mergeCell ref="C2006:I2007"/>
    <mergeCell ref="C2028:J2031"/>
    <mergeCell ref="M2117:M2118"/>
    <mergeCell ref="J1949:J1950"/>
    <mergeCell ref="A1943:B1943"/>
    <mergeCell ref="A1918:J1918"/>
    <mergeCell ref="C2140:J2140"/>
    <mergeCell ref="C1948:I1948"/>
    <mergeCell ref="C1978:J1978"/>
    <mergeCell ref="A2105:B2105"/>
    <mergeCell ref="A1997:B1997"/>
    <mergeCell ref="L1955:L1956"/>
    <mergeCell ref="A2159:B2159"/>
    <mergeCell ref="K2165:K2166"/>
    <mergeCell ref="L2165:L2166"/>
    <mergeCell ref="J2165:J2166"/>
    <mergeCell ref="A1998:B1999"/>
    <mergeCell ref="A2033:B2033"/>
    <mergeCell ref="C2163:I2163"/>
    <mergeCell ref="C2197:J2197"/>
    <mergeCell ref="C2110:I2110"/>
    <mergeCell ref="N1895:N1896"/>
    <mergeCell ref="K1949:K1950"/>
    <mergeCell ref="C1889:J1891"/>
    <mergeCell ref="K1895:K1896"/>
    <mergeCell ref="L2003:L2004"/>
    <mergeCell ref="L1895:L1896"/>
    <mergeCell ref="C2000:I2000"/>
    <mergeCell ref="J1895:J1896"/>
    <mergeCell ref="C1949:I1950"/>
    <mergeCell ref="C1925:J1925"/>
    <mergeCell ref="K1901:K1902"/>
    <mergeCell ref="C1898:I1899"/>
    <mergeCell ref="J1898:J1899"/>
    <mergeCell ref="A1901:B1902"/>
    <mergeCell ref="M1901:M1902"/>
    <mergeCell ref="M1949:M1950"/>
    <mergeCell ref="C1892:I1892"/>
    <mergeCell ref="A1972:J1972"/>
    <mergeCell ref="N1898:N1899"/>
    <mergeCell ref="N1904:N1905"/>
    <mergeCell ref="N1901:N1902"/>
    <mergeCell ref="J2003:J2004"/>
    <mergeCell ref="C2001:I2001"/>
    <mergeCell ref="A1944:B1945"/>
    <mergeCell ref="N2003:N2004"/>
    <mergeCell ref="C1901:I1902"/>
    <mergeCell ref="K2003:K2004"/>
    <mergeCell ref="C1997:J1999"/>
    <mergeCell ref="A1929:B1929"/>
    <mergeCell ref="N1955:N1956"/>
    <mergeCell ref="M1955:M1956"/>
    <mergeCell ref="M1898:M1899"/>
    <mergeCell ref="N991:N992"/>
    <mergeCell ref="C1093:I1093"/>
    <mergeCell ref="J991:J992"/>
    <mergeCell ref="C1022:J1024"/>
    <mergeCell ref="K997:K998"/>
    <mergeCell ref="M1094:M1095"/>
    <mergeCell ref="K991:K992"/>
    <mergeCell ref="L1100:L1101"/>
    <mergeCell ref="J1094:J1095"/>
    <mergeCell ref="L1047:L1048"/>
    <mergeCell ref="A1064:J1064"/>
    <mergeCell ref="K1094:K1095"/>
    <mergeCell ref="A1088:B1088"/>
    <mergeCell ref="C1041:I1043"/>
    <mergeCell ref="C1078:J1078"/>
    <mergeCell ref="C1066:J1076"/>
    <mergeCell ref="C1039:I1039"/>
    <mergeCell ref="L997:L998"/>
    <mergeCell ref="M997:M998"/>
    <mergeCell ref="N997:N998"/>
    <mergeCell ref="C1094:I1095"/>
    <mergeCell ref="A1039:B1039"/>
    <mergeCell ref="J1041:J1043"/>
    <mergeCell ref="L994:L995"/>
    <mergeCell ref="C1035:J1037"/>
    <mergeCell ref="N994:N995"/>
    <mergeCell ref="M1041:M1042"/>
    <mergeCell ref="M994:M995"/>
    <mergeCell ref="A994:B995"/>
    <mergeCell ref="A1094:B1095"/>
    <mergeCell ref="K1041:K1042"/>
    <mergeCell ref="L1041:L1042"/>
    <mergeCell ref="M947:M948"/>
    <mergeCell ref="C1038:I1038"/>
    <mergeCell ref="A1035:B1035"/>
    <mergeCell ref="C989:I989"/>
    <mergeCell ref="C969:J969"/>
    <mergeCell ref="C971:J976"/>
    <mergeCell ref="C939:I939"/>
    <mergeCell ref="A964:J964"/>
    <mergeCell ref="M991:M992"/>
    <mergeCell ref="A1014:J1014"/>
    <mergeCell ref="L887:L888"/>
    <mergeCell ref="C917:J919"/>
    <mergeCell ref="K941:K942"/>
    <mergeCell ref="A939:B939"/>
    <mergeCell ref="C940:I940"/>
    <mergeCell ref="C887:I888"/>
    <mergeCell ref="L947:L948"/>
    <mergeCell ref="A989:B989"/>
    <mergeCell ref="C988:I988"/>
    <mergeCell ref="C990:I990"/>
    <mergeCell ref="C941:I942"/>
    <mergeCell ref="A985:B985"/>
    <mergeCell ref="A986:B987"/>
    <mergeCell ref="L991:L992"/>
    <mergeCell ref="K994:K995"/>
    <mergeCell ref="A991:B992"/>
    <mergeCell ref="C991:I992"/>
    <mergeCell ref="A1036:B1037"/>
    <mergeCell ref="M941:M942"/>
    <mergeCell ref="N676:N677"/>
    <mergeCell ref="C860:J860"/>
    <mergeCell ref="C830:I830"/>
    <mergeCell ref="C827:J829"/>
    <mergeCell ref="C994:I995"/>
    <mergeCell ref="J994:J995"/>
    <mergeCell ref="J833:J834"/>
    <mergeCell ref="K833:K834"/>
    <mergeCell ref="A828:B829"/>
    <mergeCell ref="M724:M725"/>
    <mergeCell ref="N839:N840"/>
    <mergeCell ref="N724:N725"/>
    <mergeCell ref="K724:K725"/>
    <mergeCell ref="N778:N779"/>
    <mergeCell ref="N887:N888"/>
    <mergeCell ref="N893:N894"/>
    <mergeCell ref="A827:B827"/>
    <mergeCell ref="C985:J987"/>
    <mergeCell ref="N730:N731"/>
    <mergeCell ref="K730:K731"/>
    <mergeCell ref="L730:L731"/>
    <mergeCell ref="A773:B774"/>
    <mergeCell ref="A881:B881"/>
    <mergeCell ref="C966:J967"/>
    <mergeCell ref="A778:B779"/>
    <mergeCell ref="C881:J883"/>
    <mergeCell ref="A882:B883"/>
    <mergeCell ref="C915:J915"/>
    <mergeCell ref="C884:I884"/>
    <mergeCell ref="A885:B885"/>
    <mergeCell ref="C885:I885"/>
    <mergeCell ref="C886:I886"/>
    <mergeCell ref="L673:L674"/>
    <mergeCell ref="A856:J856"/>
    <mergeCell ref="C938:I938"/>
    <mergeCell ref="M778:M779"/>
    <mergeCell ref="K784:K785"/>
    <mergeCell ref="L784:L785"/>
    <mergeCell ref="M784:M785"/>
    <mergeCell ref="L833:L834"/>
    <mergeCell ref="K839:K840"/>
    <mergeCell ref="L839:L840"/>
    <mergeCell ref="M839:M840"/>
    <mergeCell ref="L941:L942"/>
    <mergeCell ref="C862:J865"/>
    <mergeCell ref="M670:M671"/>
    <mergeCell ref="M673:M674"/>
    <mergeCell ref="C698:J700"/>
    <mergeCell ref="K778:K779"/>
    <mergeCell ref="C858:J858"/>
    <mergeCell ref="A722:B722"/>
    <mergeCell ref="A776:B776"/>
    <mergeCell ref="C935:J937"/>
    <mergeCell ref="A831:B831"/>
    <mergeCell ref="L778:L779"/>
    <mergeCell ref="C664:J666"/>
    <mergeCell ref="A664:B664"/>
    <mergeCell ref="J941:J942"/>
    <mergeCell ref="A668:B668"/>
    <mergeCell ref="M887:M888"/>
    <mergeCell ref="M893:M894"/>
    <mergeCell ref="C776:I776"/>
    <mergeCell ref="C772:J774"/>
    <mergeCell ref="A941:B942"/>
    <mergeCell ref="K887:K888"/>
    <mergeCell ref="A887:B888"/>
    <mergeCell ref="C833:I834"/>
    <mergeCell ref="N784:N785"/>
    <mergeCell ref="M560:M561"/>
    <mergeCell ref="N560:N561"/>
    <mergeCell ref="A589:B589"/>
    <mergeCell ref="C724:I725"/>
    <mergeCell ref="J724:J725"/>
    <mergeCell ref="M833:M834"/>
    <mergeCell ref="M615:M616"/>
    <mergeCell ref="M676:M677"/>
    <mergeCell ref="A613:B613"/>
    <mergeCell ref="K560:K561"/>
    <mergeCell ref="C589:J589"/>
    <mergeCell ref="A638:J638"/>
    <mergeCell ref="K673:K674"/>
    <mergeCell ref="A910:J910"/>
    <mergeCell ref="K670:K671"/>
    <mergeCell ref="A772:B772"/>
    <mergeCell ref="L724:L725"/>
    <mergeCell ref="A935:B935"/>
    <mergeCell ref="A936:B937"/>
    <mergeCell ref="A615:B616"/>
    <mergeCell ref="C646:J647"/>
    <mergeCell ref="K676:K677"/>
    <mergeCell ref="L670:L671"/>
    <mergeCell ref="A670:B671"/>
    <mergeCell ref="K615:K616"/>
    <mergeCell ref="C912:J913"/>
    <mergeCell ref="C831:I831"/>
    <mergeCell ref="C832:I832"/>
    <mergeCell ref="A833:B834"/>
    <mergeCell ref="J887:J888"/>
    <mergeCell ref="C557:I557"/>
    <mergeCell ref="A558:B558"/>
    <mergeCell ref="J615:J616"/>
    <mergeCell ref="A643:B643"/>
    <mergeCell ref="C615:I616"/>
    <mergeCell ref="C643:J643"/>
    <mergeCell ref="C612:I612"/>
    <mergeCell ref="A610:B611"/>
    <mergeCell ref="C585:J587"/>
    <mergeCell ref="K893:K894"/>
    <mergeCell ref="C670:I671"/>
    <mergeCell ref="C749:J750"/>
    <mergeCell ref="A747:J747"/>
    <mergeCell ref="C722:I722"/>
    <mergeCell ref="A718:B718"/>
    <mergeCell ref="A693:J693"/>
    <mergeCell ref="C702:J704"/>
    <mergeCell ref="C614:I614"/>
    <mergeCell ref="C640:J641"/>
    <mergeCell ref="C559:I559"/>
    <mergeCell ref="C645:J645"/>
    <mergeCell ref="N673:N674"/>
    <mergeCell ref="N670:N671"/>
    <mergeCell ref="J670:J671"/>
    <mergeCell ref="C667:I667"/>
    <mergeCell ref="A665:B666"/>
    <mergeCell ref="N615:N616"/>
    <mergeCell ref="L615:L616"/>
    <mergeCell ref="L893:L894"/>
    <mergeCell ref="M505:M506"/>
    <mergeCell ref="N505:N506"/>
    <mergeCell ref="A534:B534"/>
    <mergeCell ref="C534:J534"/>
    <mergeCell ref="C536:J536"/>
    <mergeCell ref="L505:L506"/>
    <mergeCell ref="A483:B483"/>
    <mergeCell ref="C476:J478"/>
    <mergeCell ref="M508:M509"/>
    <mergeCell ref="K511:K512"/>
    <mergeCell ref="L511:L512"/>
    <mergeCell ref="M730:M731"/>
    <mergeCell ref="A724:B725"/>
    <mergeCell ref="L676:L677"/>
    <mergeCell ref="C669:I669"/>
    <mergeCell ref="L560:L561"/>
    <mergeCell ref="C591:J591"/>
    <mergeCell ref="A560:B561"/>
    <mergeCell ref="C560:I561"/>
    <mergeCell ref="J560:J561"/>
    <mergeCell ref="C592:J593"/>
    <mergeCell ref="C558:I558"/>
    <mergeCell ref="A609:B609"/>
    <mergeCell ref="C723:I723"/>
    <mergeCell ref="A420:J420"/>
    <mergeCell ref="C426:J426"/>
    <mergeCell ref="A583:J583"/>
    <mergeCell ref="A554:B554"/>
    <mergeCell ref="C554:J556"/>
    <mergeCell ref="N451:N452"/>
    <mergeCell ref="M511:M512"/>
    <mergeCell ref="N511:N512"/>
    <mergeCell ref="A474:J474"/>
    <mergeCell ref="N508:N509"/>
    <mergeCell ref="C445:J447"/>
    <mergeCell ref="C480:J481"/>
    <mergeCell ref="A508:B509"/>
    <mergeCell ref="C504:I504"/>
    <mergeCell ref="L342:L343"/>
    <mergeCell ref="C537:J538"/>
    <mergeCell ref="C448:I448"/>
    <mergeCell ref="A445:B445"/>
    <mergeCell ref="A428:B428"/>
    <mergeCell ref="C502:I502"/>
    <mergeCell ref="C428:J428"/>
    <mergeCell ref="C450:I450"/>
    <mergeCell ref="A451:B452"/>
    <mergeCell ref="C451:I452"/>
    <mergeCell ref="J451:J452"/>
    <mergeCell ref="A505:B506"/>
    <mergeCell ref="C505:I506"/>
    <mergeCell ref="J505:J506"/>
    <mergeCell ref="J511:J512"/>
    <mergeCell ref="K505:K506"/>
    <mergeCell ref="L508:L509"/>
    <mergeCell ref="C432:J433"/>
    <mergeCell ref="C342:I343"/>
    <mergeCell ref="J342:J343"/>
    <mergeCell ref="A375:B375"/>
    <mergeCell ref="C372:J373"/>
    <mergeCell ref="C375:J375"/>
    <mergeCell ref="C376:J378"/>
    <mergeCell ref="A528:J528"/>
    <mergeCell ref="C92:J94"/>
    <mergeCell ref="C284:I284"/>
    <mergeCell ref="C281:J283"/>
    <mergeCell ref="A365:J365"/>
    <mergeCell ref="C320:J322"/>
    <mergeCell ref="C312:J314"/>
    <mergeCell ref="C316:J317"/>
    <mergeCell ref="A340:B340"/>
    <mergeCell ref="A337:B338"/>
    <mergeCell ref="A116:B116"/>
    <mergeCell ref="C116:J118"/>
    <mergeCell ref="C174:I174"/>
    <mergeCell ref="A175:B175"/>
    <mergeCell ref="C175:I175"/>
    <mergeCell ref="C176:I176"/>
    <mergeCell ref="A177:B178"/>
    <mergeCell ref="C177:I178"/>
    <mergeCell ref="J177:J178"/>
    <mergeCell ref="A117:B118"/>
    <mergeCell ref="C119:I119"/>
    <mergeCell ref="A120:B120"/>
    <mergeCell ref="C120:I120"/>
    <mergeCell ref="C449:I449"/>
    <mergeCell ref="A446:B447"/>
    <mergeCell ref="A395:B395"/>
    <mergeCell ref="A62:B63"/>
    <mergeCell ref="C37:J41"/>
    <mergeCell ref="M12:M13"/>
    <mergeCell ref="M67:M68"/>
    <mergeCell ref="J12:J13"/>
    <mergeCell ref="L12:L13"/>
    <mergeCell ref="A285:B285"/>
    <mergeCell ref="A342:B343"/>
    <mergeCell ref="A1:B4"/>
    <mergeCell ref="C1:I1"/>
    <mergeCell ref="C2:I4"/>
    <mergeCell ref="A6:B6"/>
    <mergeCell ref="C6:J8"/>
    <mergeCell ref="A7:B8"/>
    <mergeCell ref="A10:B10"/>
    <mergeCell ref="C10:I10"/>
    <mergeCell ref="C9:I9"/>
    <mergeCell ref="A35:J35"/>
    <mergeCell ref="C11:I11"/>
    <mergeCell ref="A12:B13"/>
    <mergeCell ref="C12:I13"/>
    <mergeCell ref="C286:I286"/>
    <mergeCell ref="A287:B288"/>
    <mergeCell ref="C287:I288"/>
    <mergeCell ref="C43:J44"/>
    <mergeCell ref="C65:I65"/>
    <mergeCell ref="A65:B65"/>
    <mergeCell ref="A96:B96"/>
    <mergeCell ref="C46:J49"/>
    <mergeCell ref="C64:I64"/>
    <mergeCell ref="C66:I66"/>
    <mergeCell ref="A67:B68"/>
    <mergeCell ref="C67:I68"/>
    <mergeCell ref="J67:J68"/>
    <mergeCell ref="C285:I285"/>
    <mergeCell ref="M342:M343"/>
    <mergeCell ref="C336:J338"/>
    <mergeCell ref="C391:J393"/>
    <mergeCell ref="M397:M398"/>
    <mergeCell ref="C61:J63"/>
    <mergeCell ref="A61:B61"/>
    <mergeCell ref="C367:J370"/>
    <mergeCell ref="N12:N13"/>
    <mergeCell ref="K287:K288"/>
    <mergeCell ref="L287:L288"/>
    <mergeCell ref="A801:J801"/>
    <mergeCell ref="M287:M288"/>
    <mergeCell ref="N287:N288"/>
    <mergeCell ref="A499:B499"/>
    <mergeCell ref="C668:I668"/>
    <mergeCell ref="C499:J501"/>
    <mergeCell ref="A500:B501"/>
    <mergeCell ref="C718:J720"/>
    <mergeCell ref="A719:B720"/>
    <mergeCell ref="C721:I721"/>
    <mergeCell ref="K67:K68"/>
    <mergeCell ref="L67:L68"/>
    <mergeCell ref="A281:B281"/>
    <mergeCell ref="C319:J319"/>
    <mergeCell ref="C503:I503"/>
    <mergeCell ref="A397:B398"/>
    <mergeCell ref="C397:I398"/>
    <mergeCell ref="J397:J398"/>
    <mergeCell ref="C339:I339"/>
    <mergeCell ref="K342:K343"/>
    <mergeCell ref="C394:I394"/>
    <mergeCell ref="A1843:B1844"/>
    <mergeCell ref="C2111:I2112"/>
    <mergeCell ref="A2188:J2188"/>
    <mergeCell ref="C2162:I2162"/>
    <mergeCell ref="C2165:I2166"/>
    <mergeCell ref="C2215:I2215"/>
    <mergeCell ref="C2534:J2536"/>
    <mergeCell ref="C396:I396"/>
    <mergeCell ref="A1710:B1710"/>
    <mergeCell ref="C484:J486"/>
    <mergeCell ref="C50:J50"/>
    <mergeCell ref="A336:B336"/>
    <mergeCell ref="C483:J483"/>
    <mergeCell ref="K12:K13"/>
    <mergeCell ref="C96:J96"/>
    <mergeCell ref="J287:J288"/>
    <mergeCell ref="C340:I340"/>
    <mergeCell ref="C341:I341"/>
    <mergeCell ref="A282:B283"/>
    <mergeCell ref="C422:J424"/>
    <mergeCell ref="K1789:K1790"/>
    <mergeCell ref="C1946:I1946"/>
    <mergeCell ref="A1837:B1837"/>
    <mergeCell ref="C2216:I2216"/>
    <mergeCell ref="K451:K452"/>
    <mergeCell ref="K397:K398"/>
    <mergeCell ref="C511:I512"/>
    <mergeCell ref="C530:J532"/>
    <mergeCell ref="K508:K509"/>
    <mergeCell ref="C810:J810"/>
    <mergeCell ref="C395:I395"/>
    <mergeCell ref="A391:B391"/>
    <mergeCell ref="A392:B393"/>
    <mergeCell ref="L397:L398"/>
    <mergeCell ref="N67:N68"/>
    <mergeCell ref="A530:B530"/>
    <mergeCell ref="A319:B319"/>
    <mergeCell ref="C429:J431"/>
    <mergeCell ref="N342:N343"/>
    <mergeCell ref="N397:N398"/>
    <mergeCell ref="A511:B512"/>
    <mergeCell ref="A90:J90"/>
    <mergeCell ref="A310:J310"/>
    <mergeCell ref="A449:B449"/>
    <mergeCell ref="N833:N834"/>
    <mergeCell ref="A503:B503"/>
    <mergeCell ref="C752:J752"/>
    <mergeCell ref="C613:I613"/>
    <mergeCell ref="C609:J611"/>
    <mergeCell ref="C754:J756"/>
    <mergeCell ref="J778:J779"/>
    <mergeCell ref="C695:J696"/>
    <mergeCell ref="A555:B556"/>
    <mergeCell ref="C777:I777"/>
    <mergeCell ref="A781:B782"/>
    <mergeCell ref="C781:I782"/>
    <mergeCell ref="J781:J782"/>
    <mergeCell ref="C803:J808"/>
    <mergeCell ref="C812:J812"/>
    <mergeCell ref="C778:I779"/>
    <mergeCell ref="C815:J817"/>
    <mergeCell ref="C775:I775"/>
    <mergeCell ref="C2354:J2354"/>
    <mergeCell ref="A2855:B2855"/>
    <mergeCell ref="C2540:I2542"/>
    <mergeCell ref="J2325:J2326"/>
    <mergeCell ref="C2805:I2805"/>
    <mergeCell ref="C2624:J2624"/>
    <mergeCell ref="C2645:I2645"/>
    <mergeCell ref="C2622:J2622"/>
    <mergeCell ref="C2484:I2484"/>
    <mergeCell ref="A2778:B2778"/>
    <mergeCell ref="C2303:J2303"/>
    <mergeCell ref="A2301:B2301"/>
    <mergeCell ref="C2404:J2406"/>
    <mergeCell ref="C2807:I2808"/>
    <mergeCell ref="C2518:J2518"/>
    <mergeCell ref="C2481:J2483"/>
    <mergeCell ref="A2374:B2375"/>
    <mergeCell ref="C2512:J2516"/>
    <mergeCell ref="C2520:J2522"/>
    <mergeCell ref="A2747:B2747"/>
    <mergeCell ref="C2319:J2321"/>
    <mergeCell ref="A2408:B2408"/>
    <mergeCell ref="C2408:J2408"/>
    <mergeCell ref="C2674:J2676"/>
    <mergeCell ref="C2678:J2678"/>
    <mergeCell ref="A2428:B2429"/>
    <mergeCell ref="J2487:J2489"/>
    <mergeCell ref="C2699:I2699"/>
    <mergeCell ref="C2486:I2486"/>
    <mergeCell ref="A2377:B2377"/>
    <mergeCell ref="C2377:I2377"/>
    <mergeCell ref="A2510:J2510"/>
    <mergeCell ref="C2274:I2275"/>
    <mergeCell ref="C2350:J2352"/>
    <mergeCell ref="A2721:J2721"/>
    <mergeCell ref="C2537:I2537"/>
    <mergeCell ref="C2565:J2569"/>
    <mergeCell ref="M3236:M3237"/>
    <mergeCell ref="C3289:I3289"/>
    <mergeCell ref="A3022:B3023"/>
    <mergeCell ref="K3076:K3077"/>
    <mergeCell ref="K3022:K3023"/>
    <mergeCell ref="C3213:J3213"/>
    <mergeCell ref="A3099:J3099"/>
    <mergeCell ref="C3076:I3077"/>
    <mergeCell ref="C3073:I3073"/>
    <mergeCell ref="C3450:I3450"/>
    <mergeCell ref="C2105:J2107"/>
    <mergeCell ref="A2538:B2538"/>
    <mergeCell ref="A2534:B2534"/>
    <mergeCell ref="C2469:J2470"/>
    <mergeCell ref="C2640:J2642"/>
    <mergeCell ref="C2593:I2594"/>
    <mergeCell ref="A2641:B2642"/>
    <mergeCell ref="A2588:B2589"/>
    <mergeCell ref="A2456:J2456"/>
    <mergeCell ref="A2427:B2427"/>
    <mergeCell ref="A2373:B2373"/>
    <mergeCell ref="A2910:B2911"/>
    <mergeCell ref="A2886:B2886"/>
    <mergeCell ref="C3285:J3287"/>
    <mergeCell ref="C2861:I2862"/>
    <mergeCell ref="C3349:I3350"/>
    <mergeCell ref="C3340:J3342"/>
    <mergeCell ref="C3127:I3127"/>
    <mergeCell ref="K3352:K3353"/>
    <mergeCell ref="L2921:L2922"/>
    <mergeCell ref="L3239:L3240"/>
    <mergeCell ref="A3071:B3072"/>
    <mergeCell ref="N3453:N3454"/>
    <mergeCell ref="L3405:L3406"/>
    <mergeCell ref="C3427:J3427"/>
    <mergeCell ref="K3405:K3406"/>
    <mergeCell ref="M3408:M3409"/>
    <mergeCell ref="N3405:N3406"/>
    <mergeCell ref="N3731:N3732"/>
    <mergeCell ref="N3885:N3886"/>
    <mergeCell ref="N3831:N3832"/>
    <mergeCell ref="C3345:I3345"/>
    <mergeCell ref="C3180:I3180"/>
    <mergeCell ref="A3076:B3077"/>
    <mergeCell ref="C3129:I3130"/>
    <mergeCell ref="L2968:L2969"/>
    <mergeCell ref="J3453:J3454"/>
    <mergeCell ref="C3589:J3589"/>
    <mergeCell ref="A3507:B3509"/>
    <mergeCell ref="C3507:I3509"/>
    <mergeCell ref="N2974:N2975"/>
    <mergeCell ref="C3447:J3449"/>
    <mergeCell ref="C3560:I3560"/>
    <mergeCell ref="A3451:B3451"/>
    <mergeCell ref="L3453:L3454"/>
    <mergeCell ref="C3532:J3533"/>
    <mergeCell ref="C3561:I3563"/>
    <mergeCell ref="A3584:J3584"/>
    <mergeCell ref="N3346:N3347"/>
    <mergeCell ref="N3188:N3189"/>
    <mergeCell ref="N3408:N3409"/>
    <mergeCell ref="A3422:J3422"/>
    <mergeCell ref="N3777:N3778"/>
    <mergeCell ref="C3774:I3774"/>
    <mergeCell ref="A3775:B3775"/>
    <mergeCell ref="M3783:M3784"/>
    <mergeCell ref="M3938:M3939"/>
    <mergeCell ref="L3938:L3939"/>
    <mergeCell ref="J3723:J3725"/>
    <mergeCell ref="N3780:N3781"/>
    <mergeCell ref="M3777:M3778"/>
    <mergeCell ref="N3938:N3939"/>
    <mergeCell ref="L3783:L3784"/>
    <mergeCell ref="A3936:B3936"/>
    <mergeCell ref="D3755:J3757"/>
    <mergeCell ref="J3885:J3887"/>
    <mergeCell ref="C3720:I3720"/>
    <mergeCell ref="J3669:J3671"/>
    <mergeCell ref="A3908:J3908"/>
    <mergeCell ref="J3783:J3784"/>
    <mergeCell ref="C3759:J3759"/>
    <mergeCell ref="C3932:J3934"/>
    <mergeCell ref="A3727:B3729"/>
    <mergeCell ref="A3859:B3859"/>
    <mergeCell ref="A3829:B3829"/>
    <mergeCell ref="A3854:J3854"/>
    <mergeCell ref="C3883:I3883"/>
    <mergeCell ref="A3771:B3771"/>
    <mergeCell ref="A3717:B3717"/>
    <mergeCell ref="L3831:L3832"/>
    <mergeCell ref="M3831:M3832"/>
    <mergeCell ref="C3937:I3937"/>
    <mergeCell ref="C3802:J3804"/>
    <mergeCell ref="C3811:J3811"/>
    <mergeCell ref="D3752:J3754"/>
    <mergeCell ref="L3731:L3732"/>
    <mergeCell ref="A4098:B4098"/>
    <mergeCell ref="C4098:I4098"/>
    <mergeCell ref="C4240:J4241"/>
    <mergeCell ref="A4238:B4238"/>
    <mergeCell ref="C4152:I4152"/>
    <mergeCell ref="K4154:K4155"/>
    <mergeCell ref="C4313:I4313"/>
    <mergeCell ref="K4315:K4316"/>
    <mergeCell ref="A4310:B4311"/>
    <mergeCell ref="A4309:B4309"/>
    <mergeCell ref="A4205:B4205"/>
    <mergeCell ref="A4100:B4101"/>
    <mergeCell ref="A4177:J4177"/>
    <mergeCell ref="C4151:I4151"/>
    <mergeCell ref="C4132:J4132"/>
    <mergeCell ref="A4148:B4148"/>
    <mergeCell ref="C4148:J4150"/>
    <mergeCell ref="J4154:J4155"/>
    <mergeCell ref="L4261:L4262"/>
    <mergeCell ref="D3807:J3809"/>
    <mergeCell ref="C4099:I4099"/>
    <mergeCell ref="A3831:B3832"/>
    <mergeCell ref="C3831:I3832"/>
    <mergeCell ref="A4152:B4152"/>
    <mergeCell ref="C3731:I3733"/>
    <mergeCell ref="J3777:J3778"/>
    <mergeCell ref="K3831:K3832"/>
    <mergeCell ref="N3783:N3784"/>
    <mergeCell ref="C3921:J3921"/>
    <mergeCell ref="C3935:I3935"/>
    <mergeCell ref="N3992:N3993"/>
    <mergeCell ref="A4015:J4015"/>
    <mergeCell ref="A4094:B4094"/>
    <mergeCell ref="C3990:I3990"/>
    <mergeCell ref="C3991:I3991"/>
    <mergeCell ref="D4127:J4129"/>
    <mergeCell ref="C3992:I3993"/>
    <mergeCell ref="C4097:I4097"/>
    <mergeCell ref="M4478:M4479"/>
    <mergeCell ref="N4154:N4155"/>
    <mergeCell ref="C4315:I4316"/>
    <mergeCell ref="C4259:I4259"/>
    <mergeCell ref="M4207:M4208"/>
    <mergeCell ref="A4256:B4257"/>
    <mergeCell ref="C4179:J4180"/>
    <mergeCell ref="M4154:M4155"/>
    <mergeCell ref="C4134:J4134"/>
    <mergeCell ref="C4201:J4203"/>
    <mergeCell ref="A4202:B4203"/>
    <mergeCell ref="L4268:P4268"/>
    <mergeCell ref="C4309:J4311"/>
    <mergeCell ref="C4232:J4236"/>
    <mergeCell ref="N4207:N4208"/>
    <mergeCell ref="A4207:B4209"/>
    <mergeCell ref="A4201:B4201"/>
    <mergeCell ref="A4345:B4345"/>
    <mergeCell ref="A4123:J4123"/>
    <mergeCell ref="L4154:L4155"/>
    <mergeCell ref="C4153:I4153"/>
    <mergeCell ref="L4207:L4208"/>
    <mergeCell ref="C4258:I4258"/>
    <mergeCell ref="C4204:I4204"/>
    <mergeCell ref="C4207:I4209"/>
    <mergeCell ref="C4206:I4206"/>
    <mergeCell ref="C4238:J4238"/>
    <mergeCell ref="C4242:J4242"/>
    <mergeCell ref="A4255:B4255"/>
    <mergeCell ref="L4586:L4587"/>
    <mergeCell ref="C4519:J4523"/>
    <mergeCell ref="C4516:J4518"/>
    <mergeCell ref="J4586:J4587"/>
    <mergeCell ref="A4551:J4551"/>
    <mergeCell ref="K4586:K4587"/>
    <mergeCell ref="C4611:J4613"/>
    <mergeCell ref="A4335:J4335"/>
    <mergeCell ref="A4472:B4472"/>
    <mergeCell ref="C4345:J4347"/>
    <mergeCell ref="A4419:B4420"/>
    <mergeCell ref="C4205:I4205"/>
    <mergeCell ref="A4284:J4284"/>
    <mergeCell ref="M4261:M4262"/>
    <mergeCell ref="C4261:I4262"/>
    <mergeCell ref="C4312:I4312"/>
    <mergeCell ref="A4535:B4536"/>
    <mergeCell ref="M4483:M4484"/>
    <mergeCell ref="C4408:J4408"/>
    <mergeCell ref="C4531:I4531"/>
    <mergeCell ref="C4477:I4477"/>
    <mergeCell ref="A4447:J4447"/>
    <mergeCell ref="A4584:B4584"/>
    <mergeCell ref="M4698:M4699"/>
    <mergeCell ref="L4800:L4801"/>
    <mergeCell ref="A4693:B4694"/>
    <mergeCell ref="K4746:K4747"/>
    <mergeCell ref="C4573:D4573"/>
    <mergeCell ref="A4532:B4533"/>
    <mergeCell ref="C4532:I4533"/>
    <mergeCell ref="A4476:B4476"/>
    <mergeCell ref="C4569:D4569"/>
    <mergeCell ref="C4564:J4565"/>
    <mergeCell ref="A4635:B4636"/>
    <mergeCell ref="C4617:J4619"/>
    <mergeCell ref="J4478:J4480"/>
    <mergeCell ref="J4532:J4533"/>
    <mergeCell ref="A4774:B4774"/>
    <mergeCell ref="L4532:L4533"/>
    <mergeCell ref="L4483:L4484"/>
    <mergeCell ref="C4368:I4368"/>
    <mergeCell ref="J4370:J4371"/>
    <mergeCell ref="C4404:J4404"/>
    <mergeCell ref="A4687:B4687"/>
    <mergeCell ref="L4640:L4641"/>
    <mergeCell ref="C4553:J4556"/>
    <mergeCell ref="C4395:J4402"/>
    <mergeCell ref="K4693:K4694"/>
    <mergeCell ref="C4511:J4512"/>
    <mergeCell ref="K4424:K4425"/>
    <mergeCell ref="A4672:B4672"/>
    <mergeCell ref="A4615:B4615"/>
    <mergeCell ref="C4669:J4670"/>
    <mergeCell ref="C4583:I4583"/>
    <mergeCell ref="C4620:J4621"/>
    <mergeCell ref="C4687:J4689"/>
    <mergeCell ref="A4688:B4689"/>
    <mergeCell ref="C4586:I4587"/>
    <mergeCell ref="A4586:B4587"/>
    <mergeCell ref="C4351:J4351"/>
    <mergeCell ref="C4352:J4353"/>
    <mergeCell ref="C4637:I4637"/>
    <mergeCell ref="C4691:I4691"/>
    <mergeCell ref="C4639:I4639"/>
    <mergeCell ref="K4478:K4479"/>
    <mergeCell ref="C5588:J5588"/>
    <mergeCell ref="C4744:I4744"/>
    <mergeCell ref="C5553:I5553"/>
    <mergeCell ref="C5551:I5551"/>
    <mergeCell ref="A5446:B5446"/>
    <mergeCell ref="N4746:N4747"/>
    <mergeCell ref="N5178:N5179"/>
    <mergeCell ref="C5605:I5605"/>
    <mergeCell ref="C5606:I5606"/>
    <mergeCell ref="N4488:N4489"/>
    <mergeCell ref="N4535:N4536"/>
    <mergeCell ref="N4478:N4479"/>
    <mergeCell ref="N4483:N4484"/>
    <mergeCell ref="A4580:B4580"/>
    <mergeCell ref="C4314:I4314"/>
    <mergeCell ref="C4449:J4451"/>
    <mergeCell ref="C4453:J4453"/>
    <mergeCell ref="A4478:B4480"/>
    <mergeCell ref="A4663:J4663"/>
    <mergeCell ref="A4422:B4422"/>
    <mergeCell ref="C4409:J4410"/>
    <mergeCell ref="C4367:I4367"/>
    <mergeCell ref="J4971:J4972"/>
    <mergeCell ref="C4478:I4480"/>
    <mergeCell ref="C4370:I4371"/>
    <mergeCell ref="L4746:L4747"/>
    <mergeCell ref="A4364:B4364"/>
    <mergeCell ref="M4693:M4694"/>
    <mergeCell ref="C4770:J4772"/>
    <mergeCell ref="A4749:B4750"/>
    <mergeCell ref="C4725:J4727"/>
    <mergeCell ref="C4740:J4742"/>
    <mergeCell ref="A4823:J4823"/>
    <mergeCell ref="C4798:I4798"/>
    <mergeCell ref="A4794:B4794"/>
    <mergeCell ref="C4423:I4423"/>
    <mergeCell ref="C4584:I4584"/>
    <mergeCell ref="J4488:J4490"/>
    <mergeCell ref="C4577:J4578"/>
    <mergeCell ref="C4575:J4576"/>
    <mergeCell ref="C4634:J4636"/>
    <mergeCell ref="C4690:I4690"/>
    <mergeCell ref="A5068:B5068"/>
    <mergeCell ref="C4995:J4995"/>
    <mergeCell ref="C4422:I4422"/>
    <mergeCell ref="A4740:B4740"/>
    <mergeCell ref="C4906:I4906"/>
    <mergeCell ref="C4907:I4907"/>
    <mergeCell ref="A4640:B4641"/>
    <mergeCell ref="A4832:B4832"/>
    <mergeCell ref="A4527:B4528"/>
    <mergeCell ref="C4530:I4530"/>
    <mergeCell ref="C4848:J4850"/>
    <mergeCell ref="A4849:B4850"/>
    <mergeCell ref="C4933:J4935"/>
    <mergeCell ref="A4902:B4902"/>
    <mergeCell ref="C4640:I4641"/>
    <mergeCell ref="A4609:J4609"/>
    <mergeCell ref="C4615:J4615"/>
    <mergeCell ref="C4638:I4638"/>
    <mergeCell ref="A4638:B4638"/>
    <mergeCell ref="C4723:J4723"/>
    <mergeCell ref="A4744:B4744"/>
    <mergeCell ref="A4722:B4722"/>
    <mergeCell ref="C5175:I5175"/>
    <mergeCell ref="A4499:J4499"/>
    <mergeCell ref="A4424:B4425"/>
    <mergeCell ref="A4852:B4852"/>
    <mergeCell ref="A4903:B4904"/>
    <mergeCell ref="C4902:J4904"/>
    <mergeCell ref="C4853:I4853"/>
    <mergeCell ref="A4854:B4855"/>
    <mergeCell ref="C4722:J4722"/>
    <mergeCell ref="A4741:B4742"/>
    <mergeCell ref="A5013:B5013"/>
    <mergeCell ref="A4725:B4725"/>
    <mergeCell ref="C4956:J4958"/>
    <mergeCell ref="C4879:J4882"/>
    <mergeCell ref="C5176:I5176"/>
    <mergeCell ref="C5177:I5177"/>
    <mergeCell ref="K5178:K5179"/>
    <mergeCell ref="A5178:B5179"/>
    <mergeCell ref="A5015:B5016"/>
    <mergeCell ref="C5015:I5016"/>
    <mergeCell ref="A4908:B4909"/>
    <mergeCell ref="C4799:I4799"/>
    <mergeCell ref="J4800:J4801"/>
    <mergeCell ref="C4971:I4972"/>
    <mergeCell ref="A4965:B4966"/>
    <mergeCell ref="C5045:J5045"/>
    <mergeCell ref="A5093:J5093"/>
    <mergeCell ref="C5068:I5068"/>
    <mergeCell ref="A5149:B5149"/>
    <mergeCell ref="J4749:J4750"/>
    <mergeCell ref="C5013:I5013"/>
    <mergeCell ref="C5014:I5014"/>
    <mergeCell ref="C5124:I5125"/>
    <mergeCell ref="K4971:K4972"/>
    <mergeCell ref="A4960:B4960"/>
    <mergeCell ref="K5124:K5125"/>
    <mergeCell ref="C4854:I4855"/>
    <mergeCell ref="C5123:I5123"/>
    <mergeCell ref="C4851:I4851"/>
    <mergeCell ref="K4908:K4909"/>
    <mergeCell ref="A4962:B4963"/>
    <mergeCell ref="C5172:J5174"/>
    <mergeCell ref="C4825:J4830"/>
    <mergeCell ref="A4848:B4848"/>
    <mergeCell ref="K4854:K4855"/>
    <mergeCell ref="A4884:B4884"/>
    <mergeCell ref="A5631:J5631"/>
    <mergeCell ref="J4100:J4101"/>
    <mergeCell ref="C4475:I4475"/>
    <mergeCell ref="A5588:B5588"/>
    <mergeCell ref="C4665:J4668"/>
    <mergeCell ref="C4297:J4298"/>
    <mergeCell ref="C4794:J4796"/>
    <mergeCell ref="C4852:I4852"/>
    <mergeCell ref="A4746:B4747"/>
    <mergeCell ref="D4130:J4131"/>
    <mergeCell ref="A5172:B5172"/>
    <mergeCell ref="C4418:J4420"/>
    <mergeCell ref="C4476:I4476"/>
    <mergeCell ref="C4832:J4833"/>
    <mergeCell ref="A4825:B4825"/>
    <mergeCell ref="C5423:J5424"/>
    <mergeCell ref="C5334:J5336"/>
    <mergeCell ref="A5335:B5336"/>
    <mergeCell ref="A5124:B5125"/>
    <mergeCell ref="C4905:I4905"/>
    <mergeCell ref="A4957:B4958"/>
    <mergeCell ref="A4956:B4956"/>
    <mergeCell ref="C4884:J4884"/>
    <mergeCell ref="N4749:N4750"/>
    <mergeCell ref="L4424:L4425"/>
    <mergeCell ref="K5504:K5505"/>
    <mergeCell ref="L4315:L4316"/>
    <mergeCell ref="M3780:M3781"/>
    <mergeCell ref="M5451:M5452"/>
    <mergeCell ref="A4993:B4993"/>
    <mergeCell ref="K4100:K4101"/>
    <mergeCell ref="C4424:I4425"/>
    <mergeCell ref="N5504:N5505"/>
    <mergeCell ref="L4589:L4590"/>
    <mergeCell ref="L4693:L4694"/>
    <mergeCell ref="C4692:I4692"/>
    <mergeCell ref="C4749:I4750"/>
    <mergeCell ref="C4672:J4672"/>
    <mergeCell ref="C4570:D4570"/>
    <mergeCell ref="L5504:L5505"/>
    <mergeCell ref="M4488:M4489"/>
    <mergeCell ref="C5498:I5498"/>
    <mergeCell ref="A5064:B5064"/>
    <mergeCell ref="A5038:J5038"/>
    <mergeCell ref="C5040:J5042"/>
    <mergeCell ref="A5045:B5045"/>
    <mergeCell ref="C5121:I5121"/>
    <mergeCell ref="J4908:J4909"/>
    <mergeCell ref="C5069:I5069"/>
    <mergeCell ref="A5070:B5071"/>
    <mergeCell ref="M5501:M5502"/>
    <mergeCell ref="C5103:J5104"/>
    <mergeCell ref="M5178:M5179"/>
    <mergeCell ref="K4261:K4262"/>
    <mergeCell ref="J4424:J4425"/>
    <mergeCell ref="C4616:J4616"/>
    <mergeCell ref="C4411:J4415"/>
    <mergeCell ref="K4640:K4641"/>
    <mergeCell ref="A2160:B2161"/>
    <mergeCell ref="M2006:M2007"/>
    <mergeCell ref="K4488:K4489"/>
    <mergeCell ref="L4488:L4489"/>
    <mergeCell ref="C4349:J4350"/>
    <mergeCell ref="C4529:I4529"/>
    <mergeCell ref="C4337:J4343"/>
    <mergeCell ref="C4571:D4571"/>
    <mergeCell ref="C3748:J3751"/>
    <mergeCell ref="C4568:D4568"/>
    <mergeCell ref="C4299:J4299"/>
    <mergeCell ref="C4562:J4563"/>
    <mergeCell ref="C4524:J4524"/>
    <mergeCell ref="C4559:J4561"/>
    <mergeCell ref="C4535:I4536"/>
    <mergeCell ref="A2271:B2272"/>
    <mergeCell ref="C4501:J4508"/>
    <mergeCell ref="K4370:K4371"/>
    <mergeCell ref="C4558:J4558"/>
    <mergeCell ref="K4483:K4484"/>
    <mergeCell ref="C3936:I3936"/>
    <mergeCell ref="C5178:I5179"/>
    <mergeCell ref="A5122:B5122"/>
    <mergeCell ref="A4182:B4182"/>
    <mergeCell ref="C2269:I2269"/>
    <mergeCell ref="C2304:J2305"/>
    <mergeCell ref="J2274:J2275"/>
    <mergeCell ref="C2296:J2299"/>
    <mergeCell ref="M2190:R2195"/>
    <mergeCell ref="M2111:M2112"/>
    <mergeCell ref="A4530:B4530"/>
    <mergeCell ref="C2590:I2590"/>
    <mergeCell ref="A2294:J2294"/>
    <mergeCell ref="A2319:B2319"/>
    <mergeCell ref="A3447:B3447"/>
    <mergeCell ref="A3609:B3609"/>
    <mergeCell ref="A3561:B3563"/>
    <mergeCell ref="C4354:J4358"/>
    <mergeCell ref="C4421:I4421"/>
    <mergeCell ref="C4364:J4366"/>
    <mergeCell ref="A4313:B4313"/>
    <mergeCell ref="M4315:M4316"/>
    <mergeCell ref="C2912:I2912"/>
    <mergeCell ref="A2884:J2884"/>
    <mergeCell ref="C2966:I2966"/>
    <mergeCell ref="A4095:B4096"/>
    <mergeCell ref="C3989:I3989"/>
    <mergeCell ref="A3731:B3733"/>
    <mergeCell ref="M3885:M3886"/>
    <mergeCell ref="A4488:B4490"/>
    <mergeCell ref="C4488:I4490"/>
    <mergeCell ref="A4368:B4368"/>
    <mergeCell ref="J4261:J4262"/>
    <mergeCell ref="C4293:J4295"/>
    <mergeCell ref="N4370:N4371"/>
    <mergeCell ref="C4260:I4260"/>
    <mergeCell ref="N4586:N4587"/>
    <mergeCell ref="N4589:N4590"/>
    <mergeCell ref="M4424:M4425"/>
    <mergeCell ref="N4424:N4425"/>
    <mergeCell ref="N4532:N4533"/>
    <mergeCell ref="A4483:B4485"/>
    <mergeCell ref="A4259:B4259"/>
    <mergeCell ref="N4261:N4262"/>
    <mergeCell ref="C4580:J4582"/>
    <mergeCell ref="M4535:M4536"/>
    <mergeCell ref="A4581:B4582"/>
    <mergeCell ref="C3387:J3390"/>
    <mergeCell ref="C3399:I3400"/>
    <mergeCell ref="M451:M452"/>
    <mergeCell ref="L451:L452"/>
    <mergeCell ref="C508:I509"/>
    <mergeCell ref="J508:J509"/>
    <mergeCell ref="L4478:L4479"/>
    <mergeCell ref="L4370:L4371"/>
    <mergeCell ref="A4365:B4366"/>
    <mergeCell ref="M1576:M1577"/>
    <mergeCell ref="M1843:M1844"/>
    <mergeCell ref="C1894:I1894"/>
    <mergeCell ref="A1949:B1950"/>
    <mergeCell ref="C1872:J1872"/>
    <mergeCell ref="A1890:B1891"/>
    <mergeCell ref="C1893:I1893"/>
    <mergeCell ref="A4261:B4262"/>
    <mergeCell ref="A4154:B4155"/>
    <mergeCell ref="A4149:B4150"/>
    <mergeCell ref="A4230:J4230"/>
    <mergeCell ref="N2057:N2058"/>
    <mergeCell ref="N2063:N2064"/>
    <mergeCell ref="C4100:I4101"/>
    <mergeCell ref="C4043:I4043"/>
    <mergeCell ref="A4044:B4044"/>
    <mergeCell ref="C4079:J4079"/>
    <mergeCell ref="L4046:L4047"/>
    <mergeCell ref="M4046:M4047"/>
    <mergeCell ref="A3291:B3293"/>
    <mergeCell ref="C3721:I3721"/>
    <mergeCell ref="A3698:B3698"/>
    <mergeCell ref="A3349:B3350"/>
    <mergeCell ref="C3490:J3490"/>
    <mergeCell ref="C3504:I3504"/>
    <mergeCell ref="A3505:B3505"/>
    <mergeCell ref="L3992:L3993"/>
    <mergeCell ref="K3731:K3732"/>
    <mergeCell ref="J3731:J3733"/>
    <mergeCell ref="A3987:B3988"/>
    <mergeCell ref="A3990:B3990"/>
    <mergeCell ref="A3783:B3784"/>
    <mergeCell ref="C3783:I3784"/>
    <mergeCell ref="M3402:M3403"/>
    <mergeCell ref="A3721:B3721"/>
    <mergeCell ref="M4100:M4101"/>
    <mergeCell ref="C3986:J3988"/>
    <mergeCell ref="A4040:B4040"/>
    <mergeCell ref="C4040:J4042"/>
    <mergeCell ref="A4041:B4042"/>
    <mergeCell ref="A2080:J2080"/>
    <mergeCell ref="C4094:J4096"/>
    <mergeCell ref="C3780:I3781"/>
    <mergeCell ref="N4100:N4101"/>
    <mergeCell ref="C2082:J2084"/>
    <mergeCell ref="A2086:B2086"/>
    <mergeCell ref="C2086:J2086"/>
    <mergeCell ref="A2051:B2051"/>
    <mergeCell ref="C2051:J2053"/>
    <mergeCell ref="A2052:B2053"/>
    <mergeCell ref="C2054:I2054"/>
    <mergeCell ref="A2055:B2055"/>
    <mergeCell ref="C2055:I2055"/>
    <mergeCell ref="C2056:I2056"/>
    <mergeCell ref="A2057:B2058"/>
    <mergeCell ref="C2057:I2058"/>
    <mergeCell ref="J2057:J2058"/>
    <mergeCell ref="K2057:K2058"/>
    <mergeCell ref="L2057:L2058"/>
    <mergeCell ref="M2057:M2058"/>
    <mergeCell ref="K2063:K2064"/>
    <mergeCell ref="L2063:L2064"/>
    <mergeCell ref="M2063:M2064"/>
  </mergeCells>
  <phoneticPr fontId="26" type="noConversion"/>
  <printOptions horizontalCentered="1"/>
  <pageMargins left="0.51181102362204722" right="0.51181102362204722" top="0.43307086614173229" bottom="0.59055118110236215" header="0.31496062992125984" footer="0.31496062992125984"/>
  <pageSetup paperSize="9" scale="92" orientation="portrait" r:id="rId1"/>
  <headerFooter>
    <oddFooter>&amp;L&amp;G&amp;C&amp;"Arial,Negrito itálico"Página &amp;P de &amp;N&amp;R&amp;G</oddFooter>
  </headerFooter>
  <rowBreaks count="104" manualBreakCount="104">
    <brk id="60" max="16383" man="1"/>
    <brk id="115" max="9" man="1"/>
    <brk id="170" max="9" man="1"/>
    <brk id="225" max="9" man="1"/>
    <brk id="280" max="16383" man="1"/>
    <brk id="335" max="9" man="1"/>
    <brk id="390" max="16383" man="1"/>
    <brk id="444" max="16383" man="1"/>
    <brk id="498" max="11" man="1"/>
    <brk id="553" max="9" man="1"/>
    <brk id="608" max="11" man="1"/>
    <brk id="663" max="16383" man="1"/>
    <brk id="717" max="16383" man="1"/>
    <brk id="771" max="16383" man="1"/>
    <brk id="826" max="11" man="1"/>
    <brk id="880" max="11" man="1"/>
    <brk id="934" max="11" man="1"/>
    <brk id="984" max="11" man="1"/>
    <brk id="1034" max="11" man="1"/>
    <brk id="1087" max="11" man="1"/>
    <brk id="1141" max="11" man="1"/>
    <brk id="1194" max="16383" man="1"/>
    <brk id="1248" max="11" man="1"/>
    <brk id="1302" max="11" man="1"/>
    <brk id="1356" max="16383" man="1"/>
    <brk id="1409" max="16383" man="1"/>
    <brk id="1460" max="11" man="1"/>
    <brk id="1512" max="11" man="1"/>
    <brk id="1566" max="11" man="1"/>
    <brk id="1620" max="11" man="1"/>
    <brk id="1674" max="11" man="1"/>
    <brk id="1728" max="11" man="1"/>
    <brk id="1782" max="16383" man="1"/>
    <brk id="1836" max="16383" man="1"/>
    <brk id="1888" max="16383" man="1"/>
    <brk id="1942" max="11" man="1"/>
    <brk id="1996" max="11" man="1"/>
    <brk id="2050" max="9" man="1"/>
    <brk id="2104" max="11" man="1"/>
    <brk id="2158" max="11" man="1"/>
    <brk id="2210" max="11" man="1"/>
    <brk id="2264" max="11" man="1"/>
    <brk id="2318" max="11" man="1"/>
    <brk id="2372" max="11" man="1"/>
    <brk id="2426" max="11" man="1"/>
    <brk id="2480" max="11" man="1"/>
    <brk id="2533" max="11" man="1"/>
    <brk id="2586" max="11" man="1"/>
    <brk id="2639" max="11" man="1"/>
    <brk id="2693" max="11" man="1"/>
    <brk id="2746" max="11" man="1"/>
    <brk id="2800" max="11" man="1"/>
    <brk id="2854" max="16383" man="1"/>
    <brk id="2908" max="11" man="1"/>
    <brk id="2961" max="16383" man="1"/>
    <brk id="3015" max="16383" man="1"/>
    <brk id="3069" max="11" man="1"/>
    <brk id="3122" max="16383" man="1"/>
    <brk id="3175" max="16383" man="1"/>
    <brk id="3229" max="11" man="1"/>
    <brk id="3284" max="11" man="1"/>
    <brk id="3339" max="9" man="1"/>
    <brk id="3392" max="11" man="1"/>
    <brk id="3446" max="16383" man="1"/>
    <brk id="3500" max="11" man="1"/>
    <brk id="3554" max="16383" man="1"/>
    <brk id="3608" max="11" man="1"/>
    <brk id="3662" max="11" man="1"/>
    <brk id="3716" max="11" man="1"/>
    <brk id="3770" max="11" man="1"/>
    <brk id="3824" max="11" man="1"/>
    <brk id="3878" max="11" man="1"/>
    <brk id="3931" max="16383" man="1"/>
    <brk id="3985" max="11" man="1"/>
    <brk id="4039" max="9" man="1"/>
    <brk id="4093" max="11" man="1"/>
    <brk id="4147" max="11" man="1"/>
    <brk id="4200" max="11" man="1"/>
    <brk id="4254" max="11" man="1"/>
    <brk id="4308" max="11" man="1"/>
    <brk id="4363" max="16383" man="1"/>
    <brk id="4417" max="11" man="1"/>
    <brk id="4471" max="16383" man="1"/>
    <brk id="4525" max="16383" man="1"/>
    <brk id="4579" max="11" man="1"/>
    <brk id="4633" max="16383" man="1"/>
    <brk id="4686" max="11" man="1"/>
    <brk id="4739" max="16383" man="1"/>
    <brk id="4793" max="16383" man="1"/>
    <brk id="4847" max="16383" man="1"/>
    <brk id="4901" max="9" man="1"/>
    <brk id="4955" max="11" man="1"/>
    <brk id="5008" max="11" man="1"/>
    <brk id="5063" max="11" man="1"/>
    <brk id="5117" max="11" man="1"/>
    <brk id="5171" max="11" man="1"/>
    <brk id="5225" max="9" man="1"/>
    <brk id="5279" max="9" man="1"/>
    <brk id="5333" max="11" man="1"/>
    <brk id="5387" max="11" man="1"/>
    <brk id="5441" max="16383" man="1"/>
    <brk id="5494" max="11" man="1"/>
    <brk id="5547" max="16383" man="1"/>
    <brk id="5601" max="11" man="1"/>
  </rowBreaks>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IT52"/>
  <sheetViews>
    <sheetView view="pageBreakPreview" topLeftCell="A10" zoomScale="90" zoomScaleNormal="100" zoomScaleSheetLayoutView="90" workbookViewId="0">
      <selection activeCell="D33" sqref="D33"/>
    </sheetView>
  </sheetViews>
  <sheetFormatPr defaultRowHeight="12.75" x14ac:dyDescent="0.2"/>
  <cols>
    <col min="1" max="1" width="10.5703125" style="112" customWidth="1"/>
    <col min="2" max="2" width="73.140625" style="112" customWidth="1"/>
    <col min="3" max="3" width="12.85546875" style="112" customWidth="1"/>
    <col min="4" max="4" width="13.28515625" style="112" customWidth="1"/>
    <col min="5" max="254" width="9.140625" style="112"/>
  </cols>
  <sheetData>
    <row r="1" spans="1:5" s="4" customFormat="1" ht="12.75" customHeight="1" x14ac:dyDescent="0.2">
      <c r="A1" s="581" t="s">
        <v>56</v>
      </c>
      <c r="B1" s="581"/>
      <c r="C1" s="581"/>
      <c r="D1" s="581"/>
    </row>
    <row r="2" spans="1:5" s="4" customFormat="1" ht="12.75" customHeight="1" x14ac:dyDescent="0.2">
      <c r="A2" s="581"/>
      <c r="B2" s="581"/>
      <c r="C2" s="581"/>
      <c r="D2" s="581"/>
    </row>
    <row r="3" spans="1:5" s="4" customFormat="1" ht="12.75" customHeight="1" x14ac:dyDescent="0.2">
      <c r="A3" s="581"/>
      <c r="B3" s="581"/>
      <c r="C3" s="581"/>
      <c r="D3" s="581"/>
    </row>
    <row r="4" spans="1:5" s="4" customFormat="1" ht="12.75" customHeight="1" x14ac:dyDescent="0.2">
      <c r="A4" s="581"/>
      <c r="B4" s="581"/>
      <c r="C4" s="581"/>
      <c r="D4" s="581"/>
    </row>
    <row r="5" spans="1:5" s="4" customFormat="1" ht="3" customHeight="1" x14ac:dyDescent="0.2">
      <c r="A5" s="580"/>
      <c r="B5" s="580"/>
      <c r="C5" s="580"/>
      <c r="D5" s="320"/>
    </row>
    <row r="6" spans="1:5" s="4" customFormat="1" ht="7.5" customHeight="1" x14ac:dyDescent="0.2">
      <c r="A6" s="582" t="s">
        <v>57</v>
      </c>
      <c r="B6" s="582"/>
      <c r="C6" s="582"/>
      <c r="D6" s="582"/>
    </row>
    <row r="7" spans="1:5" s="4" customFormat="1" ht="6.75" customHeight="1" x14ac:dyDescent="0.2">
      <c r="A7" s="582"/>
      <c r="B7" s="582"/>
      <c r="C7" s="582"/>
      <c r="D7" s="582"/>
    </row>
    <row r="8" spans="1:5" s="4" customFormat="1" x14ac:dyDescent="0.2">
      <c r="A8" s="49"/>
      <c r="B8" s="50"/>
      <c r="C8" s="49"/>
      <c r="D8" s="49"/>
    </row>
    <row r="9" spans="1:5" s="4" customFormat="1" ht="9" customHeight="1" x14ac:dyDescent="0.2">
      <c r="A9" s="583" t="s">
        <v>1025</v>
      </c>
      <c r="B9" s="583"/>
      <c r="C9" s="583"/>
      <c r="D9" s="583"/>
    </row>
    <row r="10" spans="1:5" s="4" customFormat="1" x14ac:dyDescent="0.2">
      <c r="A10" s="49"/>
      <c r="B10" s="50"/>
      <c r="C10" s="49"/>
      <c r="D10" s="49"/>
    </row>
    <row r="11" spans="1:5" s="4" customFormat="1" ht="28.5" customHeight="1" thickBot="1" x14ac:dyDescent="0.25">
      <c r="A11" s="584" t="str">
        <f>'A IV.A'!A7</f>
        <v>EXECUÇÃO DE SERVIÇO DE REFORMA CIVIL, CONSTRUÇÕES E MANUTENÇÕES GERAIS  PARA MELHORIAS NAS ÁREAS DE PROPRIEDADE E/OU DE RESPONSABILIDADE DO SEMAE.</v>
      </c>
      <c r="B11" s="584"/>
      <c r="C11" s="584"/>
      <c r="D11" s="584"/>
    </row>
    <row r="12" spans="1:5" ht="13.5" customHeight="1" x14ac:dyDescent="0.2">
      <c r="A12" s="585" t="s">
        <v>49</v>
      </c>
      <c r="B12" s="588" t="s">
        <v>50</v>
      </c>
      <c r="C12" s="594" t="s">
        <v>51</v>
      </c>
      <c r="D12" s="595"/>
    </row>
    <row r="13" spans="1:5" ht="14.25" x14ac:dyDescent="0.2">
      <c r="A13" s="586"/>
      <c r="B13" s="589"/>
      <c r="C13" s="21" t="s">
        <v>52</v>
      </c>
      <c r="D13" s="22" t="s">
        <v>52</v>
      </c>
    </row>
    <row r="14" spans="1:5" ht="13.5" thickBot="1" x14ac:dyDescent="0.25">
      <c r="A14" s="587"/>
      <c r="B14" s="590"/>
      <c r="C14" s="23" t="s">
        <v>906</v>
      </c>
      <c r="D14" s="24" t="s">
        <v>907</v>
      </c>
    </row>
    <row r="15" spans="1:5" ht="20.100000000000001" customHeight="1" x14ac:dyDescent="0.2">
      <c r="A15" s="591" t="s">
        <v>43</v>
      </c>
      <c r="B15" s="25"/>
      <c r="C15" s="245">
        <v>0.2</v>
      </c>
      <c r="D15" s="26">
        <v>0.2</v>
      </c>
      <c r="E15" s="112" t="s">
        <v>908</v>
      </c>
    </row>
    <row r="16" spans="1:5" ht="20.100000000000001" customHeight="1" x14ac:dyDescent="0.2">
      <c r="A16" s="592"/>
      <c r="B16" s="27"/>
      <c r="C16" s="246">
        <v>1.4999999999999999E-2</v>
      </c>
      <c r="D16" s="26">
        <v>1.4999999999999999E-2</v>
      </c>
      <c r="E16" s="112" t="s">
        <v>909</v>
      </c>
    </row>
    <row r="17" spans="1:5" ht="20.100000000000001" customHeight="1" x14ac:dyDescent="0.2">
      <c r="A17" s="592"/>
      <c r="B17" s="27"/>
      <c r="C17" s="246">
        <v>0.01</v>
      </c>
      <c r="D17" s="26">
        <v>0.01</v>
      </c>
      <c r="E17" s="112" t="s">
        <v>910</v>
      </c>
    </row>
    <row r="18" spans="1:5" ht="20.100000000000001" customHeight="1" x14ac:dyDescent="0.2">
      <c r="A18" s="592"/>
      <c r="B18" s="27"/>
      <c r="C18" s="246">
        <v>2E-3</v>
      </c>
      <c r="D18" s="26">
        <v>2E-3</v>
      </c>
      <c r="E18" s="112" t="s">
        <v>911</v>
      </c>
    </row>
    <row r="19" spans="1:5" ht="20.100000000000001" customHeight="1" x14ac:dyDescent="0.2">
      <c r="A19" s="592"/>
      <c r="B19" s="27"/>
      <c r="C19" s="246">
        <v>6.0000000000000001E-3</v>
      </c>
      <c r="D19" s="26">
        <v>6.0000000000000001E-3</v>
      </c>
      <c r="E19" s="112" t="s">
        <v>912</v>
      </c>
    </row>
    <row r="20" spans="1:5" ht="20.100000000000001" customHeight="1" x14ac:dyDescent="0.2">
      <c r="A20" s="592"/>
      <c r="B20" s="27"/>
      <c r="C20" s="246">
        <v>2.5000000000000001E-2</v>
      </c>
      <c r="D20" s="26">
        <v>2.5000000000000001E-2</v>
      </c>
      <c r="E20" s="112" t="s">
        <v>913</v>
      </c>
    </row>
    <row r="21" spans="1:5" ht="20.100000000000001" customHeight="1" x14ac:dyDescent="0.2">
      <c r="A21" s="592"/>
      <c r="B21" s="27"/>
      <c r="C21" s="246">
        <v>0.03</v>
      </c>
      <c r="D21" s="26">
        <v>0.03</v>
      </c>
      <c r="E21" s="112" t="s">
        <v>914</v>
      </c>
    </row>
    <row r="22" spans="1:5" ht="20.100000000000001" customHeight="1" x14ac:dyDescent="0.2">
      <c r="A22" s="592"/>
      <c r="B22" s="27"/>
      <c r="C22" s="246">
        <v>0.08</v>
      </c>
      <c r="D22" s="26">
        <v>0.08</v>
      </c>
      <c r="E22" s="112" t="s">
        <v>915</v>
      </c>
    </row>
    <row r="23" spans="1:5" ht="20.100000000000001" customHeight="1" x14ac:dyDescent="0.2">
      <c r="A23" s="592"/>
      <c r="B23" s="27"/>
      <c r="C23" s="246">
        <v>0.01</v>
      </c>
      <c r="D23" s="26">
        <v>0.01</v>
      </c>
      <c r="E23" s="112" t="s">
        <v>916</v>
      </c>
    </row>
    <row r="24" spans="1:5" ht="20.100000000000001" customHeight="1" thickBot="1" x14ac:dyDescent="0.25">
      <c r="A24" s="593"/>
      <c r="B24" s="28"/>
      <c r="C24" s="247">
        <f>ROUND(SUM(C15:C23),4)</f>
        <v>0.378</v>
      </c>
      <c r="D24" s="29">
        <f>ROUND(SUM(D15:D23),4)</f>
        <v>0.378</v>
      </c>
      <c r="E24" s="112" t="s">
        <v>917</v>
      </c>
    </row>
    <row r="25" spans="1:5" ht="20.100000000000001" customHeight="1" x14ac:dyDescent="0.2">
      <c r="A25" s="591" t="s">
        <v>45</v>
      </c>
      <c r="B25" s="30" t="s">
        <v>918</v>
      </c>
      <c r="C25" s="245">
        <v>0.1797</v>
      </c>
      <c r="D25" s="31" t="s">
        <v>940</v>
      </c>
      <c r="E25" s="112" t="s">
        <v>918</v>
      </c>
    </row>
    <row r="26" spans="1:5" ht="20.100000000000001" customHeight="1" x14ac:dyDescent="0.2">
      <c r="A26" s="592"/>
      <c r="B26" s="32" t="s">
        <v>919</v>
      </c>
      <c r="C26" s="246">
        <v>4.6899999999999997E-2</v>
      </c>
      <c r="D26" s="33" t="s">
        <v>940</v>
      </c>
      <c r="E26" s="112" t="s">
        <v>919</v>
      </c>
    </row>
    <row r="27" spans="1:5" ht="20.100000000000001" customHeight="1" x14ac:dyDescent="0.2">
      <c r="A27" s="592"/>
      <c r="B27" s="32" t="s">
        <v>920</v>
      </c>
      <c r="C27" s="246">
        <v>8.6E-3</v>
      </c>
      <c r="D27" s="26">
        <v>6.6E-3</v>
      </c>
      <c r="E27" s="112" t="s">
        <v>920</v>
      </c>
    </row>
    <row r="28" spans="1:5" ht="20.100000000000001" customHeight="1" x14ac:dyDescent="0.2">
      <c r="A28" s="592"/>
      <c r="B28" s="32" t="s">
        <v>921</v>
      </c>
      <c r="C28" s="246">
        <v>0.1089</v>
      </c>
      <c r="D28" s="26">
        <v>8.3299999999999999E-2</v>
      </c>
      <c r="E28" s="112" t="s">
        <v>921</v>
      </c>
    </row>
    <row r="29" spans="1:5" ht="20.100000000000001" customHeight="1" x14ac:dyDescent="0.2">
      <c r="A29" s="592"/>
      <c r="B29" s="32" t="s">
        <v>922</v>
      </c>
      <c r="C29" s="246">
        <v>6.9999999999999999E-4</v>
      </c>
      <c r="D29" s="26">
        <v>5.9999999999999995E-4</v>
      </c>
      <c r="E29" s="112" t="s">
        <v>922</v>
      </c>
    </row>
    <row r="30" spans="1:5" ht="20.100000000000001" customHeight="1" x14ac:dyDescent="0.2">
      <c r="A30" s="592"/>
      <c r="B30" s="32" t="s">
        <v>923</v>
      </c>
      <c r="C30" s="246">
        <v>7.3000000000000001E-3</v>
      </c>
      <c r="D30" s="26">
        <v>5.5999999999999999E-3</v>
      </c>
      <c r="E30" s="112" t="s">
        <v>923</v>
      </c>
    </row>
    <row r="31" spans="1:5" ht="20.100000000000001" customHeight="1" x14ac:dyDescent="0.2">
      <c r="A31" s="592"/>
      <c r="B31" s="32" t="s">
        <v>924</v>
      </c>
      <c r="C31" s="246">
        <v>1.32E-2</v>
      </c>
      <c r="D31" s="33" t="s">
        <v>940</v>
      </c>
      <c r="E31" s="112" t="s">
        <v>924</v>
      </c>
    </row>
    <row r="32" spans="1:5" ht="20.100000000000001" customHeight="1" x14ac:dyDescent="0.2">
      <c r="A32" s="592"/>
      <c r="B32" s="32" t="s">
        <v>925</v>
      </c>
      <c r="C32" s="246">
        <v>1E-3</v>
      </c>
      <c r="D32" s="26">
        <v>8.0000000000000004E-4</v>
      </c>
      <c r="E32" s="112" t="s">
        <v>925</v>
      </c>
    </row>
    <row r="33" spans="1:5" ht="20.100000000000001" customHeight="1" x14ac:dyDescent="0.2">
      <c r="A33" s="592"/>
      <c r="B33" s="32" t="s">
        <v>926</v>
      </c>
      <c r="C33" s="246">
        <v>9.1399999999999995E-2</v>
      </c>
      <c r="D33" s="26">
        <v>6.9900000000000004E-2</v>
      </c>
      <c r="E33" s="112" t="s">
        <v>926</v>
      </c>
    </row>
    <row r="34" spans="1:5" ht="20.100000000000001" customHeight="1" x14ac:dyDescent="0.2">
      <c r="A34" s="592"/>
      <c r="B34" s="32" t="s">
        <v>927</v>
      </c>
      <c r="C34" s="246">
        <v>2.9999999999999997E-4</v>
      </c>
      <c r="D34" s="26">
        <v>2.0000000000000001E-4</v>
      </c>
      <c r="E34" s="112" t="s">
        <v>927</v>
      </c>
    </row>
    <row r="35" spans="1:5" ht="20.100000000000001" customHeight="1" thickBot="1" x14ac:dyDescent="0.25">
      <c r="A35" s="593"/>
      <c r="B35" s="34" t="s">
        <v>928</v>
      </c>
      <c r="C35" s="248">
        <f>SUM(C25:C34)</f>
        <v>0.45799999999999991</v>
      </c>
      <c r="D35" s="35">
        <f>SUM(D25:D34)</f>
        <v>0.16700000000000001</v>
      </c>
      <c r="E35" s="112" t="s">
        <v>928</v>
      </c>
    </row>
    <row r="36" spans="1:5" ht="20.100000000000001" customHeight="1" x14ac:dyDescent="0.2">
      <c r="A36" s="591" t="s">
        <v>46</v>
      </c>
      <c r="B36" s="30" t="s">
        <v>929</v>
      </c>
      <c r="C36" s="245">
        <v>4.7600000000000003E-2</v>
      </c>
      <c r="D36" s="36">
        <v>3.6400000000000002E-2</v>
      </c>
      <c r="E36" s="112" t="s">
        <v>929</v>
      </c>
    </row>
    <row r="37" spans="1:5" ht="20.100000000000001" customHeight="1" x14ac:dyDescent="0.2">
      <c r="A37" s="592"/>
      <c r="B37" s="32" t="s">
        <v>930</v>
      </c>
      <c r="C37" s="246">
        <v>1.1000000000000001E-3</v>
      </c>
      <c r="D37" s="26">
        <v>8.9999999999999998E-4</v>
      </c>
      <c r="E37" s="112" t="s">
        <v>930</v>
      </c>
    </row>
    <row r="38" spans="1:5" ht="20.100000000000001" customHeight="1" x14ac:dyDescent="0.2">
      <c r="A38" s="592"/>
      <c r="B38" s="32" t="s">
        <v>931</v>
      </c>
      <c r="C38" s="246">
        <v>4.2500000000000003E-2</v>
      </c>
      <c r="D38" s="26">
        <v>3.2500000000000001E-2</v>
      </c>
      <c r="E38" s="112" t="s">
        <v>931</v>
      </c>
    </row>
    <row r="39" spans="1:5" ht="20.100000000000001" customHeight="1" x14ac:dyDescent="0.2">
      <c r="A39" s="592"/>
      <c r="B39" s="32" t="s">
        <v>932</v>
      </c>
      <c r="C39" s="246">
        <v>3.3000000000000002E-2</v>
      </c>
      <c r="D39" s="26">
        <v>2.53E-2</v>
      </c>
      <c r="E39" s="112" t="s">
        <v>932</v>
      </c>
    </row>
    <row r="40" spans="1:5" ht="20.100000000000001" customHeight="1" x14ac:dyDescent="0.2">
      <c r="A40" s="592"/>
      <c r="B40" s="32" t="s">
        <v>933</v>
      </c>
      <c r="C40" s="246">
        <v>4.0000000000000001E-3</v>
      </c>
      <c r="D40" s="26">
        <v>3.0999999999999999E-3</v>
      </c>
      <c r="E40" s="112" t="s">
        <v>933</v>
      </c>
    </row>
    <row r="41" spans="1:5" ht="20.100000000000001" customHeight="1" thickBot="1" x14ac:dyDescent="0.25">
      <c r="A41" s="593"/>
      <c r="B41" s="34" t="s">
        <v>934</v>
      </c>
      <c r="C41" s="247">
        <f>SUM(C36:C40)</f>
        <v>0.12820000000000001</v>
      </c>
      <c r="D41" s="29">
        <f>SUM(D36:D40)</f>
        <v>9.820000000000001E-2</v>
      </c>
      <c r="E41" s="112" t="s">
        <v>934</v>
      </c>
    </row>
    <row r="42" spans="1:5" ht="22.5" customHeight="1" x14ac:dyDescent="0.2">
      <c r="A42" s="591" t="s">
        <v>47</v>
      </c>
      <c r="B42" s="32" t="s">
        <v>935</v>
      </c>
      <c r="C42" s="249">
        <f>ROUND(C24*C35,4)</f>
        <v>0.1731</v>
      </c>
      <c r="D42" s="37">
        <f>ROUND(D24*D35,4)</f>
        <v>6.3100000000000003E-2</v>
      </c>
      <c r="E42" s="112" t="s">
        <v>935</v>
      </c>
    </row>
    <row r="43" spans="1:5" ht="28.5" customHeight="1" x14ac:dyDescent="0.2">
      <c r="A43" s="592"/>
      <c r="B43" s="38" t="s">
        <v>936</v>
      </c>
      <c r="C43" s="250">
        <f>ROUND(C24*C37+C22*C36,4)</f>
        <v>4.1999999999999997E-3</v>
      </c>
      <c r="D43" s="39">
        <f>ROUND(D24*D37+D22*D36,4)</f>
        <v>3.3E-3</v>
      </c>
      <c r="E43" s="112" t="s">
        <v>936</v>
      </c>
    </row>
    <row r="44" spans="1:5" ht="20.100000000000001" customHeight="1" thickBot="1" x14ac:dyDescent="0.25">
      <c r="A44" s="593"/>
      <c r="B44" s="34" t="s">
        <v>937</v>
      </c>
      <c r="C44" s="247">
        <f>SUM(C42:C43)</f>
        <v>0.17730000000000001</v>
      </c>
      <c r="D44" s="29">
        <f>SUM(D42:D43)</f>
        <v>6.6400000000000001E-2</v>
      </c>
      <c r="E44" s="112" t="s">
        <v>937</v>
      </c>
    </row>
    <row r="45" spans="1:5" ht="30" customHeight="1" thickBot="1" x14ac:dyDescent="0.25">
      <c r="A45" s="735" t="s">
        <v>938</v>
      </c>
      <c r="B45" s="736"/>
      <c r="C45" s="251">
        <f>ROUND(C24+C35+C41+C44,5)</f>
        <v>1.1415</v>
      </c>
      <c r="D45" s="40">
        <f>ROUND(D24+D35+D41+D44,5)</f>
        <v>0.70960000000000001</v>
      </c>
    </row>
    <row r="46" spans="1:5" x14ac:dyDescent="0.2">
      <c r="A46" s="41"/>
      <c r="B46" s="42"/>
      <c r="C46" s="42"/>
      <c r="D46" s="43"/>
    </row>
    <row r="47" spans="1:5" s="4" customFormat="1" ht="12.75" customHeight="1" x14ac:dyDescent="0.2">
      <c r="A47" s="577" t="s">
        <v>951</v>
      </c>
      <c r="B47" s="578"/>
      <c r="C47" s="578"/>
      <c r="D47" s="579"/>
    </row>
    <row r="48" spans="1:5" s="4" customFormat="1" x14ac:dyDescent="0.2">
      <c r="A48" s="577"/>
      <c r="B48" s="578"/>
      <c r="C48" s="578"/>
      <c r="D48" s="579"/>
    </row>
    <row r="49" spans="1:4" s="4" customFormat="1" x14ac:dyDescent="0.2">
      <c r="A49" s="571" t="s">
        <v>939</v>
      </c>
      <c r="B49" s="572"/>
      <c r="C49" s="572"/>
      <c r="D49" s="573"/>
    </row>
    <row r="50" spans="1:4" s="4" customFormat="1" ht="13.5" thickBot="1" x14ac:dyDescent="0.25">
      <c r="A50" s="574"/>
      <c r="B50" s="575"/>
      <c r="C50" s="575"/>
      <c r="D50" s="576"/>
    </row>
    <row r="51" spans="1:4" ht="13.5" customHeight="1" x14ac:dyDescent="0.2">
      <c r="B51" s="115"/>
      <c r="C51" s="113"/>
      <c r="D51" s="75"/>
    </row>
    <row r="52" spans="1:4" ht="16.5" x14ac:dyDescent="0.2">
      <c r="B52" s="115"/>
      <c r="C52" s="113"/>
      <c r="D52" s="75"/>
    </row>
  </sheetData>
  <sheetProtection selectLockedCells="1"/>
  <mergeCells count="15">
    <mergeCell ref="A49:D50"/>
    <mergeCell ref="A15:A24"/>
    <mergeCell ref="A25:A35"/>
    <mergeCell ref="A36:A41"/>
    <mergeCell ref="A42:A44"/>
    <mergeCell ref="A45:B45"/>
    <mergeCell ref="A47:D48"/>
    <mergeCell ref="A12:A14"/>
    <mergeCell ref="B12:B14"/>
    <mergeCell ref="C12:D12"/>
    <mergeCell ref="A1:D4"/>
    <mergeCell ref="A5:C5"/>
    <mergeCell ref="A6:D7"/>
    <mergeCell ref="A9:D9"/>
    <mergeCell ref="A11:D11"/>
  </mergeCells>
  <printOptions horizontalCentered="1"/>
  <pageMargins left="0.74803149606299213" right="0.74803149606299213" top="0.78740157480314965" bottom="1.1023622047244095" header="0.51181102362204722" footer="0.98425196850393704"/>
  <pageSetup paperSize="9" scale="80" firstPageNumber="0" orientation="portrait" r:id="rId1"/>
  <headerFooter alignWithMargins="0">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Planilhas</vt:lpstr>
      </vt:variant>
      <vt:variant>
        <vt:i4>10</vt:i4>
      </vt:variant>
      <vt:variant>
        <vt:lpstr>Intervalos Nomeados</vt:lpstr>
      </vt:variant>
      <vt:variant>
        <vt:i4>24</vt:i4>
      </vt:variant>
    </vt:vector>
  </HeadingPairs>
  <TitlesOfParts>
    <vt:vector size="34" baseType="lpstr">
      <vt:lpstr>PREENCHIMENTO</vt:lpstr>
      <vt:lpstr>Memória </vt:lpstr>
      <vt:lpstr>A IV.A</vt:lpstr>
      <vt:lpstr>A V.</vt:lpstr>
      <vt:lpstr>A VI.</vt:lpstr>
      <vt:lpstr>A VII.</vt:lpstr>
      <vt:lpstr>A VIII.</vt:lpstr>
      <vt:lpstr>A IX.</vt:lpstr>
      <vt:lpstr>A X.</vt:lpstr>
      <vt:lpstr>Comparativo</vt:lpstr>
      <vt:lpstr>_1Excel_BuiltIn_Print_Area_1_1_1_1</vt:lpstr>
      <vt:lpstr>'A IV.A'!Area_de_impressao</vt:lpstr>
      <vt:lpstr>'A IX.'!Area_de_impressao</vt:lpstr>
      <vt:lpstr>'A V.'!Area_de_impressao</vt:lpstr>
      <vt:lpstr>'A VI.'!Area_de_impressao</vt:lpstr>
      <vt:lpstr>'A VII.'!Area_de_impressao</vt:lpstr>
      <vt:lpstr>'A VIII.'!Area_de_impressao</vt:lpstr>
      <vt:lpstr>'A X.'!Area_de_impressao</vt:lpstr>
      <vt:lpstr>Comparativo!Area_de_impressao</vt:lpstr>
      <vt:lpstr>'Memória '!Area_de_impressao</vt:lpstr>
      <vt:lpstr>PREENCHIMENTO!Area_de_impressao</vt:lpstr>
      <vt:lpstr>Excel_BuiltIn_Print_Area_1_1_1</vt:lpstr>
      <vt:lpstr>Excel_BuiltIn_Print_Area_1_1_1_1</vt:lpstr>
      <vt:lpstr>Excel_BuiltIn_Print_Area_1_1_1_1_1</vt:lpstr>
      <vt:lpstr>Excel_BuiltIn_Print_Area_1_1_1_1_1_1</vt:lpstr>
      <vt:lpstr>Excel_BuiltIn_Print_Area_3_1</vt:lpstr>
      <vt:lpstr>Excel_BuiltIn_Print_Area_6_1</vt:lpstr>
      <vt:lpstr>Excel_BuiltIn_Print_Area_7_1</vt:lpstr>
      <vt:lpstr>'A IV.A'!Titulos_de_impressao</vt:lpstr>
      <vt:lpstr>'A V.'!Titulos_de_impressao</vt:lpstr>
      <vt:lpstr>'A VI.'!Titulos_de_impressao</vt:lpstr>
      <vt:lpstr>'A VII.'!Titulos_de_impressao</vt:lpstr>
      <vt:lpstr>'A X.'!Titulos_de_impressao</vt:lpstr>
      <vt:lpstr>PREENCHIMENTO!Titulos_de_impressao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DAE - Dep. de Agua e Esgoto</dc:creator>
  <cp:lastModifiedBy>José Augusto Alexandrino Santana</cp:lastModifiedBy>
  <cp:revision>1</cp:revision>
  <cp:lastPrinted>2026-03-16T14:01:41Z</cp:lastPrinted>
  <dcterms:created xsi:type="dcterms:W3CDTF">2002-04-09T21:25:07Z</dcterms:created>
  <dcterms:modified xsi:type="dcterms:W3CDTF">2026-07-23T12:42:53Z</dcterms:modified>
</cp:coreProperties>
</file>